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lah_data_hidrologi\"/>
    </mc:Choice>
  </mc:AlternateContent>
  <xr:revisionPtr revIDLastSave="0" documentId="13_ncr:1_{5C1D66C1-4572-4DAC-804B-C5FD939959E7}" xr6:coauthVersionLast="47" xr6:coauthVersionMax="47" xr10:uidLastSave="{00000000-0000-0000-0000-000000000000}"/>
  <bookViews>
    <workbookView xWindow="29460" yWindow="690" windowWidth="21600" windowHeight="11835" firstSheet="6" activeTab="6" xr2:uid="{00000000-000D-0000-FFFF-FFFF00000000}"/>
  </bookViews>
  <sheets>
    <sheet name="DBASE" sheetId="2" state="hidden" r:id="rId1"/>
    <sheet name="Rekap Bulanan" sheetId="4" state="hidden" r:id="rId2"/>
    <sheet name="Rekap Max" sheetId="5" state="hidden" r:id="rId3"/>
    <sheet name="Rekap" sheetId="6" state="hidden" r:id="rId4"/>
    <sheet name="Print" sheetId="7" state="hidden" r:id="rId5"/>
    <sheet name="Daftar Pos " sheetId="3" state="hidden" r:id="rId6"/>
    <sheet name="Argoyuwono" sheetId="1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a">#REF!</definedName>
    <definedName name="\c">#REF!</definedName>
    <definedName name="\d">#REF!</definedName>
    <definedName name="\g">#REF!</definedName>
    <definedName name="\l">#REF!</definedName>
    <definedName name="\s">#REF!</definedName>
    <definedName name="__123Graph_A" hidden="1">'[1]CH-RANC'!$C$155:$C$189</definedName>
    <definedName name="__123Graph_B" hidden="1">'[1]CH-RANC'!$L$155:$L$189</definedName>
    <definedName name="__123Graph_X" hidden="1">'[1]CH-RANC'!$M$155:$M$189</definedName>
    <definedName name="_1">#REF!</definedName>
    <definedName name="_10">#N/A</definedName>
    <definedName name="_11">#N/A</definedName>
    <definedName name="_12">#N/A</definedName>
    <definedName name="_2">#REF!</definedName>
    <definedName name="_23">#REF!</definedName>
    <definedName name="_3">#REF!</definedName>
    <definedName name="_4">#REF!</definedName>
    <definedName name="_5">#N/A</definedName>
    <definedName name="_6">#N/A</definedName>
    <definedName name="_7">#N/A</definedName>
    <definedName name="_8">#N/A</definedName>
    <definedName name="_9">#N/A</definedName>
    <definedName name="_Fill" hidden="1">#REF!</definedName>
    <definedName name="_Key1" hidden="1">#REF!</definedName>
    <definedName name="_Key2" hidden="1">#REF!</definedName>
    <definedName name="_Order1" hidden="1">0</definedName>
    <definedName name="_Order2" hidden="1">0</definedName>
    <definedName name="_Regression_Int">1</definedName>
    <definedName name="_Regression_X" hidden="1">#REF!</definedName>
    <definedName name="_Regression_Y" hidden="1">#REF!</definedName>
    <definedName name="_Sort" hidden="1">#REF!</definedName>
    <definedName name="_Tp03">#REF!</definedName>
    <definedName name="a">#REF!</definedName>
    <definedName name="AA">'[2]Gama I'!$A$24:$L$85</definedName>
    <definedName name="ags" localSheetId="3">[3]ags!$C$8:$AJ$51</definedName>
    <definedName name="ags">[4]ags!$C$8:$AK$235</definedName>
    <definedName name="Alfa">#REF!</definedName>
    <definedName name="AlphaNakayasu">[2]Nakayasu!$A$1:$J$57</definedName>
    <definedName name="ANDAL">#REF!</definedName>
    <definedName name="apr" localSheetId="3">[3]apr!$C$8:$AK$51</definedName>
    <definedName name="apr">[4]apr!$C$8:$AK$235</definedName>
    <definedName name="b">[5]nakayasu!$M$8</definedName>
    <definedName name="Bareng">#REF!</definedName>
    <definedName name="baseflow">[5]nakayasu!$M$8</definedName>
    <definedName name="Bekacak">#REF!</definedName>
    <definedName name="BLOK">#REF!</definedName>
    <definedName name="ChiGumbel">'[2]Chi&amp;Smirnov'!$P$1:$T$21</definedName>
    <definedName name="CurahHujanUlang">[2]ChUlang!$A$2:$M$9</definedName>
    <definedName name="Daftar">[6]Tabel!$A$11:$AK$46</definedName>
    <definedName name="Daftar3">#REF!</definedName>
    <definedName name="DATA">#REF!</definedName>
    <definedName name="data_agroklimatologi">#REF!</definedName>
    <definedName name="_xlnm.Database">#REF!</definedName>
    <definedName name="dbase" localSheetId="0">DBASE!$C$4:$P$1040</definedName>
    <definedName name="des" localSheetId="3">[3]des!$C$8:$AK$51</definedName>
    <definedName name="des">[4]des!$C$8:$AK$235</definedName>
    <definedName name="eff">#REF!</definedName>
    <definedName name="Gama_I">'[2]Gama I'!$A$2:$L$60</definedName>
    <definedName name="grogol">[7]Tabel!$A$14:$AF$49</definedName>
    <definedName name="Gumbel">[2]Gumbel!$A$1:$E$53</definedName>
    <definedName name="HB">#N/A</definedName>
    <definedName name="HSSNAKAYASU">[2]Nakayasu!$L$1:$U$39</definedName>
    <definedName name="HSSSNIDER">[2]Snyder!$A$2:$J$88</definedName>
    <definedName name="HUJANDPS">[2]Thiesen!$Z$2:$AH$27</definedName>
    <definedName name="HUJANNISBAH">[2]Nisbah!$A$2:$L$30</definedName>
    <definedName name="HUJANSTA">[2]CHrata!$A$2:$N$28</definedName>
    <definedName name="i">[8]mock!$I$52</definedName>
    <definedName name="is">[8]mock!$I$54</definedName>
    <definedName name="IwayKadoya">[2]Iway!$A$1:$P$47</definedName>
    <definedName name="jan" localSheetId="3">[3]jan!$C$8:$AK$51</definedName>
    <definedName name="jan">[4]jan!$C$8:$AK$235</definedName>
    <definedName name="Jawi">#REF!</definedName>
    <definedName name="jul" localSheetId="3">[3]jul!$C$8:$AK$51</definedName>
    <definedName name="jul">[4]jul!$C$8:$AK$235</definedName>
    <definedName name="juli" hidden="1">'[9]Hujan BUlanan'!#REF!</definedName>
    <definedName name="JUMLAH">#REF!</definedName>
    <definedName name="jun" localSheetId="3">[3]jun!$C$8:$AJ$51</definedName>
    <definedName name="jun">[4]jun!$C$8:$AK$235</definedName>
    <definedName name="k">[8]mock!$I$53</definedName>
    <definedName name="Kasri">#REF!</definedName>
    <definedName name="KONSISTNSI">[2]Thiesen!$AJ$1:$AS$26</definedName>
    <definedName name="L">#REF!</definedName>
    <definedName name="LogNormal">[2]LogNorm!$A$1:$F$49</definedName>
    <definedName name="LogPearson">[2]Pearson!$A$1:$F$47</definedName>
    <definedName name="luasDAS">[10]Q2020!$F$9</definedName>
    <definedName name="LuasDPS">#REF!</definedName>
    <definedName name="MAC">#REF!</definedName>
    <definedName name="mar" localSheetId="3">[3]mar!$C$8:$AK$51</definedName>
    <definedName name="mar">[4]mar!$C$8:$AK$235</definedName>
    <definedName name="mei" localSheetId="3">[3]mei!$C$8:$AK$51</definedName>
    <definedName name="mei">[4]mei!$C$8:$AK$235</definedName>
    <definedName name="N">[2]Iway!$A$32</definedName>
    <definedName name="NO">#REF!</definedName>
    <definedName name="nop" localSheetId="3">[3]nop!$C$8:$AK$51</definedName>
    <definedName name="nop">[4]nop!$C$8:$AK$235</definedName>
    <definedName name="okt" localSheetId="3">[3]okt!$C$8:$AK$51</definedName>
    <definedName name="okt">[4]okt!$C$8:$AK$235</definedName>
    <definedName name="ORDINATNAKAYASU">[2]Nakayasu!$V$1:$AF$61</definedName>
    <definedName name="PDA">[11]Database!$A$1:$V$49</definedName>
    <definedName name="peb" localSheetId="3">[3]peb!$C$8:$AK$51</definedName>
    <definedName name="peb">[4]peb!$C$8:$AK$235</definedName>
    <definedName name="pf">[8]mock!$I$55</definedName>
    <definedName name="POSHUJAN" localSheetId="3">[3]DBASE!$B$4:$P$1150</definedName>
    <definedName name="POSHUJAN">DBASE!$B$4:$P$2090</definedName>
    <definedName name="Prigen">#REF!</definedName>
    <definedName name="_xlnm.Print_Area" localSheetId="5">'Daftar Pos '!$B$3:$J$72</definedName>
    <definedName name="_xlnm.Print_Area" localSheetId="4">Print!$A$1:$M$68</definedName>
    <definedName name="_xlnm.Print_Area" localSheetId="3">Rekap!$C$1:$P$24</definedName>
    <definedName name="_xlnm.Print_Area" localSheetId="1">'Rekap Bulanan'!$C$1:$Q$251</definedName>
    <definedName name="_xlnm.Print_Area" localSheetId="2">'Rekap Max'!$C$1:$Q$251</definedName>
    <definedName name="_xlnm.Print_Area">'[12]94-105'!#REF!</definedName>
    <definedName name="Print_Area_MI">#REF!</definedName>
    <definedName name="_xlnm.Print_Titles" localSheetId="5">'Daftar Pos '!$4:$4</definedName>
    <definedName name="_xlnm.Print_Titles" localSheetId="3">Rekap!$3:$3</definedName>
    <definedName name="_xlnm.Print_Titles" localSheetId="1">'Rekap Bulanan'!$3:$3</definedName>
    <definedName name="_xlnm.Print_Titles" localSheetId="2">'Rekap Max'!$3:$3</definedName>
    <definedName name="_xlnm.Print_Titles">#REF!</definedName>
    <definedName name="Print_Titles_MI">#REF!</definedName>
    <definedName name="Printout" localSheetId="3">[3]jan!$A$8:$C$51</definedName>
    <definedName name="Printout">[4]jan!$A$8:$C$235</definedName>
    <definedName name="QB">#N/A</definedName>
    <definedName name="Qp">#REF!</definedName>
    <definedName name="Randupitu">#REF!</definedName>
    <definedName name="Ratcurve">'[13]rating curve'!$C$4:$AL$7</definedName>
    <definedName name="Rerata">[14]thiessen!$H$60:$I$60</definedName>
    <definedName name="Ro">#REF!</definedName>
    <definedName name="rttg">#REF!</definedName>
    <definedName name="rttgr">#REF!</definedName>
    <definedName name="rttgrr">#REF!</definedName>
    <definedName name="sep" localSheetId="3">[3]sep!$C$8:$AK$51</definedName>
    <definedName name="sep">[4]sep!$C$8:$AK$235</definedName>
    <definedName name="sheet">#REF!</definedName>
    <definedName name="Skematisasi" hidden="1">'[15]CWR - LP'!#REF!</definedName>
    <definedName name="Skematisasi2">#REF!</definedName>
    <definedName name="smc">[8]mock!$I$50</definedName>
    <definedName name="SmirnovGumbel">'[2]Chi&amp;Smirnov'!$AA$1:$AE$38</definedName>
    <definedName name="Step">#REF!</definedName>
    <definedName name="TABEL">#REF!</definedName>
    <definedName name="Tabel_CS">'[16]T. Cs Log P III'!$B$10:$J$46</definedName>
    <definedName name="TAHUN">#REF!</definedName>
    <definedName name="Tahun89">#REF!</definedName>
    <definedName name="Tahun90">#REF!</definedName>
    <definedName name="Tahun91">#REF!</definedName>
    <definedName name="Tahun92">#REF!</definedName>
    <definedName name="Tahun93">#REF!</definedName>
    <definedName name="Tahun94">#REF!</definedName>
    <definedName name="Tahun95">#REF!</definedName>
    <definedName name="Tahun96">#REF!</definedName>
    <definedName name="Tahun97">#REF!</definedName>
    <definedName name="Tahun98">#REF!</definedName>
    <definedName name="Tanggul">#REF!</definedName>
    <definedName name="tg">#REF!</definedName>
    <definedName name="THIESSEN">[2]Thiesen!$B$2:$F$21</definedName>
    <definedName name="Tp">#REF!</definedName>
    <definedName name="Tp03_05">#REF!</definedName>
    <definedName name="Tp03_15">#REF!</definedName>
    <definedName name="Tp03_20">#REF!</definedName>
    <definedName name="tr">#REF!</definedName>
    <definedName name="UH">#N/A</definedName>
    <definedName name="Waktu">#REF!</definedName>
    <definedName name="Wilo">#REF!</definedName>
    <definedName name="Winong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7" l="1"/>
  <c r="C33" i="7" s="1"/>
  <c r="D2" i="6"/>
  <c r="C1" i="6"/>
  <c r="D231" i="5"/>
  <c r="C231" i="5" s="1"/>
  <c r="D230" i="5"/>
  <c r="C230" i="5" s="1"/>
  <c r="D229" i="5"/>
  <c r="D228" i="5"/>
  <c r="D227" i="5"/>
  <c r="C227" i="5" s="1"/>
  <c r="D226" i="5"/>
  <c r="C226" i="5" s="1"/>
  <c r="D225" i="5"/>
  <c r="D224" i="5"/>
  <c r="C224" i="5" s="1"/>
  <c r="D223" i="5"/>
  <c r="C223" i="5" s="1"/>
  <c r="D222" i="5"/>
  <c r="C222" i="5" s="1"/>
  <c r="D221" i="5"/>
  <c r="D220" i="5"/>
  <c r="D219" i="5"/>
  <c r="C219" i="5" s="1"/>
  <c r="D218" i="5"/>
  <c r="C218" i="5" s="1"/>
  <c r="D217" i="5"/>
  <c r="D216" i="5"/>
  <c r="C216" i="5" s="1"/>
  <c r="D215" i="5"/>
  <c r="C215" i="5" s="1"/>
  <c r="D214" i="5"/>
  <c r="C214" i="5" s="1"/>
  <c r="D213" i="5"/>
  <c r="D212" i="5"/>
  <c r="D211" i="5"/>
  <c r="D210" i="5"/>
  <c r="C210" i="5" s="1"/>
  <c r="D209" i="5"/>
  <c r="D208" i="5"/>
  <c r="C208" i="5" s="1"/>
  <c r="D207" i="5"/>
  <c r="C207" i="5" s="1"/>
  <c r="D206" i="5"/>
  <c r="C206" i="5" s="1"/>
  <c r="D205" i="5"/>
  <c r="D204" i="5"/>
  <c r="D203" i="5"/>
  <c r="D202" i="5"/>
  <c r="C202" i="5" s="1"/>
  <c r="D201" i="5"/>
  <c r="D200" i="5"/>
  <c r="C200" i="5" s="1"/>
  <c r="D199" i="5"/>
  <c r="D198" i="5"/>
  <c r="C198" i="5" s="1"/>
  <c r="D197" i="5"/>
  <c r="C197" i="5" s="1"/>
  <c r="D196" i="5"/>
  <c r="C196" i="5" s="1"/>
  <c r="D195" i="5"/>
  <c r="D194" i="5"/>
  <c r="C194" i="5" s="1"/>
  <c r="D193" i="5"/>
  <c r="D192" i="5"/>
  <c r="C192" i="5" s="1"/>
  <c r="D191" i="5"/>
  <c r="D190" i="5"/>
  <c r="C190" i="5" s="1"/>
  <c r="D189" i="5"/>
  <c r="D188" i="5"/>
  <c r="C188" i="5" s="1"/>
  <c r="D187" i="5"/>
  <c r="D186" i="5"/>
  <c r="C186" i="5" s="1"/>
  <c r="D185" i="5"/>
  <c r="D184" i="5"/>
  <c r="C184" i="5" s="1"/>
  <c r="D183" i="5"/>
  <c r="D182" i="5"/>
  <c r="C182" i="5" s="1"/>
  <c r="D181" i="5"/>
  <c r="D180" i="5"/>
  <c r="C180" i="5" s="1"/>
  <c r="D179" i="5"/>
  <c r="D178" i="5"/>
  <c r="C178" i="5" s="1"/>
  <c r="D177" i="5"/>
  <c r="D176" i="5"/>
  <c r="C176" i="5" s="1"/>
  <c r="D175" i="5"/>
  <c r="D174" i="5"/>
  <c r="C174" i="5" s="1"/>
  <c r="D173" i="5"/>
  <c r="C173" i="5" s="1"/>
  <c r="D172" i="5"/>
  <c r="C172" i="5" s="1"/>
  <c r="D171" i="5"/>
  <c r="D170" i="5"/>
  <c r="C170" i="5" s="1"/>
  <c r="D169" i="5"/>
  <c r="D168" i="5"/>
  <c r="C168" i="5" s="1"/>
  <c r="D167" i="5"/>
  <c r="D166" i="5"/>
  <c r="C166" i="5" s="1"/>
  <c r="D165" i="5"/>
  <c r="C165" i="5" s="1"/>
  <c r="D164" i="5"/>
  <c r="C164" i="5" s="1"/>
  <c r="D163" i="5"/>
  <c r="D162" i="5"/>
  <c r="D161" i="5"/>
  <c r="D160" i="5"/>
  <c r="C160" i="5" s="1"/>
  <c r="D159" i="5"/>
  <c r="D158" i="5"/>
  <c r="C158" i="5" s="1"/>
  <c r="D157" i="5"/>
  <c r="C157" i="5" s="1"/>
  <c r="D156" i="5"/>
  <c r="C156" i="5" s="1"/>
  <c r="D155" i="5"/>
  <c r="D154" i="5"/>
  <c r="D153" i="5"/>
  <c r="D152" i="5"/>
  <c r="C152" i="5" s="1"/>
  <c r="D151" i="5"/>
  <c r="D150" i="5"/>
  <c r="C150" i="5" s="1"/>
  <c r="D149" i="5"/>
  <c r="C149" i="5" s="1"/>
  <c r="D148" i="5"/>
  <c r="C148" i="5" s="1"/>
  <c r="D147" i="5"/>
  <c r="D146" i="5"/>
  <c r="D145" i="5"/>
  <c r="D144" i="5"/>
  <c r="C144" i="5" s="1"/>
  <c r="D143" i="5"/>
  <c r="D142" i="5"/>
  <c r="C142" i="5" s="1"/>
  <c r="D141" i="5"/>
  <c r="C141" i="5" s="1"/>
  <c r="D140" i="5"/>
  <c r="C140" i="5" s="1"/>
  <c r="D139" i="5"/>
  <c r="D138" i="5"/>
  <c r="D137" i="5"/>
  <c r="C137" i="5" s="1"/>
  <c r="D136" i="5"/>
  <c r="D135" i="5"/>
  <c r="C135" i="5" s="1"/>
  <c r="D134" i="5"/>
  <c r="C134" i="5" s="1"/>
  <c r="D133" i="5"/>
  <c r="D132" i="5"/>
  <c r="D131" i="5"/>
  <c r="D130" i="5"/>
  <c r="C130" i="5" s="1"/>
  <c r="D129" i="5"/>
  <c r="D128" i="5"/>
  <c r="C128" i="5" s="1"/>
  <c r="D127" i="5"/>
  <c r="C127" i="5" s="1"/>
  <c r="D126" i="5"/>
  <c r="C126" i="5" s="1"/>
  <c r="D125" i="5"/>
  <c r="D124" i="5"/>
  <c r="D123" i="5"/>
  <c r="D122" i="5"/>
  <c r="C122" i="5" s="1"/>
  <c r="D121" i="5"/>
  <c r="D120" i="5"/>
  <c r="D119" i="5"/>
  <c r="C119" i="5" s="1"/>
  <c r="D118" i="5"/>
  <c r="C118" i="5" s="1"/>
  <c r="D117" i="5"/>
  <c r="D116" i="5"/>
  <c r="D115" i="5"/>
  <c r="C115" i="5" s="1"/>
  <c r="D114" i="5"/>
  <c r="C114" i="5" s="1"/>
  <c r="D113" i="5"/>
  <c r="D112" i="5"/>
  <c r="D111" i="5"/>
  <c r="C111" i="5" s="1"/>
  <c r="D110" i="5"/>
  <c r="C110" i="5" s="1"/>
  <c r="D109" i="5"/>
  <c r="D108" i="5"/>
  <c r="D107" i="5"/>
  <c r="C107" i="5" s="1"/>
  <c r="D106" i="5"/>
  <c r="C106" i="5" s="1"/>
  <c r="D105" i="5"/>
  <c r="D104" i="5"/>
  <c r="C104" i="5" s="1"/>
  <c r="D103" i="5"/>
  <c r="C103" i="5" s="1"/>
  <c r="D102" i="5"/>
  <c r="C102" i="5" s="1"/>
  <c r="D101" i="5"/>
  <c r="D100" i="5"/>
  <c r="D99" i="5"/>
  <c r="C99" i="5" s="1"/>
  <c r="D98" i="5"/>
  <c r="C98" i="5" s="1"/>
  <c r="D97" i="5"/>
  <c r="D96" i="5"/>
  <c r="D95" i="5"/>
  <c r="C95" i="5" s="1"/>
  <c r="D94" i="5"/>
  <c r="C94" i="5" s="1"/>
  <c r="D93" i="5"/>
  <c r="D92" i="5"/>
  <c r="C92" i="5" s="1"/>
  <c r="D91" i="5"/>
  <c r="C91" i="5" s="1"/>
  <c r="D90" i="5"/>
  <c r="C90" i="5" s="1"/>
  <c r="D89" i="5"/>
  <c r="D88" i="5"/>
  <c r="D87" i="5"/>
  <c r="C87" i="5" s="1"/>
  <c r="D86" i="5"/>
  <c r="C86" i="5" s="1"/>
  <c r="D85" i="5"/>
  <c r="D84" i="5"/>
  <c r="C84" i="5" s="1"/>
  <c r="D83" i="5"/>
  <c r="C83" i="5" s="1"/>
  <c r="D82" i="5"/>
  <c r="C82" i="5" s="1"/>
  <c r="D81" i="5"/>
  <c r="D80" i="5"/>
  <c r="D79" i="5"/>
  <c r="C79" i="5" s="1"/>
  <c r="D78" i="5"/>
  <c r="C78" i="5" s="1"/>
  <c r="D77" i="5"/>
  <c r="D76" i="5"/>
  <c r="C76" i="5" s="1"/>
  <c r="D75" i="5"/>
  <c r="C75" i="5" s="1"/>
  <c r="D74" i="5"/>
  <c r="C74" i="5" s="1"/>
  <c r="D73" i="5"/>
  <c r="D72" i="5"/>
  <c r="D71" i="5"/>
  <c r="C71" i="5" s="1"/>
  <c r="D70" i="5"/>
  <c r="C70" i="5" s="1"/>
  <c r="D69" i="5"/>
  <c r="D68" i="5"/>
  <c r="C68" i="5" s="1"/>
  <c r="D67" i="5"/>
  <c r="C67" i="5" s="1"/>
  <c r="D66" i="5"/>
  <c r="C66" i="5" s="1"/>
  <c r="D65" i="5"/>
  <c r="D64" i="5"/>
  <c r="D63" i="5"/>
  <c r="C63" i="5" s="1"/>
  <c r="D62" i="5"/>
  <c r="C62" i="5" s="1"/>
  <c r="D61" i="5"/>
  <c r="D60" i="5"/>
  <c r="C60" i="5" s="1"/>
  <c r="D59" i="5"/>
  <c r="C59" i="5" s="1"/>
  <c r="D58" i="5"/>
  <c r="C58" i="5" s="1"/>
  <c r="D57" i="5"/>
  <c r="D56" i="5"/>
  <c r="D55" i="5"/>
  <c r="C55" i="5" s="1"/>
  <c r="D54" i="5"/>
  <c r="C54" i="5" s="1"/>
  <c r="D53" i="5"/>
  <c r="D52" i="5"/>
  <c r="C52" i="5" s="1"/>
  <c r="D51" i="5"/>
  <c r="C51" i="5" s="1"/>
  <c r="D50" i="5"/>
  <c r="C50" i="5" s="1"/>
  <c r="D49" i="5"/>
  <c r="D48" i="5"/>
  <c r="D47" i="5"/>
  <c r="D46" i="5"/>
  <c r="C46" i="5" s="1"/>
  <c r="D45" i="5"/>
  <c r="D44" i="5"/>
  <c r="C44" i="5" s="1"/>
  <c r="D43" i="5"/>
  <c r="C43" i="5" s="1"/>
  <c r="D42" i="5"/>
  <c r="C42" i="5" s="1"/>
  <c r="D41" i="5"/>
  <c r="D40" i="5"/>
  <c r="D39" i="5"/>
  <c r="D38" i="5"/>
  <c r="C38" i="5" s="1"/>
  <c r="D37" i="5"/>
  <c r="D36" i="5"/>
  <c r="C36" i="5" s="1"/>
  <c r="D35" i="5"/>
  <c r="C35" i="5" s="1"/>
  <c r="D34" i="5"/>
  <c r="C34" i="5" s="1"/>
  <c r="D33" i="5"/>
  <c r="D32" i="5"/>
  <c r="D31" i="5"/>
  <c r="C31" i="5" s="1"/>
  <c r="D30" i="5"/>
  <c r="C30" i="5" s="1"/>
  <c r="D29" i="5"/>
  <c r="D28" i="5"/>
  <c r="D27" i="5"/>
  <c r="C27" i="5" s="1"/>
  <c r="D26" i="5"/>
  <c r="C26" i="5" s="1"/>
  <c r="D25" i="5"/>
  <c r="D24" i="5"/>
  <c r="D23" i="5"/>
  <c r="C23" i="5" s="1"/>
  <c r="D22" i="5"/>
  <c r="C22" i="5" s="1"/>
  <c r="D21" i="5"/>
  <c r="D20" i="5"/>
  <c r="D19" i="5"/>
  <c r="C19" i="5" s="1"/>
  <c r="D18" i="5"/>
  <c r="C18" i="5" s="1"/>
  <c r="D17" i="5"/>
  <c r="D16" i="5"/>
  <c r="D15" i="5"/>
  <c r="C15" i="5" s="1"/>
  <c r="D14" i="5"/>
  <c r="C14" i="5" s="1"/>
  <c r="D13" i="5"/>
  <c r="D12" i="5"/>
  <c r="D11" i="5"/>
  <c r="C11" i="5" s="1"/>
  <c r="D10" i="5"/>
  <c r="C10" i="5" s="1"/>
  <c r="D9" i="5"/>
  <c r="D8" i="5"/>
  <c r="C8" i="5" s="1"/>
  <c r="D7" i="5"/>
  <c r="D6" i="5"/>
  <c r="C6" i="5" s="1"/>
  <c r="D5" i="5"/>
  <c r="D4" i="5"/>
  <c r="E2" i="5"/>
  <c r="C1" i="5"/>
  <c r="D231" i="4"/>
  <c r="C231" i="4" s="1"/>
  <c r="D230" i="4"/>
  <c r="D229" i="4"/>
  <c r="C229" i="4" s="1"/>
  <c r="D228" i="4"/>
  <c r="C228" i="4" s="1"/>
  <c r="D227" i="4"/>
  <c r="C227" i="4" s="1"/>
  <c r="D226" i="4"/>
  <c r="D225" i="4"/>
  <c r="D224" i="4"/>
  <c r="C224" i="4" s="1"/>
  <c r="D223" i="4"/>
  <c r="C223" i="4" s="1"/>
  <c r="D222" i="4"/>
  <c r="D221" i="4"/>
  <c r="D220" i="4"/>
  <c r="C220" i="4" s="1"/>
  <c r="D219" i="4"/>
  <c r="C219" i="4" s="1"/>
  <c r="D218" i="4"/>
  <c r="D217" i="4"/>
  <c r="D216" i="4"/>
  <c r="C216" i="4" s="1"/>
  <c r="D215" i="4"/>
  <c r="C215" i="4" s="1"/>
  <c r="D214" i="4"/>
  <c r="D213" i="4"/>
  <c r="C213" i="4" s="1"/>
  <c r="D212" i="4"/>
  <c r="C212" i="4" s="1"/>
  <c r="D211" i="4"/>
  <c r="C211" i="4" s="1"/>
  <c r="D210" i="4"/>
  <c r="C210" i="4" s="1"/>
  <c r="D209" i="4"/>
  <c r="D208" i="4"/>
  <c r="C208" i="4" s="1"/>
  <c r="D207" i="4"/>
  <c r="D206" i="4"/>
  <c r="D205" i="4"/>
  <c r="C205" i="4" s="1"/>
  <c r="D204" i="4"/>
  <c r="C204" i="4" s="1"/>
  <c r="D203" i="4"/>
  <c r="D202" i="4"/>
  <c r="C202" i="4" s="1"/>
  <c r="D201" i="4"/>
  <c r="D200" i="4"/>
  <c r="C200" i="4" s="1"/>
  <c r="D199" i="4"/>
  <c r="D198" i="4"/>
  <c r="D197" i="4"/>
  <c r="C197" i="4" s="1"/>
  <c r="D196" i="4"/>
  <c r="C196" i="4" s="1"/>
  <c r="D195" i="4"/>
  <c r="D194" i="4"/>
  <c r="C194" i="4" s="1"/>
  <c r="D193" i="4"/>
  <c r="D192" i="4"/>
  <c r="C192" i="4" s="1"/>
  <c r="D191" i="4"/>
  <c r="D190" i="4"/>
  <c r="D189" i="4"/>
  <c r="C189" i="4" s="1"/>
  <c r="D188" i="4"/>
  <c r="C188" i="4" s="1"/>
  <c r="D187" i="4"/>
  <c r="D186" i="4"/>
  <c r="C186" i="4" s="1"/>
  <c r="D185" i="4"/>
  <c r="D184" i="4"/>
  <c r="C184" i="4" s="1"/>
  <c r="D183" i="4"/>
  <c r="D182" i="4"/>
  <c r="D181" i="4"/>
  <c r="D180" i="4"/>
  <c r="C180" i="4" s="1"/>
  <c r="D179" i="4"/>
  <c r="D178" i="4"/>
  <c r="C178" i="4" s="1"/>
  <c r="D177" i="4"/>
  <c r="D176" i="4"/>
  <c r="C176" i="4" s="1"/>
  <c r="D175" i="4"/>
  <c r="D174" i="4"/>
  <c r="D173" i="4"/>
  <c r="D172" i="4"/>
  <c r="C172" i="4" s="1"/>
  <c r="D171" i="4"/>
  <c r="D170" i="4"/>
  <c r="C170" i="4" s="1"/>
  <c r="D169" i="4"/>
  <c r="C169" i="4" s="1"/>
  <c r="D168" i="4"/>
  <c r="C168" i="4" s="1"/>
  <c r="D167" i="4"/>
  <c r="D166" i="4"/>
  <c r="D165" i="4"/>
  <c r="D164" i="4"/>
  <c r="C164" i="4" s="1"/>
  <c r="D163" i="4"/>
  <c r="D162" i="4"/>
  <c r="C162" i="4" s="1"/>
  <c r="D161" i="4"/>
  <c r="C161" i="4" s="1"/>
  <c r="D160" i="4"/>
  <c r="C160" i="4" s="1"/>
  <c r="D159" i="4"/>
  <c r="D158" i="4"/>
  <c r="D157" i="4"/>
  <c r="D156" i="4"/>
  <c r="C156" i="4" s="1"/>
  <c r="D155" i="4"/>
  <c r="D154" i="4"/>
  <c r="C154" i="4" s="1"/>
  <c r="D153" i="4"/>
  <c r="C153" i="4" s="1"/>
  <c r="D152" i="4"/>
  <c r="C152" i="4" s="1"/>
  <c r="D151" i="4"/>
  <c r="D150" i="4"/>
  <c r="D149" i="4"/>
  <c r="C149" i="4" s="1"/>
  <c r="D148" i="4"/>
  <c r="C148" i="4" s="1"/>
  <c r="D147" i="4"/>
  <c r="D146" i="4"/>
  <c r="C146" i="4" s="1"/>
  <c r="D145" i="4"/>
  <c r="C145" i="4" s="1"/>
  <c r="D144" i="4"/>
  <c r="C144" i="4" s="1"/>
  <c r="D143" i="4"/>
  <c r="D142" i="4"/>
  <c r="D141" i="4"/>
  <c r="C141" i="4" s="1"/>
  <c r="D140" i="4"/>
  <c r="C140" i="4" s="1"/>
  <c r="D139" i="4"/>
  <c r="D138" i="4"/>
  <c r="C138" i="4" s="1"/>
  <c r="D137" i="4"/>
  <c r="C137" i="4" s="1"/>
  <c r="D136" i="4"/>
  <c r="C136" i="4" s="1"/>
  <c r="D135" i="4"/>
  <c r="D134" i="4"/>
  <c r="D133" i="4"/>
  <c r="C133" i="4" s="1"/>
  <c r="D132" i="4"/>
  <c r="C132" i="4" s="1"/>
  <c r="D131" i="4"/>
  <c r="D130" i="4"/>
  <c r="C130" i="4" s="1"/>
  <c r="D129" i="4"/>
  <c r="C129" i="4" s="1"/>
  <c r="D128" i="4"/>
  <c r="C128" i="4" s="1"/>
  <c r="D127" i="4"/>
  <c r="D126" i="4"/>
  <c r="D125" i="4"/>
  <c r="C125" i="4" s="1"/>
  <c r="D124" i="4"/>
  <c r="C124" i="4" s="1"/>
  <c r="D123" i="4"/>
  <c r="D122" i="4"/>
  <c r="C122" i="4" s="1"/>
  <c r="D121" i="4"/>
  <c r="C121" i="4" s="1"/>
  <c r="D120" i="4"/>
  <c r="C120" i="4" s="1"/>
  <c r="D119" i="4"/>
  <c r="D118" i="4"/>
  <c r="D117" i="4"/>
  <c r="C117" i="4" s="1"/>
  <c r="D116" i="4"/>
  <c r="C116" i="4" s="1"/>
  <c r="D115" i="4"/>
  <c r="D114" i="4"/>
  <c r="C114" i="4" s="1"/>
  <c r="D113" i="4"/>
  <c r="C113" i="4" s="1"/>
  <c r="D112" i="4"/>
  <c r="C112" i="4" s="1"/>
  <c r="D111" i="4"/>
  <c r="D110" i="4"/>
  <c r="D109" i="4"/>
  <c r="D108" i="4"/>
  <c r="C108" i="4" s="1"/>
  <c r="D107" i="4"/>
  <c r="D106" i="4"/>
  <c r="C106" i="4" s="1"/>
  <c r="D105" i="4"/>
  <c r="C105" i="4" s="1"/>
  <c r="D104" i="4"/>
  <c r="C104" i="4" s="1"/>
  <c r="D103" i="4"/>
  <c r="D102" i="4"/>
  <c r="D101" i="4"/>
  <c r="D100" i="4"/>
  <c r="C100" i="4" s="1"/>
  <c r="D99" i="4"/>
  <c r="D98" i="4"/>
  <c r="C98" i="4" s="1"/>
  <c r="D97" i="4"/>
  <c r="C97" i="4" s="1"/>
  <c r="D96" i="4"/>
  <c r="C96" i="4" s="1"/>
  <c r="D95" i="4"/>
  <c r="D94" i="4"/>
  <c r="D93" i="4"/>
  <c r="D92" i="4"/>
  <c r="C92" i="4" s="1"/>
  <c r="D91" i="4"/>
  <c r="D90" i="4"/>
  <c r="C90" i="4" s="1"/>
  <c r="D89" i="4"/>
  <c r="C89" i="4" s="1"/>
  <c r="D88" i="4"/>
  <c r="C88" i="4" s="1"/>
  <c r="D87" i="4"/>
  <c r="D86" i="4"/>
  <c r="D85" i="4"/>
  <c r="D84" i="4"/>
  <c r="C84" i="4" s="1"/>
  <c r="D83" i="4"/>
  <c r="D82" i="4"/>
  <c r="C82" i="4" s="1"/>
  <c r="D81" i="4"/>
  <c r="C81" i="4" s="1"/>
  <c r="D80" i="4"/>
  <c r="C80" i="4" s="1"/>
  <c r="D79" i="4"/>
  <c r="D78" i="4"/>
  <c r="D77" i="4"/>
  <c r="D76" i="4"/>
  <c r="C76" i="4" s="1"/>
  <c r="D75" i="4"/>
  <c r="D74" i="4"/>
  <c r="C74" i="4" s="1"/>
  <c r="D73" i="4"/>
  <c r="C73" i="4" s="1"/>
  <c r="D72" i="4"/>
  <c r="C72" i="4" s="1"/>
  <c r="D71" i="4"/>
  <c r="D70" i="4"/>
  <c r="D69" i="4"/>
  <c r="D68" i="4"/>
  <c r="C68" i="4" s="1"/>
  <c r="D67" i="4"/>
  <c r="D66" i="4"/>
  <c r="C66" i="4" s="1"/>
  <c r="D65" i="4"/>
  <c r="C65" i="4" s="1"/>
  <c r="D64" i="4"/>
  <c r="C64" i="4" s="1"/>
  <c r="D63" i="4"/>
  <c r="D62" i="4"/>
  <c r="D61" i="4"/>
  <c r="D60" i="4"/>
  <c r="C60" i="4" s="1"/>
  <c r="D59" i="4"/>
  <c r="D58" i="4"/>
  <c r="C58" i="4" s="1"/>
  <c r="D57" i="4"/>
  <c r="C57" i="4" s="1"/>
  <c r="D56" i="4"/>
  <c r="C56" i="4" s="1"/>
  <c r="D55" i="4"/>
  <c r="D54" i="4"/>
  <c r="D53" i="4"/>
  <c r="D52" i="4"/>
  <c r="C52" i="4" s="1"/>
  <c r="D51" i="4"/>
  <c r="D50" i="4"/>
  <c r="C50" i="4" s="1"/>
  <c r="D49" i="4"/>
  <c r="C49" i="4" s="1"/>
  <c r="D48" i="4"/>
  <c r="C48" i="4" s="1"/>
  <c r="D47" i="4"/>
  <c r="D46" i="4"/>
  <c r="D45" i="4"/>
  <c r="D44" i="4"/>
  <c r="C44" i="4" s="1"/>
  <c r="D43" i="4"/>
  <c r="D42" i="4"/>
  <c r="C42" i="4" s="1"/>
  <c r="D41" i="4"/>
  <c r="C41" i="4" s="1"/>
  <c r="D40" i="4"/>
  <c r="C40" i="4" s="1"/>
  <c r="D39" i="4"/>
  <c r="C39" i="4" s="1"/>
  <c r="D38" i="4"/>
  <c r="C38" i="4" s="1"/>
  <c r="D37" i="4"/>
  <c r="C37" i="4" s="1"/>
  <c r="D36" i="4"/>
  <c r="D35" i="4"/>
  <c r="C35" i="4" s="1"/>
  <c r="D34" i="4"/>
  <c r="C34" i="4" s="1"/>
  <c r="D33" i="4"/>
  <c r="C33" i="4" s="1"/>
  <c r="D32" i="4"/>
  <c r="D31" i="4"/>
  <c r="D30" i="4"/>
  <c r="C30" i="4" s="1"/>
  <c r="D29" i="4"/>
  <c r="C29" i="4" s="1"/>
  <c r="D28" i="4"/>
  <c r="D27" i="4"/>
  <c r="D26" i="4"/>
  <c r="C26" i="4" s="1"/>
  <c r="D25" i="4"/>
  <c r="C25" i="4" s="1"/>
  <c r="D24" i="4"/>
  <c r="D23" i="4"/>
  <c r="C23" i="4" s="1"/>
  <c r="D22" i="4"/>
  <c r="C22" i="4" s="1"/>
  <c r="D21" i="4"/>
  <c r="C21" i="4" s="1"/>
  <c r="D20" i="4"/>
  <c r="D19" i="4"/>
  <c r="C19" i="4" s="1"/>
  <c r="D18" i="4"/>
  <c r="C18" i="4" s="1"/>
  <c r="D17" i="4"/>
  <c r="C17" i="4" s="1"/>
  <c r="D16" i="4"/>
  <c r="D15" i="4"/>
  <c r="D14" i="4"/>
  <c r="C14" i="4" s="1"/>
  <c r="D13" i="4"/>
  <c r="C13" i="4" s="1"/>
  <c r="D12" i="4"/>
  <c r="D11" i="4"/>
  <c r="D10" i="4"/>
  <c r="C10" i="4" s="1"/>
  <c r="D9" i="4"/>
  <c r="C9" i="4" s="1"/>
  <c r="D8" i="4"/>
  <c r="D7" i="4"/>
  <c r="C7" i="4" s="1"/>
  <c r="D6" i="4"/>
  <c r="C6" i="4" s="1"/>
  <c r="D5" i="4"/>
  <c r="C5" i="4" s="1"/>
  <c r="D4" i="4"/>
  <c r="C4" i="4" s="1"/>
  <c r="E2" i="4"/>
  <c r="C1" i="4"/>
  <c r="D72" i="3"/>
  <c r="J72" i="3" s="1"/>
  <c r="D71" i="3"/>
  <c r="J71" i="3" s="1"/>
  <c r="D70" i="3"/>
  <c r="J70" i="3" s="1"/>
  <c r="D69" i="3"/>
  <c r="J69" i="3" s="1"/>
  <c r="D68" i="3"/>
  <c r="J68" i="3" s="1"/>
  <c r="D67" i="3"/>
  <c r="J67" i="3" s="1"/>
  <c r="D66" i="3"/>
  <c r="J66" i="3" s="1"/>
  <c r="D65" i="3"/>
  <c r="J65" i="3" s="1"/>
  <c r="D64" i="3"/>
  <c r="J64" i="3" s="1"/>
  <c r="D63" i="3"/>
  <c r="J63" i="3" s="1"/>
  <c r="D62" i="3"/>
  <c r="J62" i="3" s="1"/>
  <c r="D61" i="3"/>
  <c r="J61" i="3" s="1"/>
  <c r="D60" i="3"/>
  <c r="J60" i="3" s="1"/>
  <c r="D59" i="3"/>
  <c r="J59" i="3" s="1"/>
  <c r="D58" i="3"/>
  <c r="J58" i="3" s="1"/>
  <c r="D57" i="3"/>
  <c r="J57" i="3" s="1"/>
  <c r="D56" i="3"/>
  <c r="J56" i="3" s="1"/>
  <c r="D55" i="3"/>
  <c r="J55" i="3" s="1"/>
  <c r="D54" i="3"/>
  <c r="J54" i="3" s="1"/>
  <c r="D53" i="3"/>
  <c r="J53" i="3" s="1"/>
  <c r="D52" i="3"/>
  <c r="J52" i="3" s="1"/>
  <c r="D51" i="3"/>
  <c r="J51" i="3" s="1"/>
  <c r="D50" i="3"/>
  <c r="J50" i="3" s="1"/>
  <c r="D49" i="3"/>
  <c r="J49" i="3" s="1"/>
  <c r="D48" i="3"/>
  <c r="J48" i="3" s="1"/>
  <c r="D47" i="3"/>
  <c r="J47" i="3" s="1"/>
  <c r="D46" i="3"/>
  <c r="J46" i="3" s="1"/>
  <c r="D45" i="3"/>
  <c r="J45" i="3" s="1"/>
  <c r="D44" i="3"/>
  <c r="J44" i="3" s="1"/>
  <c r="D43" i="3"/>
  <c r="J43" i="3" s="1"/>
  <c r="D42" i="3"/>
  <c r="J42" i="3" s="1"/>
  <c r="D41" i="3"/>
  <c r="J41" i="3" s="1"/>
  <c r="D40" i="3"/>
  <c r="J40" i="3" s="1"/>
  <c r="D39" i="3"/>
  <c r="J39" i="3" s="1"/>
  <c r="D38" i="3"/>
  <c r="D37" i="3"/>
  <c r="H37" i="3" s="1"/>
  <c r="D36" i="3"/>
  <c r="D35" i="3"/>
  <c r="H35" i="3" s="1"/>
  <c r="D34" i="3"/>
  <c r="D33" i="3"/>
  <c r="H33" i="3" s="1"/>
  <c r="D32" i="3"/>
  <c r="D31" i="3"/>
  <c r="H31" i="3" s="1"/>
  <c r="D30" i="3"/>
  <c r="H30" i="3" s="1"/>
  <c r="D29" i="3"/>
  <c r="D28" i="3"/>
  <c r="H28" i="3" s="1"/>
  <c r="D27" i="3"/>
  <c r="H27" i="3" s="1"/>
  <c r="D26" i="3"/>
  <c r="E26" i="3" s="1"/>
  <c r="D25" i="3"/>
  <c r="D24" i="3"/>
  <c r="H24" i="3" s="1"/>
  <c r="D23" i="3"/>
  <c r="H23" i="3" s="1"/>
  <c r="D22" i="3"/>
  <c r="E22" i="3" s="1"/>
  <c r="D21" i="3"/>
  <c r="D20" i="3"/>
  <c r="H20" i="3" s="1"/>
  <c r="D19" i="3"/>
  <c r="H19" i="3" s="1"/>
  <c r="D18" i="3"/>
  <c r="D17" i="3"/>
  <c r="D16" i="3"/>
  <c r="H16" i="3" s="1"/>
  <c r="D15" i="3"/>
  <c r="H15" i="3" s="1"/>
  <c r="D14" i="3"/>
  <c r="D13" i="3"/>
  <c r="D12" i="3"/>
  <c r="H12" i="3" s="1"/>
  <c r="D11" i="3"/>
  <c r="H11" i="3" s="1"/>
  <c r="D10" i="3"/>
  <c r="D9" i="3"/>
  <c r="D8" i="3"/>
  <c r="H8" i="3" s="1"/>
  <c r="D7" i="3"/>
  <c r="H7" i="3" s="1"/>
  <c r="D6" i="3"/>
  <c r="D5" i="3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703" i="2"/>
  <c r="S702" i="2"/>
  <c r="S701" i="2"/>
  <c r="S4" i="2"/>
  <c r="E23" i="3" l="1"/>
  <c r="I23" i="3"/>
  <c r="I27" i="3"/>
  <c r="E30" i="3"/>
  <c r="I7" i="3"/>
  <c r="I16" i="3"/>
  <c r="E19" i="3"/>
  <c r="H7" i="7"/>
  <c r="G27" i="7"/>
  <c r="I19" i="3"/>
  <c r="G14" i="7"/>
  <c r="C38" i="7"/>
  <c r="I8" i="3"/>
  <c r="E11" i="3"/>
  <c r="E27" i="3"/>
  <c r="C17" i="7"/>
  <c r="K19" i="7"/>
  <c r="I12" i="3"/>
  <c r="E15" i="3"/>
  <c r="L7" i="7"/>
  <c r="H14" i="7"/>
  <c r="D17" i="7"/>
  <c r="L19" i="7"/>
  <c r="K27" i="7"/>
  <c r="G38" i="7"/>
  <c r="I15" i="3"/>
  <c r="C13" i="7"/>
  <c r="K15" i="7"/>
  <c r="G18" i="7"/>
  <c r="C22" i="7"/>
  <c r="K32" i="7"/>
  <c r="E7" i="3"/>
  <c r="I11" i="3"/>
  <c r="I20" i="3"/>
  <c r="I24" i="3"/>
  <c r="I28" i="3"/>
  <c r="D13" i="7"/>
  <c r="L15" i="7"/>
  <c r="H18" i="7"/>
  <c r="G22" i="7"/>
  <c r="C36" i="4"/>
  <c r="C70" i="4"/>
  <c r="C78" i="4"/>
  <c r="C102" i="4"/>
  <c r="C110" i="4"/>
  <c r="C118" i="4"/>
  <c r="H5" i="3"/>
  <c r="I5" i="3"/>
  <c r="E5" i="3"/>
  <c r="H9" i="3"/>
  <c r="I9" i="3"/>
  <c r="E9" i="3"/>
  <c r="C126" i="4"/>
  <c r="H18" i="3"/>
  <c r="I18" i="3"/>
  <c r="H22" i="3"/>
  <c r="I22" i="3"/>
  <c r="H26" i="3"/>
  <c r="I26" i="3"/>
  <c r="C11" i="4"/>
  <c r="C12" i="4"/>
  <c r="C27" i="4"/>
  <c r="C28" i="4"/>
  <c r="C45" i="4"/>
  <c r="C53" i="4"/>
  <c r="C61" i="4"/>
  <c r="C69" i="4"/>
  <c r="C77" i="4"/>
  <c r="C85" i="4"/>
  <c r="C93" i="4"/>
  <c r="C101" i="4"/>
  <c r="C109" i="4"/>
  <c r="C134" i="4"/>
  <c r="C20" i="4"/>
  <c r="C46" i="4"/>
  <c r="C54" i="4"/>
  <c r="C62" i="4"/>
  <c r="C86" i="4"/>
  <c r="C94" i="4"/>
  <c r="H13" i="3"/>
  <c r="I13" i="3"/>
  <c r="E13" i="3"/>
  <c r="H17" i="3"/>
  <c r="I17" i="3"/>
  <c r="E17" i="3"/>
  <c r="H21" i="3"/>
  <c r="I21" i="3"/>
  <c r="E21" i="3"/>
  <c r="H25" i="3"/>
  <c r="I25" i="3"/>
  <c r="E25" i="3"/>
  <c r="H29" i="3"/>
  <c r="I29" i="3"/>
  <c r="E29" i="3"/>
  <c r="C8" i="4"/>
  <c r="C24" i="4"/>
  <c r="H6" i="3"/>
  <c r="I6" i="3"/>
  <c r="H10" i="3"/>
  <c r="I10" i="3"/>
  <c r="H14" i="3"/>
  <c r="I14" i="3"/>
  <c r="E6" i="3"/>
  <c r="E10" i="3"/>
  <c r="E14" i="3"/>
  <c r="E18" i="3"/>
  <c r="C15" i="4"/>
  <c r="C16" i="4"/>
  <c r="C31" i="4"/>
  <c r="C32" i="4"/>
  <c r="C43" i="4"/>
  <c r="C51" i="4"/>
  <c r="C59" i="4"/>
  <c r="C67" i="4"/>
  <c r="C75" i="4"/>
  <c r="C83" i="4"/>
  <c r="C91" i="4"/>
  <c r="C99" i="4"/>
  <c r="C107" i="4"/>
  <c r="C115" i="4"/>
  <c r="C142" i="4"/>
  <c r="C150" i="4"/>
  <c r="C209" i="4"/>
  <c r="C113" i="5"/>
  <c r="C123" i="4"/>
  <c r="C131" i="4"/>
  <c r="C139" i="4"/>
  <c r="C147" i="4"/>
  <c r="C155" i="4"/>
  <c r="C163" i="4"/>
  <c r="C171" i="4"/>
  <c r="C177" i="4"/>
  <c r="C183" i="4"/>
  <c r="C191" i="4"/>
  <c r="C199" i="4"/>
  <c r="C207" i="4"/>
  <c r="C222" i="4"/>
  <c r="C12" i="5"/>
  <c r="C193" i="4"/>
  <c r="C201" i="4"/>
  <c r="E8" i="3"/>
  <c r="E12" i="3"/>
  <c r="E16" i="3"/>
  <c r="E20" i="3"/>
  <c r="E24" i="3"/>
  <c r="E28" i="3"/>
  <c r="C47" i="4"/>
  <c r="C55" i="4"/>
  <c r="C63" i="4"/>
  <c r="C71" i="4"/>
  <c r="C79" i="4"/>
  <c r="C87" i="4"/>
  <c r="C95" i="4"/>
  <c r="C103" i="4"/>
  <c r="C111" i="4"/>
  <c r="C119" i="4"/>
  <c r="C127" i="4"/>
  <c r="C135" i="4"/>
  <c r="C143" i="4"/>
  <c r="C151" i="4"/>
  <c r="C158" i="4"/>
  <c r="C159" i="4"/>
  <c r="C166" i="4"/>
  <c r="C167" i="4"/>
  <c r="C174" i="4"/>
  <c r="C175" i="4"/>
  <c r="C179" i="4"/>
  <c r="C190" i="4"/>
  <c r="C198" i="4"/>
  <c r="C206" i="4"/>
  <c r="C214" i="4"/>
  <c r="C13" i="5"/>
  <c r="C39" i="5"/>
  <c r="C157" i="4"/>
  <c r="C165" i="4"/>
  <c r="C173" i="4"/>
  <c r="C181" i="4"/>
  <c r="C182" i="4"/>
  <c r="C185" i="4"/>
  <c r="C221" i="4"/>
  <c r="C32" i="5"/>
  <c r="C187" i="4"/>
  <c r="C195" i="4"/>
  <c r="C203" i="4"/>
  <c r="C20" i="5"/>
  <c r="C21" i="5"/>
  <c r="C217" i="4"/>
  <c r="C225" i="4"/>
  <c r="C230" i="4"/>
  <c r="C4" i="5"/>
  <c r="C28" i="5"/>
  <c r="C29" i="5"/>
  <c r="C48" i="5"/>
  <c r="C120" i="5"/>
  <c r="C218" i="4"/>
  <c r="C226" i="4"/>
  <c r="C7" i="5"/>
  <c r="C16" i="5"/>
  <c r="C24" i="5"/>
  <c r="C47" i="5"/>
  <c r="C136" i="5"/>
  <c r="C5" i="5"/>
  <c r="C40" i="5"/>
  <c r="C56" i="5"/>
  <c r="C112" i="5"/>
  <c r="C121" i="5"/>
  <c r="C159" i="5"/>
  <c r="C169" i="5"/>
  <c r="C37" i="5"/>
  <c r="C45" i="5"/>
  <c r="C53" i="5"/>
  <c r="C61" i="5"/>
  <c r="C69" i="5"/>
  <c r="C77" i="5"/>
  <c r="C85" i="5"/>
  <c r="C93" i="5"/>
  <c r="C211" i="5"/>
  <c r="C64" i="5"/>
  <c r="C72" i="5"/>
  <c r="C80" i="5"/>
  <c r="C88" i="5"/>
  <c r="C96" i="5"/>
  <c r="C105" i="5"/>
  <c r="C129" i="5"/>
  <c r="C131" i="5"/>
  <c r="C151" i="5"/>
  <c r="C123" i="5"/>
  <c r="C146" i="5"/>
  <c r="C161" i="5"/>
  <c r="C9" i="5"/>
  <c r="C17" i="5"/>
  <c r="C25" i="5"/>
  <c r="C33" i="5"/>
  <c r="C41" i="5"/>
  <c r="C49" i="5"/>
  <c r="C57" i="5"/>
  <c r="C65" i="5"/>
  <c r="C73" i="5"/>
  <c r="C81" i="5"/>
  <c r="C89" i="5"/>
  <c r="C97" i="5"/>
  <c r="C100" i="5"/>
  <c r="C108" i="5"/>
  <c r="C116" i="5"/>
  <c r="C124" i="5"/>
  <c r="C145" i="5"/>
  <c r="C153" i="5"/>
  <c r="C189" i="5"/>
  <c r="C143" i="5"/>
  <c r="C167" i="5"/>
  <c r="C154" i="5"/>
  <c r="C162" i="5"/>
  <c r="C212" i="5"/>
  <c r="C101" i="5"/>
  <c r="C109" i="5"/>
  <c r="C117" i="5"/>
  <c r="C125" i="5"/>
  <c r="C132" i="5"/>
  <c r="C133" i="5"/>
  <c r="C138" i="5"/>
  <c r="C177" i="5"/>
  <c r="C171" i="5"/>
  <c r="C191" i="5"/>
  <c r="C175" i="5"/>
  <c r="C181" i="5"/>
  <c r="C183" i="5"/>
  <c r="C139" i="5"/>
  <c r="C147" i="5"/>
  <c r="C155" i="5"/>
  <c r="C163" i="5"/>
  <c r="C179" i="5"/>
  <c r="C185" i="5"/>
  <c r="C187" i="5"/>
  <c r="C193" i="5"/>
  <c r="C199" i="5"/>
  <c r="C203" i="5"/>
  <c r="C204" i="5"/>
  <c r="C195" i="5"/>
  <c r="C217" i="5"/>
  <c r="C225" i="5"/>
  <c r="C201" i="5"/>
  <c r="C209" i="5"/>
  <c r="C220" i="5"/>
  <c r="C228" i="5"/>
  <c r="K42" i="7"/>
  <c r="D42" i="7"/>
  <c r="K41" i="7"/>
  <c r="G41" i="7"/>
  <c r="B41" i="7"/>
  <c r="J40" i="7"/>
  <c r="F40" i="7"/>
  <c r="B40" i="7"/>
  <c r="J39" i="7"/>
  <c r="F39" i="7"/>
  <c r="B39" i="7"/>
  <c r="J38" i="7"/>
  <c r="F38" i="7"/>
  <c r="B38" i="7"/>
  <c r="J37" i="7"/>
  <c r="F37" i="7"/>
  <c r="B37" i="7"/>
  <c r="J36" i="7"/>
  <c r="F36" i="7"/>
  <c r="B36" i="7"/>
  <c r="J35" i="7"/>
  <c r="F35" i="7"/>
  <c r="B35" i="7"/>
  <c r="J34" i="7"/>
  <c r="F34" i="7"/>
  <c r="B34" i="7"/>
  <c r="J33" i="7"/>
  <c r="F33" i="7"/>
  <c r="B33" i="7"/>
  <c r="J32" i="7"/>
  <c r="F32" i="7"/>
  <c r="B32" i="7"/>
  <c r="J31" i="7"/>
  <c r="F31" i="7"/>
  <c r="B31" i="7"/>
  <c r="J30" i="7"/>
  <c r="F30" i="7"/>
  <c r="B30" i="7"/>
  <c r="J29" i="7"/>
  <c r="F29" i="7"/>
  <c r="B29" i="7"/>
  <c r="J28" i="7"/>
  <c r="F28" i="7"/>
  <c r="B28" i="7"/>
  <c r="J27" i="7"/>
  <c r="F27" i="7"/>
  <c r="B27" i="7"/>
  <c r="J26" i="7"/>
  <c r="F26" i="7"/>
  <c r="B26" i="7"/>
  <c r="J25" i="7"/>
  <c r="F25" i="7"/>
  <c r="B25" i="7"/>
  <c r="J24" i="7"/>
  <c r="F24" i="7"/>
  <c r="B24" i="7"/>
  <c r="J23" i="7"/>
  <c r="F23" i="7"/>
  <c r="B23" i="7"/>
  <c r="J22" i="7"/>
  <c r="F22" i="7"/>
  <c r="B22" i="7"/>
  <c r="J21" i="7"/>
  <c r="F21" i="7"/>
  <c r="B21" i="7"/>
  <c r="J20" i="7"/>
  <c r="I42" i="7"/>
  <c r="B42" i="7"/>
  <c r="J41" i="7"/>
  <c r="F41" i="7"/>
  <c r="M40" i="7"/>
  <c r="I40" i="7"/>
  <c r="E40" i="7"/>
  <c r="M39" i="7"/>
  <c r="I39" i="7"/>
  <c r="E39" i="7"/>
  <c r="M38" i="7"/>
  <c r="I38" i="7"/>
  <c r="E38" i="7"/>
  <c r="M37" i="7"/>
  <c r="I37" i="7"/>
  <c r="E37" i="7"/>
  <c r="M36" i="7"/>
  <c r="I36" i="7"/>
  <c r="E36" i="7"/>
  <c r="M35" i="7"/>
  <c r="I35" i="7"/>
  <c r="E35" i="7"/>
  <c r="M34" i="7"/>
  <c r="I34" i="7"/>
  <c r="E34" i="7"/>
  <c r="M33" i="7"/>
  <c r="I33" i="7"/>
  <c r="E33" i="7"/>
  <c r="M32" i="7"/>
  <c r="I32" i="7"/>
  <c r="E32" i="7"/>
  <c r="M31" i="7"/>
  <c r="I31" i="7"/>
  <c r="E31" i="7"/>
  <c r="M30" i="7"/>
  <c r="I30" i="7"/>
  <c r="E30" i="7"/>
  <c r="M29" i="7"/>
  <c r="I29" i="7"/>
  <c r="E29" i="7"/>
  <c r="M28" i="7"/>
  <c r="I28" i="7"/>
  <c r="E28" i="7"/>
  <c r="M27" i="7"/>
  <c r="I27" i="7"/>
  <c r="E27" i="7"/>
  <c r="M26" i="7"/>
  <c r="I26" i="7"/>
  <c r="E26" i="7"/>
  <c r="M25" i="7"/>
  <c r="I25" i="7"/>
  <c r="E25" i="7"/>
  <c r="M24" i="7"/>
  <c r="I24" i="7"/>
  <c r="E24" i="7"/>
  <c r="M23" i="7"/>
  <c r="I23" i="7"/>
  <c r="E23" i="7"/>
  <c r="M22" i="7"/>
  <c r="I22" i="7"/>
  <c r="E22" i="7"/>
  <c r="M21" i="7"/>
  <c r="I21" i="7"/>
  <c r="E21" i="7"/>
  <c r="M20" i="7"/>
  <c r="H42" i="7"/>
  <c r="M41" i="7"/>
  <c r="I41" i="7"/>
  <c r="E41" i="7"/>
  <c r="L40" i="7"/>
  <c r="H40" i="7"/>
  <c r="D40" i="7"/>
  <c r="L39" i="7"/>
  <c r="H39" i="7"/>
  <c r="D39" i="7"/>
  <c r="L38" i="7"/>
  <c r="H38" i="7"/>
  <c r="D38" i="7"/>
  <c r="L37" i="7"/>
  <c r="H37" i="7"/>
  <c r="D37" i="7"/>
  <c r="L36" i="7"/>
  <c r="H36" i="7"/>
  <c r="D36" i="7"/>
  <c r="L35" i="7"/>
  <c r="H35" i="7"/>
  <c r="D35" i="7"/>
  <c r="L34" i="7"/>
  <c r="H34" i="7"/>
  <c r="D34" i="7"/>
  <c r="L33" i="7"/>
  <c r="H33" i="7"/>
  <c r="D33" i="7"/>
  <c r="L32" i="7"/>
  <c r="H32" i="7"/>
  <c r="D32" i="7"/>
  <c r="L31" i="7"/>
  <c r="H31" i="7"/>
  <c r="D31" i="7"/>
  <c r="L30" i="7"/>
  <c r="H30" i="7"/>
  <c r="D30" i="7"/>
  <c r="L29" i="7"/>
  <c r="H29" i="7"/>
  <c r="D29" i="7"/>
  <c r="L28" i="7"/>
  <c r="H28" i="7"/>
  <c r="D28" i="7"/>
  <c r="L27" i="7"/>
  <c r="H27" i="7"/>
  <c r="D27" i="7"/>
  <c r="L26" i="7"/>
  <c r="H26" i="7"/>
  <c r="D26" i="7"/>
  <c r="L25" i="7"/>
  <c r="H25" i="7"/>
  <c r="D25" i="7"/>
  <c r="L24" i="7"/>
  <c r="H24" i="7"/>
  <c r="D24" i="7"/>
  <c r="L23" i="7"/>
  <c r="H23" i="7"/>
  <c r="D23" i="7"/>
  <c r="L22" i="7"/>
  <c r="H22" i="7"/>
  <c r="D22" i="7"/>
  <c r="L21" i="7"/>
  <c r="H21" i="7"/>
  <c r="D21" i="7"/>
  <c r="L41" i="7"/>
  <c r="G40" i="7"/>
  <c r="C39" i="7"/>
  <c r="K37" i="7"/>
  <c r="G36" i="7"/>
  <c r="C35" i="7"/>
  <c r="K33" i="7"/>
  <c r="G32" i="7"/>
  <c r="C31" i="7"/>
  <c r="K29" i="7"/>
  <c r="G28" i="7"/>
  <c r="C27" i="7"/>
  <c r="K25" i="7"/>
  <c r="G24" i="7"/>
  <c r="C23" i="7"/>
  <c r="K21" i="7"/>
  <c r="K20" i="7"/>
  <c r="F20" i="7"/>
  <c r="B20" i="7"/>
  <c r="J19" i="7"/>
  <c r="F19" i="7"/>
  <c r="B19" i="7"/>
  <c r="J18" i="7"/>
  <c r="F18" i="7"/>
  <c r="B18" i="7"/>
  <c r="J17" i="7"/>
  <c r="F17" i="7"/>
  <c r="B17" i="7"/>
  <c r="J16" i="7"/>
  <c r="F16" i="7"/>
  <c r="B16" i="7"/>
  <c r="J15" i="7"/>
  <c r="F15" i="7"/>
  <c r="B15" i="7"/>
  <c r="J14" i="7"/>
  <c r="F14" i="7"/>
  <c r="B14" i="7"/>
  <c r="J13" i="7"/>
  <c r="F13" i="7"/>
  <c r="B13" i="7"/>
  <c r="J12" i="7"/>
  <c r="F12" i="7"/>
  <c r="B12" i="7"/>
  <c r="B7" i="7"/>
  <c r="L5" i="7"/>
  <c r="H4" i="7"/>
  <c r="H41" i="7"/>
  <c r="C40" i="7"/>
  <c r="K38" i="7"/>
  <c r="G37" i="7"/>
  <c r="C36" i="7"/>
  <c r="K34" i="7"/>
  <c r="G33" i="7"/>
  <c r="C32" i="7"/>
  <c r="K30" i="7"/>
  <c r="G29" i="7"/>
  <c r="C28" i="7"/>
  <c r="K26" i="7"/>
  <c r="G25" i="7"/>
  <c r="C24" i="7"/>
  <c r="K22" i="7"/>
  <c r="G21" i="7"/>
  <c r="I20" i="7"/>
  <c r="E20" i="7"/>
  <c r="M19" i="7"/>
  <c r="I19" i="7"/>
  <c r="E19" i="7"/>
  <c r="M18" i="7"/>
  <c r="I18" i="7"/>
  <c r="E18" i="7"/>
  <c r="M17" i="7"/>
  <c r="I17" i="7"/>
  <c r="E17" i="7"/>
  <c r="M16" i="7"/>
  <c r="I16" i="7"/>
  <c r="E16" i="7"/>
  <c r="M15" i="7"/>
  <c r="I15" i="7"/>
  <c r="E15" i="7"/>
  <c r="M14" i="7"/>
  <c r="I14" i="7"/>
  <c r="E14" i="7"/>
  <c r="M13" i="7"/>
  <c r="I13" i="7"/>
  <c r="E13" i="7"/>
  <c r="M12" i="7"/>
  <c r="I12" i="7"/>
  <c r="E12" i="7"/>
  <c r="B8" i="7"/>
  <c r="L6" i="7"/>
  <c r="H5" i="7"/>
  <c r="B4" i="7"/>
  <c r="M42" i="7"/>
  <c r="K39" i="7"/>
  <c r="C37" i="7"/>
  <c r="G34" i="7"/>
  <c r="K31" i="7"/>
  <c r="C29" i="7"/>
  <c r="G26" i="7"/>
  <c r="K23" i="7"/>
  <c r="C21" i="7"/>
  <c r="D20" i="7"/>
  <c r="H19" i="7"/>
  <c r="L18" i="7"/>
  <c r="D18" i="7"/>
  <c r="H17" i="7"/>
  <c r="L16" i="7"/>
  <c r="D16" i="7"/>
  <c r="H15" i="7"/>
  <c r="L14" i="7"/>
  <c r="D14" i="7"/>
  <c r="H13" i="7"/>
  <c r="L12" i="7"/>
  <c r="D12" i="7"/>
  <c r="H6" i="7"/>
  <c r="F42" i="7"/>
  <c r="G39" i="7"/>
  <c r="K36" i="7"/>
  <c r="C34" i="7"/>
  <c r="G31" i="7"/>
  <c r="K28" i="7"/>
  <c r="C26" i="7"/>
  <c r="G23" i="7"/>
  <c r="L20" i="7"/>
  <c r="C20" i="7"/>
  <c r="G19" i="7"/>
  <c r="K18" i="7"/>
  <c r="C18" i="7"/>
  <c r="G17" i="7"/>
  <c r="K16" i="7"/>
  <c r="C16" i="7"/>
  <c r="G15" i="7"/>
  <c r="K14" i="7"/>
  <c r="C14" i="7"/>
  <c r="G13" i="7"/>
  <c r="K12" i="7"/>
  <c r="C12" i="7"/>
  <c r="B6" i="7"/>
  <c r="G12" i="7"/>
  <c r="K13" i="7"/>
  <c r="C15" i="7"/>
  <c r="G16" i="7"/>
  <c r="K17" i="7"/>
  <c r="C19" i="7"/>
  <c r="G20" i="7"/>
  <c r="K24" i="7"/>
  <c r="C30" i="7"/>
  <c r="G35" i="7"/>
  <c r="K40" i="7"/>
  <c r="B5" i="7"/>
  <c r="H12" i="7"/>
  <c r="L13" i="7"/>
  <c r="D15" i="7"/>
  <c r="H16" i="7"/>
  <c r="L17" i="7"/>
  <c r="D19" i="7"/>
  <c r="H20" i="7"/>
  <c r="C25" i="7"/>
  <c r="G30" i="7"/>
  <c r="K35" i="7"/>
  <c r="D41" i="7"/>
  <c r="C205" i="5"/>
  <c r="C213" i="5"/>
  <c r="C221" i="5"/>
  <c r="C229" i="5"/>
  <c r="F5" i="3"/>
  <c r="F6" i="3"/>
  <c r="J7" i="3"/>
  <c r="J8" i="3"/>
  <c r="J9" i="3"/>
  <c r="J10" i="3"/>
  <c r="J11" i="3"/>
  <c r="J12" i="3"/>
  <c r="F13" i="3"/>
  <c r="J13" i="3"/>
  <c r="F14" i="3"/>
  <c r="J14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2" i="3"/>
  <c r="F32" i="3"/>
  <c r="I32" i="3"/>
  <c r="E32" i="3"/>
  <c r="G32" i="3"/>
  <c r="C32" i="3"/>
  <c r="J34" i="3"/>
  <c r="F34" i="3"/>
  <c r="I34" i="3"/>
  <c r="E34" i="3"/>
  <c r="G34" i="3"/>
  <c r="C34" i="3"/>
  <c r="J36" i="3"/>
  <c r="F36" i="3"/>
  <c r="I36" i="3"/>
  <c r="E36" i="3"/>
  <c r="G36" i="3"/>
  <c r="C36" i="3"/>
  <c r="J38" i="3"/>
  <c r="F38" i="3"/>
  <c r="I38" i="3"/>
  <c r="E38" i="3"/>
  <c r="H38" i="3"/>
  <c r="G38" i="3"/>
  <c r="C38" i="3"/>
  <c r="J5" i="3"/>
  <c r="J6" i="3"/>
  <c r="F7" i="3"/>
  <c r="F8" i="3"/>
  <c r="F9" i="3"/>
  <c r="F10" i="3"/>
  <c r="F11" i="3"/>
  <c r="F12" i="3"/>
  <c r="F15" i="3"/>
  <c r="C5" i="3"/>
  <c r="G5" i="3"/>
  <c r="C6" i="3"/>
  <c r="G6" i="3"/>
  <c r="C7" i="3"/>
  <c r="G7" i="3"/>
  <c r="C8" i="3"/>
  <c r="G8" i="3"/>
  <c r="C9" i="3"/>
  <c r="G9" i="3"/>
  <c r="C10" i="3"/>
  <c r="G10" i="3"/>
  <c r="C11" i="3"/>
  <c r="G11" i="3"/>
  <c r="C12" i="3"/>
  <c r="G12" i="3"/>
  <c r="C13" i="3"/>
  <c r="G13" i="3"/>
  <c r="C14" i="3"/>
  <c r="G14" i="3"/>
  <c r="C15" i="3"/>
  <c r="G15" i="3"/>
  <c r="C16" i="3"/>
  <c r="G16" i="3"/>
  <c r="C17" i="3"/>
  <c r="G17" i="3"/>
  <c r="C18" i="3"/>
  <c r="G18" i="3"/>
  <c r="C19" i="3"/>
  <c r="G19" i="3"/>
  <c r="C20" i="3"/>
  <c r="G20" i="3"/>
  <c r="C21" i="3"/>
  <c r="G21" i="3"/>
  <c r="C22" i="3"/>
  <c r="G22" i="3"/>
  <c r="C23" i="3"/>
  <c r="G23" i="3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H32" i="3"/>
  <c r="H34" i="3"/>
  <c r="H36" i="3"/>
  <c r="J30" i="3"/>
  <c r="I30" i="3"/>
  <c r="G30" i="3"/>
  <c r="J31" i="3"/>
  <c r="F31" i="3"/>
  <c r="I31" i="3"/>
  <c r="E31" i="3"/>
  <c r="G31" i="3"/>
  <c r="C31" i="3"/>
  <c r="J33" i="3"/>
  <c r="F33" i="3"/>
  <c r="I33" i="3"/>
  <c r="E33" i="3"/>
  <c r="G33" i="3"/>
  <c r="C33" i="3"/>
  <c r="J35" i="3"/>
  <c r="F35" i="3"/>
  <c r="I35" i="3"/>
  <c r="E35" i="3"/>
  <c r="G35" i="3"/>
  <c r="C35" i="3"/>
  <c r="J37" i="3"/>
  <c r="F37" i="3"/>
  <c r="I37" i="3"/>
  <c r="E37" i="3"/>
  <c r="G37" i="3"/>
  <c r="C37" i="3"/>
  <c r="C39" i="3"/>
  <c r="G39" i="3"/>
  <c r="C40" i="3"/>
  <c r="G40" i="3"/>
  <c r="C41" i="3"/>
  <c r="G41" i="3"/>
  <c r="C42" i="3"/>
  <c r="G42" i="3"/>
  <c r="C43" i="3"/>
  <c r="G43" i="3"/>
  <c r="C44" i="3"/>
  <c r="G44" i="3"/>
  <c r="C45" i="3"/>
  <c r="G45" i="3"/>
  <c r="C46" i="3"/>
  <c r="G46" i="3"/>
  <c r="C47" i="3"/>
  <c r="G47" i="3"/>
  <c r="C48" i="3"/>
  <c r="G48" i="3"/>
  <c r="C49" i="3"/>
  <c r="G49" i="3"/>
  <c r="C50" i="3"/>
  <c r="G50" i="3"/>
  <c r="C51" i="3"/>
  <c r="G51" i="3"/>
  <c r="C52" i="3"/>
  <c r="G52" i="3"/>
  <c r="C53" i="3"/>
  <c r="G53" i="3"/>
  <c r="C54" i="3"/>
  <c r="G54" i="3"/>
  <c r="C55" i="3"/>
  <c r="G55" i="3"/>
  <c r="C56" i="3"/>
  <c r="G56" i="3"/>
  <c r="C57" i="3"/>
  <c r="G57" i="3"/>
  <c r="C58" i="3"/>
  <c r="G58" i="3"/>
  <c r="C59" i="3"/>
  <c r="G59" i="3"/>
  <c r="C60" i="3"/>
  <c r="G60" i="3"/>
  <c r="C61" i="3"/>
  <c r="G61" i="3"/>
  <c r="C62" i="3"/>
  <c r="G62" i="3"/>
  <c r="C63" i="3"/>
  <c r="G63" i="3"/>
  <c r="C64" i="3"/>
  <c r="G64" i="3"/>
  <c r="C65" i="3"/>
  <c r="G65" i="3"/>
  <c r="C66" i="3"/>
  <c r="G66" i="3"/>
  <c r="C67" i="3"/>
  <c r="G67" i="3"/>
  <c r="C68" i="3"/>
  <c r="G68" i="3"/>
  <c r="C69" i="3"/>
  <c r="G69" i="3"/>
  <c r="C70" i="3"/>
  <c r="G70" i="3"/>
  <c r="C71" i="3"/>
  <c r="G71" i="3"/>
  <c r="C72" i="3"/>
  <c r="G72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E39" i="3"/>
  <c r="I39" i="3"/>
  <c r="E40" i="3"/>
  <c r="I40" i="3"/>
  <c r="E41" i="3"/>
  <c r="I41" i="3"/>
  <c r="E42" i="3"/>
  <c r="I42" i="3"/>
  <c r="E43" i="3"/>
  <c r="I43" i="3"/>
  <c r="E44" i="3"/>
  <c r="I44" i="3"/>
  <c r="E45" i="3"/>
  <c r="I45" i="3"/>
  <c r="E46" i="3"/>
  <c r="I46" i="3"/>
  <c r="E47" i="3"/>
  <c r="I47" i="3"/>
  <c r="E48" i="3"/>
  <c r="I48" i="3"/>
  <c r="E49" i="3"/>
  <c r="I49" i="3"/>
  <c r="E50" i="3"/>
  <c r="I50" i="3"/>
  <c r="E51" i="3"/>
  <c r="I51" i="3"/>
  <c r="E52" i="3"/>
  <c r="I52" i="3"/>
  <c r="E53" i="3"/>
  <c r="I53" i="3"/>
  <c r="E54" i="3"/>
  <c r="I54" i="3"/>
  <c r="E55" i="3"/>
  <c r="I55" i="3"/>
  <c r="E56" i="3"/>
  <c r="I56" i="3"/>
  <c r="E57" i="3"/>
  <c r="I57" i="3"/>
  <c r="E58" i="3"/>
  <c r="I58" i="3"/>
  <c r="E59" i="3"/>
  <c r="I59" i="3"/>
  <c r="E60" i="3"/>
  <c r="I60" i="3"/>
  <c r="E61" i="3"/>
  <c r="I61" i="3"/>
  <c r="E62" i="3"/>
  <c r="I62" i="3"/>
  <c r="E63" i="3"/>
  <c r="I63" i="3"/>
  <c r="E64" i="3"/>
  <c r="I64" i="3"/>
  <c r="E65" i="3"/>
  <c r="I65" i="3"/>
  <c r="E66" i="3"/>
  <c r="I66" i="3"/>
  <c r="E67" i="3"/>
  <c r="I67" i="3"/>
  <c r="E68" i="3"/>
  <c r="I68" i="3"/>
  <c r="E69" i="3"/>
  <c r="I69" i="3"/>
  <c r="E70" i="3"/>
  <c r="I70" i="3"/>
  <c r="E71" i="3"/>
  <c r="I71" i="3"/>
  <c r="E72" i="3"/>
  <c r="I72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C45" i="7" l="1"/>
  <c r="G45" i="7"/>
  <c r="H45" i="7"/>
  <c r="E45" i="7"/>
  <c r="M46" i="7"/>
  <c r="K46" i="7"/>
  <c r="D48" i="7"/>
  <c r="D47" i="7"/>
  <c r="D44" i="7"/>
  <c r="D43" i="7"/>
  <c r="M48" i="7"/>
  <c r="M44" i="7"/>
  <c r="M47" i="7"/>
  <c r="M43" i="7"/>
  <c r="C46" i="7"/>
  <c r="F48" i="7"/>
  <c r="F47" i="7"/>
  <c r="F44" i="7"/>
  <c r="F43" i="7"/>
  <c r="C48" i="7"/>
  <c r="C47" i="7"/>
  <c r="C44" i="7"/>
  <c r="C43" i="7"/>
  <c r="L48" i="7"/>
  <c r="L47" i="7"/>
  <c r="L44" i="7"/>
  <c r="L43" i="7"/>
  <c r="K45" i="7"/>
  <c r="J48" i="7"/>
  <c r="J47" i="7"/>
  <c r="J44" i="7"/>
  <c r="J43" i="7"/>
  <c r="D45" i="7"/>
  <c r="L46" i="7"/>
  <c r="I46" i="7"/>
  <c r="J45" i="7"/>
  <c r="B46" i="7"/>
  <c r="K48" i="7"/>
  <c r="K47" i="7"/>
  <c r="K44" i="7"/>
  <c r="K43" i="7"/>
  <c r="E47" i="7"/>
  <c r="E43" i="7"/>
  <c r="E48" i="7"/>
  <c r="E44" i="7"/>
  <c r="G46" i="7"/>
  <c r="F46" i="7"/>
  <c r="H48" i="7"/>
  <c r="H47" i="7"/>
  <c r="H44" i="7"/>
  <c r="H43" i="7"/>
  <c r="G48" i="7"/>
  <c r="G47" i="7"/>
  <c r="G44" i="7"/>
  <c r="G43" i="7"/>
  <c r="I47" i="7"/>
  <c r="I43" i="7"/>
  <c r="I48" i="7"/>
  <c r="I44" i="7"/>
  <c r="B51" i="7"/>
  <c r="B48" i="7"/>
  <c r="B47" i="7"/>
  <c r="B44" i="7"/>
  <c r="B43" i="7"/>
  <c r="L45" i="7"/>
  <c r="D46" i="7"/>
  <c r="I45" i="7"/>
  <c r="B45" i="7"/>
  <c r="J46" i="7"/>
  <c r="H46" i="7"/>
  <c r="M45" i="7"/>
  <c r="E46" i="7"/>
  <c r="F45" i="7"/>
  <c r="B52" i="7" l="1"/>
  <c r="B50" i="7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60" i="4"/>
  <c r="H161" i="4"/>
  <c r="H162" i="4"/>
  <c r="H163" i="4"/>
  <c r="H164" i="4"/>
  <c r="H165" i="4"/>
  <c r="H166" i="4"/>
  <c r="H167" i="4"/>
  <c r="H168" i="4"/>
  <c r="H169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8" i="4"/>
  <c r="K179" i="4"/>
  <c r="K180" i="4"/>
  <c r="K181" i="4"/>
  <c r="K182" i="4"/>
  <c r="K183" i="4"/>
  <c r="K184" i="4"/>
  <c r="K185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1" i="4"/>
  <c r="L222" i="4"/>
  <c r="L223" i="4"/>
  <c r="L224" i="4"/>
  <c r="L225" i="4"/>
  <c r="L226" i="4"/>
  <c r="L227" i="4"/>
  <c r="L228" i="4"/>
  <c r="L229" i="4"/>
  <c r="L230" i="4"/>
  <c r="L23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3" i="4"/>
  <c r="N224" i="4"/>
  <c r="N225" i="4"/>
  <c r="N226" i="4"/>
  <c r="N227" i="4"/>
  <c r="N228" i="4"/>
  <c r="N229" i="4"/>
  <c r="N230" i="4"/>
  <c r="N23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1" i="4"/>
  <c r="P212" i="4"/>
  <c r="P213" i="4"/>
  <c r="P214" i="4"/>
  <c r="P215" i="4"/>
  <c r="P216" i="4"/>
  <c r="P217" i="4"/>
  <c r="P218" i="4"/>
  <c r="P219" i="4"/>
  <c r="P220" i="4"/>
  <c r="P222" i="4"/>
  <c r="P223" i="4"/>
  <c r="P224" i="4"/>
  <c r="P225" i="4"/>
  <c r="P226" i="4"/>
  <c r="P227" i="4"/>
  <c r="P228" i="4"/>
  <c r="P229" i="4"/>
  <c r="P230" i="4"/>
  <c r="P231" i="4"/>
  <c r="P189" i="5" l="1"/>
  <c r="P185" i="5"/>
  <c r="P177" i="5"/>
  <c r="P169" i="5"/>
  <c r="P145" i="5"/>
  <c r="P129" i="5"/>
  <c r="P117" i="5"/>
  <c r="P97" i="5"/>
  <c r="O226" i="5"/>
  <c r="O222" i="5"/>
  <c r="O218" i="5"/>
  <c r="O210" i="5"/>
  <c r="O182" i="5"/>
  <c r="O178" i="5"/>
  <c r="O170" i="5"/>
  <c r="O146" i="5"/>
  <c r="O130" i="5"/>
  <c r="O114" i="5"/>
  <c r="O106" i="5"/>
  <c r="O78" i="5"/>
  <c r="N223" i="5"/>
  <c r="N222" i="4"/>
  <c r="N219" i="5"/>
  <c r="N215" i="5"/>
  <c r="N159" i="5"/>
  <c r="N147" i="5"/>
  <c r="N131" i="5"/>
  <c r="N111" i="5"/>
  <c r="N79" i="5"/>
  <c r="M220" i="5"/>
  <c r="M200" i="5"/>
  <c r="M196" i="5"/>
  <c r="M192" i="5"/>
  <c r="M188" i="5"/>
  <c r="M184" i="5"/>
  <c r="M172" i="5"/>
  <c r="M168" i="5"/>
  <c r="M160" i="5"/>
  <c r="M152" i="5"/>
  <c r="M144" i="5"/>
  <c r="M128" i="5"/>
  <c r="M112" i="5"/>
  <c r="M88" i="5"/>
  <c r="L221" i="5"/>
  <c r="L193" i="5"/>
  <c r="L189" i="5"/>
  <c r="L185" i="5"/>
  <c r="L173" i="5"/>
  <c r="L121" i="5"/>
  <c r="L105" i="5"/>
  <c r="L85" i="5"/>
  <c r="K230" i="5"/>
  <c r="K226" i="5"/>
  <c r="K198" i="5"/>
  <c r="K178" i="5"/>
  <c r="K177" i="4"/>
  <c r="Q177" i="4" s="1"/>
  <c r="K150" i="5"/>
  <c r="K146" i="5"/>
  <c r="K130" i="5"/>
  <c r="K114" i="5"/>
  <c r="K102" i="5"/>
  <c r="K86" i="5"/>
  <c r="J227" i="5"/>
  <c r="J155" i="5"/>
  <c r="J139" i="5"/>
  <c r="J127" i="5"/>
  <c r="J103" i="5"/>
  <c r="J95" i="5"/>
  <c r="J87" i="5"/>
  <c r="J75" i="5"/>
  <c r="I224" i="5"/>
  <c r="I220" i="5"/>
  <c r="I216" i="5"/>
  <c r="I212" i="5"/>
  <c r="I208" i="5"/>
  <c r="I196" i="5"/>
  <c r="I188" i="5"/>
  <c r="I180" i="5"/>
  <c r="I172" i="5"/>
  <c r="I156" i="5"/>
  <c r="I124" i="5"/>
  <c r="I112" i="5"/>
  <c r="I96" i="5"/>
  <c r="I88" i="5"/>
  <c r="H201" i="5"/>
  <c r="H197" i="5"/>
  <c r="H193" i="5"/>
  <c r="H181" i="5"/>
  <c r="H177" i="5"/>
  <c r="H169" i="5"/>
  <c r="H161" i="5"/>
  <c r="H133" i="5"/>
  <c r="H121" i="5"/>
  <c r="H101" i="5"/>
  <c r="H93" i="5"/>
  <c r="H85" i="5"/>
  <c r="H81" i="5"/>
  <c r="G210" i="5"/>
  <c r="G198" i="5"/>
  <c r="G186" i="5"/>
  <c r="G178" i="5"/>
  <c r="G170" i="5"/>
  <c r="G162" i="5"/>
  <c r="G146" i="5"/>
  <c r="G130" i="5"/>
  <c r="G110" i="5"/>
  <c r="G90" i="5"/>
  <c r="G82" i="5"/>
  <c r="G78" i="5"/>
  <c r="F211" i="5"/>
  <c r="F191" i="5"/>
  <c r="F183" i="5"/>
  <c r="F175" i="5"/>
  <c r="F167" i="5"/>
  <c r="F159" i="5"/>
  <c r="F135" i="5"/>
  <c r="F111" i="5"/>
  <c r="F103" i="5"/>
  <c r="F79" i="5"/>
  <c r="Q156" i="4"/>
  <c r="Q148" i="4"/>
  <c r="E145" i="5"/>
  <c r="Q136" i="4"/>
  <c r="E133" i="5"/>
  <c r="E129" i="5"/>
  <c r="E125" i="5"/>
  <c r="Q120" i="4"/>
  <c r="E117" i="5"/>
  <c r="E113" i="5"/>
  <c r="E109" i="5"/>
  <c r="E105" i="5"/>
  <c r="Q100" i="4"/>
  <c r="E97" i="5"/>
  <c r="E93" i="5"/>
  <c r="E89" i="5"/>
  <c r="E85" i="5"/>
  <c r="E81" i="5"/>
  <c r="E77" i="5"/>
  <c r="Q72" i="4"/>
  <c r="E65" i="5"/>
  <c r="E49" i="5"/>
  <c r="E45" i="5"/>
  <c r="E41" i="5"/>
  <c r="E37" i="5"/>
  <c r="E13" i="5"/>
  <c r="E9" i="5"/>
  <c r="E229" i="5"/>
  <c r="Q224" i="4"/>
  <c r="E221" i="5"/>
  <c r="Q216" i="4"/>
  <c r="E213" i="5"/>
  <c r="Q208" i="4"/>
  <c r="E205" i="5"/>
  <c r="E201" i="5"/>
  <c r="Q196" i="4"/>
  <c r="E193" i="5"/>
  <c r="E185" i="5"/>
  <c r="Q180" i="4"/>
  <c r="E177" i="5"/>
  <c r="E173" i="5"/>
  <c r="E169" i="5"/>
  <c r="Q164" i="4"/>
  <c r="P230" i="5"/>
  <c r="P226" i="5"/>
  <c r="P222" i="5"/>
  <c r="P221" i="4"/>
  <c r="P218" i="5"/>
  <c r="P214" i="5"/>
  <c r="P210" i="5"/>
  <c r="P206" i="5"/>
  <c r="P202" i="5"/>
  <c r="P198" i="5"/>
  <c r="P194" i="5"/>
  <c r="P193" i="4"/>
  <c r="Q193" i="4" s="1"/>
  <c r="P190" i="5"/>
  <c r="P186" i="5"/>
  <c r="P182" i="5"/>
  <c r="P178" i="5"/>
  <c r="P174" i="5"/>
  <c r="P170" i="5"/>
  <c r="P166" i="5"/>
  <c r="P162" i="5"/>
  <c r="P158" i="5"/>
  <c r="P154" i="5"/>
  <c r="P150" i="5"/>
  <c r="P146" i="5"/>
  <c r="P142" i="5"/>
  <c r="P138" i="5"/>
  <c r="P134" i="5"/>
  <c r="P130" i="5"/>
  <c r="P126" i="5"/>
  <c r="P122" i="5"/>
  <c r="P118" i="5"/>
  <c r="P114" i="5"/>
  <c r="P110" i="5"/>
  <c r="P106" i="5"/>
  <c r="P102" i="5"/>
  <c r="P98" i="5"/>
  <c r="P94" i="5"/>
  <c r="P90" i="5"/>
  <c r="P86" i="5"/>
  <c r="P82" i="5"/>
  <c r="P78" i="5"/>
  <c r="P74" i="5"/>
  <c r="O227" i="5"/>
  <c r="O223" i="5"/>
  <c r="O219" i="5"/>
  <c r="O215" i="5"/>
  <c r="O211" i="5"/>
  <c r="O207" i="5"/>
  <c r="O203" i="5"/>
  <c r="O199" i="5"/>
  <c r="O195" i="5"/>
  <c r="O191" i="5"/>
  <c r="O187" i="5"/>
  <c r="O183" i="5"/>
  <c r="O179" i="5"/>
  <c r="O175" i="5"/>
  <c r="O171" i="5"/>
  <c r="O167" i="5"/>
  <c r="O163" i="5"/>
  <c r="O159" i="5"/>
  <c r="O155" i="5"/>
  <c r="O151" i="5"/>
  <c r="O147" i="5"/>
  <c r="O143" i="5"/>
  <c r="O139" i="5"/>
  <c r="O135" i="5"/>
  <c r="O131" i="5"/>
  <c r="O127" i="5"/>
  <c r="O123" i="5"/>
  <c r="O119" i="5"/>
  <c r="O115" i="5"/>
  <c r="O111" i="5"/>
  <c r="O107" i="5"/>
  <c r="O103" i="5"/>
  <c r="O99" i="5"/>
  <c r="O95" i="5"/>
  <c r="O91" i="5"/>
  <c r="O87" i="5"/>
  <c r="O83" i="5"/>
  <c r="O79" i="5"/>
  <c r="O75" i="5"/>
  <c r="N228" i="5"/>
  <c r="N224" i="5"/>
  <c r="N220" i="5"/>
  <c r="N216" i="5"/>
  <c r="N212" i="5"/>
  <c r="N208" i="5"/>
  <c r="N204" i="5"/>
  <c r="N200" i="5"/>
  <c r="N196" i="5"/>
  <c r="N192" i="5"/>
  <c r="N188" i="5"/>
  <c r="N184" i="5"/>
  <c r="N180" i="5"/>
  <c r="N176" i="5"/>
  <c r="N172" i="5"/>
  <c r="N168" i="5"/>
  <c r="N164" i="5"/>
  <c r="N160" i="5"/>
  <c r="N156" i="5"/>
  <c r="N152" i="5"/>
  <c r="N148" i="5"/>
  <c r="N144" i="5"/>
  <c r="N140" i="5"/>
  <c r="N136" i="5"/>
  <c r="N132" i="5"/>
  <c r="N128" i="5"/>
  <c r="N124" i="5"/>
  <c r="N120" i="5"/>
  <c r="N116" i="5"/>
  <c r="N112" i="5"/>
  <c r="N108" i="5"/>
  <c r="N104" i="5"/>
  <c r="N100" i="5"/>
  <c r="N96" i="5"/>
  <c r="N92" i="5"/>
  <c r="N88" i="5"/>
  <c r="N84" i="5"/>
  <c r="N80" i="5"/>
  <c r="N76" i="5"/>
  <c r="N72" i="5"/>
  <c r="M229" i="5"/>
  <c r="M225" i="5"/>
  <c r="M221" i="5"/>
  <c r="M217" i="5"/>
  <c r="M213" i="5"/>
  <c r="M209" i="5"/>
  <c r="M205" i="5"/>
  <c r="M201" i="5"/>
  <c r="M197" i="5"/>
  <c r="M193" i="5"/>
  <c r="M189" i="5"/>
  <c r="M188" i="4"/>
  <c r="Q188" i="4" s="1"/>
  <c r="M185" i="5"/>
  <c r="M181" i="5"/>
  <c r="M177" i="5"/>
  <c r="M173" i="5"/>
  <c r="M169" i="5"/>
  <c r="M165" i="5"/>
  <c r="M161" i="5"/>
  <c r="M157" i="5"/>
  <c r="M153" i="5"/>
  <c r="M149" i="5"/>
  <c r="M145" i="5"/>
  <c r="M141" i="5"/>
  <c r="M137" i="5"/>
  <c r="M133" i="5"/>
  <c r="M129" i="5"/>
  <c r="M125" i="5"/>
  <c r="M121" i="5"/>
  <c r="M117" i="5"/>
  <c r="M113" i="5"/>
  <c r="M109" i="5"/>
  <c r="M105" i="5"/>
  <c r="M101" i="5"/>
  <c r="M97" i="5"/>
  <c r="M93" i="5"/>
  <c r="M89" i="5"/>
  <c r="M85" i="5"/>
  <c r="M81" i="5"/>
  <c r="M77" i="5"/>
  <c r="M73" i="5"/>
  <c r="L230" i="5"/>
  <c r="L226" i="5"/>
  <c r="L222" i="5"/>
  <c r="L218" i="5"/>
  <c r="L214" i="5"/>
  <c r="L210" i="5"/>
  <c r="L206" i="5"/>
  <c r="L202" i="5"/>
  <c r="L198" i="5"/>
  <c r="L194" i="5"/>
  <c r="L190" i="5"/>
  <c r="L186" i="5"/>
  <c r="L182" i="5"/>
  <c r="L178" i="5"/>
  <c r="L174" i="5"/>
  <c r="L170" i="5"/>
  <c r="L166" i="5"/>
  <c r="L162" i="5"/>
  <c r="L158" i="5"/>
  <c r="L154" i="5"/>
  <c r="L150" i="5"/>
  <c r="L146" i="5"/>
  <c r="L142" i="5"/>
  <c r="L138" i="5"/>
  <c r="L134" i="5"/>
  <c r="L130" i="5"/>
  <c r="L126" i="5"/>
  <c r="L122" i="5"/>
  <c r="L118" i="5"/>
  <c r="L114" i="5"/>
  <c r="L110" i="5"/>
  <c r="L106" i="5"/>
  <c r="L102" i="5"/>
  <c r="L98" i="5"/>
  <c r="L94" i="5"/>
  <c r="L90" i="5"/>
  <c r="L86" i="5"/>
  <c r="L82" i="5"/>
  <c r="L78" i="5"/>
  <c r="L74" i="5"/>
  <c r="K227" i="5"/>
  <c r="K223" i="5"/>
  <c r="K219" i="5"/>
  <c r="K215" i="5"/>
  <c r="K211" i="5"/>
  <c r="K207" i="5"/>
  <c r="K203" i="5"/>
  <c r="K199" i="5"/>
  <c r="K195" i="5"/>
  <c r="K191" i="5"/>
  <c r="K187" i="5"/>
  <c r="K186" i="4"/>
  <c r="Q186" i="4" s="1"/>
  <c r="K183" i="5"/>
  <c r="K179" i="5"/>
  <c r="K175" i="5"/>
  <c r="K171" i="5"/>
  <c r="K167" i="5"/>
  <c r="K163" i="5"/>
  <c r="K159" i="5"/>
  <c r="K155" i="5"/>
  <c r="K151" i="5"/>
  <c r="K147" i="5"/>
  <c r="K143" i="5"/>
  <c r="K139" i="5"/>
  <c r="K135" i="5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J228" i="5"/>
  <c r="J224" i="5"/>
  <c r="J220" i="5"/>
  <c r="J216" i="5"/>
  <c r="J212" i="5"/>
  <c r="J208" i="5"/>
  <c r="J204" i="5"/>
  <c r="J200" i="5"/>
  <c r="J196" i="5"/>
  <c r="J192" i="5"/>
  <c r="J188" i="5"/>
  <c r="J184" i="5"/>
  <c r="J180" i="5"/>
  <c r="J176" i="5"/>
  <c r="J172" i="5"/>
  <c r="J168" i="5"/>
  <c r="J164" i="5"/>
  <c r="J160" i="5"/>
  <c r="J156" i="5"/>
  <c r="J152" i="5"/>
  <c r="J148" i="5"/>
  <c r="J144" i="5"/>
  <c r="J140" i="5"/>
  <c r="J136" i="5"/>
  <c r="J132" i="5"/>
  <c r="J128" i="5"/>
  <c r="J124" i="5"/>
  <c r="J120" i="5"/>
  <c r="J116" i="5"/>
  <c r="J112" i="5"/>
  <c r="J108" i="5"/>
  <c r="J104" i="5"/>
  <c r="J100" i="5"/>
  <c r="J96" i="5"/>
  <c r="J92" i="5"/>
  <c r="J88" i="5"/>
  <c r="J84" i="5"/>
  <c r="J80" i="5"/>
  <c r="J76" i="5"/>
  <c r="J72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H230" i="5"/>
  <c r="H226" i="5"/>
  <c r="H222" i="5"/>
  <c r="H218" i="5"/>
  <c r="H214" i="5"/>
  <c r="H210" i="5"/>
  <c r="H206" i="5"/>
  <c r="H202" i="5"/>
  <c r="H198" i="5"/>
  <c r="H194" i="5"/>
  <c r="H190" i="5"/>
  <c r="H186" i="5"/>
  <c r="H182" i="5"/>
  <c r="H178" i="5"/>
  <c r="H174" i="5"/>
  <c r="H170" i="5"/>
  <c r="H166" i="5"/>
  <c r="H162" i="5"/>
  <c r="H158" i="5"/>
  <c r="H154" i="5"/>
  <c r="H150" i="5"/>
  <c r="H146" i="5"/>
  <c r="H142" i="5"/>
  <c r="H138" i="5"/>
  <c r="H134" i="5"/>
  <c r="H130" i="5"/>
  <c r="H126" i="5"/>
  <c r="H122" i="5"/>
  <c r="H118" i="5"/>
  <c r="H114" i="5"/>
  <c r="H110" i="5"/>
  <c r="H106" i="5"/>
  <c r="H102" i="5"/>
  <c r="H98" i="5"/>
  <c r="H94" i="5"/>
  <c r="H90" i="5"/>
  <c r="H86" i="5"/>
  <c r="H82" i="5"/>
  <c r="H78" i="5"/>
  <c r="H74" i="5"/>
  <c r="G227" i="5"/>
  <c r="G223" i="5"/>
  <c r="G219" i="5"/>
  <c r="G215" i="5"/>
  <c r="G211" i="5"/>
  <c r="G207" i="5"/>
  <c r="G203" i="5"/>
  <c r="G199" i="5"/>
  <c r="G195" i="5"/>
  <c r="G191" i="5"/>
  <c r="G187" i="5"/>
  <c r="G183" i="5"/>
  <c r="G179" i="5"/>
  <c r="G175" i="5"/>
  <c r="G171" i="5"/>
  <c r="G167" i="5"/>
  <c r="G163" i="5"/>
  <c r="G159" i="5"/>
  <c r="G155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F228" i="5"/>
  <c r="F224" i="5"/>
  <c r="F220" i="5"/>
  <c r="F216" i="5"/>
  <c r="F212" i="5"/>
  <c r="F208" i="5"/>
  <c r="F204" i="5"/>
  <c r="F200" i="5"/>
  <c r="F196" i="5"/>
  <c r="F192" i="5"/>
  <c r="F188" i="5"/>
  <c r="F184" i="5"/>
  <c r="F180" i="5"/>
  <c r="F176" i="5"/>
  <c r="F172" i="5"/>
  <c r="F168" i="5"/>
  <c r="F164" i="5"/>
  <c r="F160" i="5"/>
  <c r="F156" i="5"/>
  <c r="F152" i="5"/>
  <c r="F148" i="5"/>
  <c r="F144" i="5"/>
  <c r="F140" i="5"/>
  <c r="F136" i="5"/>
  <c r="F132" i="5"/>
  <c r="F128" i="5"/>
  <c r="F124" i="5"/>
  <c r="F120" i="5"/>
  <c r="F116" i="5"/>
  <c r="F112" i="5"/>
  <c r="F108" i="5"/>
  <c r="F104" i="5"/>
  <c r="F100" i="5"/>
  <c r="F96" i="5"/>
  <c r="F92" i="5"/>
  <c r="F88" i="5"/>
  <c r="F84" i="5"/>
  <c r="F80" i="5"/>
  <c r="F76" i="5"/>
  <c r="F72" i="5"/>
  <c r="N231" i="5"/>
  <c r="J231" i="5"/>
  <c r="F231" i="5"/>
  <c r="Q161" i="4"/>
  <c r="E158" i="5"/>
  <c r="Q157" i="4"/>
  <c r="E154" i="5"/>
  <c r="Q153" i="4"/>
  <c r="E150" i="5"/>
  <c r="Q149" i="4"/>
  <c r="E146" i="5"/>
  <c r="Q145" i="4"/>
  <c r="E142" i="5"/>
  <c r="Q141" i="4"/>
  <c r="E138" i="5"/>
  <c r="Q137" i="4"/>
  <c r="E134" i="5"/>
  <c r="Q133" i="4"/>
  <c r="E130" i="5"/>
  <c r="Q129" i="4"/>
  <c r="E126" i="5"/>
  <c r="Q125" i="4"/>
  <c r="E122" i="5"/>
  <c r="Q121" i="4"/>
  <c r="E118" i="5"/>
  <c r="Q117" i="4"/>
  <c r="E114" i="5"/>
  <c r="Q113" i="4"/>
  <c r="E110" i="5"/>
  <c r="Q109" i="4"/>
  <c r="E106" i="5"/>
  <c r="Q105" i="4"/>
  <c r="E102" i="5"/>
  <c r="Q101" i="4"/>
  <c r="E98" i="5"/>
  <c r="Q97" i="4"/>
  <c r="E94" i="5"/>
  <c r="Q93" i="4"/>
  <c r="E90" i="5"/>
  <c r="Q89" i="4"/>
  <c r="E86" i="5"/>
  <c r="Q85" i="4"/>
  <c r="E82" i="5"/>
  <c r="Q81" i="4"/>
  <c r="E78" i="5"/>
  <c r="Q77" i="4"/>
  <c r="E74" i="5"/>
  <c r="Q73" i="4"/>
  <c r="E70" i="5"/>
  <c r="E66" i="5"/>
  <c r="E62" i="5"/>
  <c r="E58" i="5"/>
  <c r="E54" i="5"/>
  <c r="E50" i="5"/>
  <c r="E46" i="5"/>
  <c r="E42" i="5"/>
  <c r="E38" i="5"/>
  <c r="E34" i="5"/>
  <c r="E30" i="5"/>
  <c r="E26" i="5"/>
  <c r="E22" i="5"/>
  <c r="E18" i="5"/>
  <c r="E14" i="5"/>
  <c r="E10" i="5"/>
  <c r="E6" i="5"/>
  <c r="E230" i="5"/>
  <c r="Q229" i="4"/>
  <c r="E226" i="5"/>
  <c r="Q225" i="4"/>
  <c r="E222" i="5"/>
  <c r="Q221" i="4"/>
  <c r="E218" i="5"/>
  <c r="Q217" i="4"/>
  <c r="E214" i="5"/>
  <c r="Q213" i="4"/>
  <c r="E210" i="5"/>
  <c r="E206" i="5"/>
  <c r="Q205" i="4"/>
  <c r="E202" i="5"/>
  <c r="Q201" i="4"/>
  <c r="E198" i="5"/>
  <c r="Q197" i="4"/>
  <c r="E194" i="5"/>
  <c r="E190" i="5"/>
  <c r="E186" i="5"/>
  <c r="Q185" i="4"/>
  <c r="E182" i="5"/>
  <c r="Q181" i="4"/>
  <c r="E178" i="5"/>
  <c r="E174" i="5"/>
  <c r="Q173" i="4"/>
  <c r="E170" i="5"/>
  <c r="Q169" i="4"/>
  <c r="E166" i="5"/>
  <c r="Q165" i="4"/>
  <c r="E162" i="5"/>
  <c r="P225" i="5"/>
  <c r="P221" i="5"/>
  <c r="P217" i="5"/>
  <c r="P213" i="5"/>
  <c r="P193" i="5"/>
  <c r="P181" i="5"/>
  <c r="P173" i="5"/>
  <c r="P165" i="5"/>
  <c r="P157" i="5"/>
  <c r="P153" i="5"/>
  <c r="P149" i="5"/>
  <c r="P141" i="5"/>
  <c r="P133" i="5"/>
  <c r="P125" i="5"/>
  <c r="P121" i="5"/>
  <c r="P113" i="5"/>
  <c r="P105" i="5"/>
  <c r="P101" i="5"/>
  <c r="P93" i="5"/>
  <c r="P81" i="5"/>
  <c r="O214" i="5"/>
  <c r="O206" i="5"/>
  <c r="O194" i="5"/>
  <c r="O190" i="5"/>
  <c r="O186" i="5"/>
  <c r="O174" i="5"/>
  <c r="O166" i="5"/>
  <c r="O158" i="5"/>
  <c r="O154" i="5"/>
  <c r="O150" i="5"/>
  <c r="O142" i="5"/>
  <c r="O138" i="5"/>
  <c r="O134" i="5"/>
  <c r="O126" i="5"/>
  <c r="O118" i="5"/>
  <c r="O110" i="5"/>
  <c r="O102" i="5"/>
  <c r="O94" i="5"/>
  <c r="O86" i="5"/>
  <c r="N227" i="5"/>
  <c r="N211" i="5"/>
  <c r="N195" i="5"/>
  <c r="N187" i="5"/>
  <c r="N179" i="5"/>
  <c r="N171" i="5"/>
  <c r="N163" i="5"/>
  <c r="N155" i="5"/>
  <c r="N151" i="5"/>
  <c r="N143" i="5"/>
  <c r="N139" i="5"/>
  <c r="N135" i="5"/>
  <c r="N127" i="5"/>
  <c r="N119" i="5"/>
  <c r="N115" i="5"/>
  <c r="N107" i="5"/>
  <c r="N103" i="5"/>
  <c r="N95" i="5"/>
  <c r="N87" i="5"/>
  <c r="N83" i="5"/>
  <c r="M228" i="5"/>
  <c r="M224" i="5"/>
  <c r="M212" i="5"/>
  <c r="M208" i="5"/>
  <c r="M204" i="5"/>
  <c r="M176" i="5"/>
  <c r="M164" i="5"/>
  <c r="M156" i="5"/>
  <c r="M148" i="5"/>
  <c r="M140" i="5"/>
  <c r="M136" i="5"/>
  <c r="M132" i="5"/>
  <c r="M124" i="5"/>
  <c r="M116" i="5"/>
  <c r="M108" i="5"/>
  <c r="M104" i="5"/>
  <c r="M100" i="5"/>
  <c r="M92" i="5"/>
  <c r="M84" i="5"/>
  <c r="M72" i="5"/>
  <c r="L229" i="5"/>
  <c r="L225" i="5"/>
  <c r="L205" i="5"/>
  <c r="L201" i="5"/>
  <c r="L197" i="5"/>
  <c r="L177" i="5"/>
  <c r="L165" i="5"/>
  <c r="L157" i="5"/>
  <c r="L149" i="5"/>
  <c r="L141" i="5"/>
  <c r="L133" i="5"/>
  <c r="L125" i="5"/>
  <c r="L117" i="5"/>
  <c r="L113" i="5"/>
  <c r="L109" i="5"/>
  <c r="L101" i="5"/>
  <c r="L93" i="5"/>
  <c r="L89" i="5"/>
  <c r="L81" i="5"/>
  <c r="L77" i="5"/>
  <c r="K218" i="5"/>
  <c r="K214" i="5"/>
  <c r="K194" i="5"/>
  <c r="K182" i="5"/>
  <c r="K170" i="5"/>
  <c r="K166" i="5"/>
  <c r="K162" i="5"/>
  <c r="K158" i="5"/>
  <c r="K154" i="5"/>
  <c r="K142" i="5"/>
  <c r="K134" i="5"/>
  <c r="K126" i="5"/>
  <c r="K118" i="5"/>
  <c r="K110" i="5"/>
  <c r="K106" i="5"/>
  <c r="K98" i="5"/>
  <c r="K90" i="5"/>
  <c r="K82" i="5"/>
  <c r="K78" i="5"/>
  <c r="J203" i="5"/>
  <c r="J199" i="5"/>
  <c r="J195" i="5"/>
  <c r="J191" i="5"/>
  <c r="J179" i="5"/>
  <c r="J175" i="5"/>
  <c r="J171" i="5"/>
  <c r="J167" i="5"/>
  <c r="J163" i="5"/>
  <c r="J159" i="5"/>
  <c r="J151" i="5"/>
  <c r="J143" i="5"/>
  <c r="J135" i="5"/>
  <c r="J131" i="5"/>
  <c r="J123" i="5"/>
  <c r="J119" i="5"/>
  <c r="J115" i="5"/>
  <c r="J107" i="5"/>
  <c r="J99" i="5"/>
  <c r="J91" i="5"/>
  <c r="J83" i="5"/>
  <c r="J79" i="5"/>
  <c r="I204" i="5"/>
  <c r="I192" i="5"/>
  <c r="I184" i="5"/>
  <c r="I176" i="5"/>
  <c r="I168" i="5"/>
  <c r="I160" i="5"/>
  <c r="I152" i="5"/>
  <c r="I148" i="5"/>
  <c r="I144" i="5"/>
  <c r="I136" i="5"/>
  <c r="I132" i="5"/>
  <c r="I128" i="5"/>
  <c r="I120" i="5"/>
  <c r="I116" i="5"/>
  <c r="I108" i="5"/>
  <c r="I100" i="5"/>
  <c r="I92" i="5"/>
  <c r="I84" i="5"/>
  <c r="I80" i="5"/>
  <c r="H229" i="5"/>
  <c r="H225" i="5"/>
  <c r="H213" i="5"/>
  <c r="H209" i="5"/>
  <c r="H205" i="5"/>
  <c r="H185" i="5"/>
  <c r="H173" i="5"/>
  <c r="H165" i="5"/>
  <c r="H157" i="5"/>
  <c r="H149" i="5"/>
  <c r="H145" i="5"/>
  <c r="H137" i="5"/>
  <c r="H129" i="5"/>
  <c r="H125" i="5"/>
  <c r="H117" i="5"/>
  <c r="H109" i="5"/>
  <c r="H105" i="5"/>
  <c r="H97" i="5"/>
  <c r="H89" i="5"/>
  <c r="H77" i="5"/>
  <c r="H73" i="5"/>
  <c r="G222" i="5"/>
  <c r="G218" i="5"/>
  <c r="G214" i="5"/>
  <c r="G194" i="5"/>
  <c r="G182" i="5"/>
  <c r="G174" i="5"/>
  <c r="G166" i="5"/>
  <c r="G158" i="5"/>
  <c r="G150" i="5"/>
  <c r="G142" i="5"/>
  <c r="G138" i="5"/>
  <c r="G134" i="5"/>
  <c r="G126" i="5"/>
  <c r="G118" i="5"/>
  <c r="G114" i="5"/>
  <c r="G106" i="5"/>
  <c r="G102" i="5"/>
  <c r="G94" i="5"/>
  <c r="G86" i="5"/>
  <c r="F227" i="5"/>
  <c r="F223" i="5"/>
  <c r="F219" i="5"/>
  <c r="F207" i="5"/>
  <c r="F195" i="5"/>
  <c r="F187" i="5"/>
  <c r="F179" i="5"/>
  <c r="F171" i="5"/>
  <c r="F163" i="5"/>
  <c r="F155" i="5"/>
  <c r="F147" i="5"/>
  <c r="F143" i="5"/>
  <c r="F139" i="5"/>
  <c r="F131" i="5"/>
  <c r="F127" i="5"/>
  <c r="F123" i="5"/>
  <c r="F115" i="5"/>
  <c r="F107" i="5"/>
  <c r="F99" i="5"/>
  <c r="F95" i="5"/>
  <c r="F87" i="5"/>
  <c r="F83" i="5"/>
  <c r="K231" i="5"/>
  <c r="Q160" i="4"/>
  <c r="E157" i="5"/>
  <c r="E153" i="5"/>
  <c r="E149" i="5"/>
  <c r="Q140" i="4"/>
  <c r="E137" i="5"/>
  <c r="Q132" i="4"/>
  <c r="Q128" i="4"/>
  <c r="Q124" i="4"/>
  <c r="E121" i="5"/>
  <c r="Q116" i="4"/>
  <c r="Q112" i="4"/>
  <c r="Q108" i="4"/>
  <c r="Q104" i="4"/>
  <c r="E101" i="5"/>
  <c r="Q96" i="4"/>
  <c r="Q92" i="4"/>
  <c r="Q88" i="4"/>
  <c r="Q84" i="4"/>
  <c r="Q80" i="4"/>
  <c r="Q76" i="4"/>
  <c r="E73" i="5"/>
  <c r="E69" i="5"/>
  <c r="E61" i="5"/>
  <c r="E57" i="5"/>
  <c r="E53" i="5"/>
  <c r="E33" i="5"/>
  <c r="E29" i="5"/>
  <c r="E25" i="5"/>
  <c r="E21" i="5"/>
  <c r="E17" i="5"/>
  <c r="Q228" i="4"/>
  <c r="E225" i="5"/>
  <c r="E217" i="5"/>
  <c r="Q212" i="4"/>
  <c r="E209" i="5"/>
  <c r="Q204" i="4"/>
  <c r="Q200" i="4"/>
  <c r="E197" i="5"/>
  <c r="Q192" i="4"/>
  <c r="E189" i="5"/>
  <c r="Q184" i="4"/>
  <c r="E181" i="5"/>
  <c r="Q176" i="4"/>
  <c r="Q172" i="4"/>
  <c r="Q168" i="4"/>
  <c r="E165" i="5"/>
  <c r="P227" i="5"/>
  <c r="P223" i="5"/>
  <c r="P219" i="5"/>
  <c r="P215" i="5"/>
  <c r="P211" i="5"/>
  <c r="P210" i="4"/>
  <c r="Q210" i="4" s="1"/>
  <c r="P207" i="5"/>
  <c r="P203" i="5"/>
  <c r="P199" i="5"/>
  <c r="P195" i="5"/>
  <c r="P194" i="4"/>
  <c r="Q194" i="4" s="1"/>
  <c r="P191" i="5"/>
  <c r="P187" i="5"/>
  <c r="P183" i="5"/>
  <c r="P179" i="5"/>
  <c r="P175" i="5"/>
  <c r="P171" i="5"/>
  <c r="P167" i="5"/>
  <c r="P163" i="5"/>
  <c r="P159" i="5"/>
  <c r="P155" i="5"/>
  <c r="P151" i="5"/>
  <c r="P147" i="5"/>
  <c r="P143" i="5"/>
  <c r="P139" i="5"/>
  <c r="P135" i="5"/>
  <c r="P131" i="5"/>
  <c r="P127" i="5"/>
  <c r="P123" i="5"/>
  <c r="P119" i="5"/>
  <c r="P115" i="5"/>
  <c r="P111" i="5"/>
  <c r="P107" i="5"/>
  <c r="P103" i="5"/>
  <c r="P99" i="5"/>
  <c r="P95" i="5"/>
  <c r="P91" i="5"/>
  <c r="P87" i="5"/>
  <c r="P83" i="5"/>
  <c r="P79" i="5"/>
  <c r="P75" i="5"/>
  <c r="O228" i="5"/>
  <c r="O224" i="5"/>
  <c r="O220" i="5"/>
  <c r="O216" i="5"/>
  <c r="O212" i="5"/>
  <c r="O208" i="5"/>
  <c r="O204" i="5"/>
  <c r="O200" i="5"/>
  <c r="O196" i="5"/>
  <c r="O192" i="5"/>
  <c r="O188" i="5"/>
  <c r="O184" i="5"/>
  <c r="O180" i="5"/>
  <c r="O176" i="5"/>
  <c r="O172" i="5"/>
  <c r="O168" i="5"/>
  <c r="O164" i="5"/>
  <c r="O160" i="5"/>
  <c r="O156" i="5"/>
  <c r="O152" i="5"/>
  <c r="O148" i="5"/>
  <c r="O144" i="5"/>
  <c r="O140" i="5"/>
  <c r="O136" i="5"/>
  <c r="O132" i="5"/>
  <c r="O128" i="5"/>
  <c r="O124" i="5"/>
  <c r="O120" i="5"/>
  <c r="O116" i="5"/>
  <c r="O112" i="5"/>
  <c r="O108" i="5"/>
  <c r="O104" i="5"/>
  <c r="O100" i="5"/>
  <c r="O96" i="5"/>
  <c r="O92" i="5"/>
  <c r="O88" i="5"/>
  <c r="O84" i="5"/>
  <c r="O80" i="5"/>
  <c r="O76" i="5"/>
  <c r="O72" i="5"/>
  <c r="N229" i="5"/>
  <c r="N225" i="5"/>
  <c r="N221" i="5"/>
  <c r="N217" i="5"/>
  <c r="N213" i="5"/>
  <c r="N209" i="5"/>
  <c r="N205" i="5"/>
  <c r="N201" i="5"/>
  <c r="N197" i="5"/>
  <c r="N193" i="5"/>
  <c r="N189" i="5"/>
  <c r="N185" i="5"/>
  <c r="N181" i="5"/>
  <c r="N177" i="5"/>
  <c r="N173" i="5"/>
  <c r="N169" i="5"/>
  <c r="N165" i="5"/>
  <c r="N161" i="5"/>
  <c r="N157" i="5"/>
  <c r="N153" i="5"/>
  <c r="N149" i="5"/>
  <c r="N145" i="5"/>
  <c r="N141" i="5"/>
  <c r="N137" i="5"/>
  <c r="N133" i="5"/>
  <c r="N129" i="5"/>
  <c r="N125" i="5"/>
  <c r="N121" i="5"/>
  <c r="N117" i="5"/>
  <c r="N113" i="5"/>
  <c r="N109" i="5"/>
  <c r="N105" i="5"/>
  <c r="N101" i="5"/>
  <c r="N97" i="5"/>
  <c r="N93" i="5"/>
  <c r="N89" i="5"/>
  <c r="N85" i="5"/>
  <c r="N81" i="5"/>
  <c r="N77" i="5"/>
  <c r="N73" i="5"/>
  <c r="M230" i="5"/>
  <c r="M226" i="5"/>
  <c r="M222" i="5"/>
  <c r="M218" i="5"/>
  <c r="M214" i="5"/>
  <c r="M210" i="5"/>
  <c r="M206" i="5"/>
  <c r="M202" i="5"/>
  <c r="M198" i="5"/>
  <c r="M194" i="5"/>
  <c r="M190" i="5"/>
  <c r="M186" i="5"/>
  <c r="M182" i="5"/>
  <c r="M178" i="5"/>
  <c r="M174" i="5"/>
  <c r="M170" i="5"/>
  <c r="M166" i="5"/>
  <c r="M162" i="5"/>
  <c r="M158" i="5"/>
  <c r="M154" i="5"/>
  <c r="M150" i="5"/>
  <c r="M146" i="5"/>
  <c r="M142" i="5"/>
  <c r="M138" i="5"/>
  <c r="M134" i="5"/>
  <c r="M130" i="5"/>
  <c r="M126" i="5"/>
  <c r="M122" i="5"/>
  <c r="M118" i="5"/>
  <c r="M114" i="5"/>
  <c r="M110" i="5"/>
  <c r="M106" i="5"/>
  <c r="M102" i="5"/>
  <c r="M98" i="5"/>
  <c r="M94" i="5"/>
  <c r="M90" i="5"/>
  <c r="M86" i="5"/>
  <c r="M82" i="5"/>
  <c r="M78" i="5"/>
  <c r="M74" i="5"/>
  <c r="L227" i="5"/>
  <c r="L223" i="5"/>
  <c r="L219" i="5"/>
  <c r="L215" i="5"/>
  <c r="L211" i="5"/>
  <c r="L207" i="5"/>
  <c r="L203" i="5"/>
  <c r="L199" i="5"/>
  <c r="L195" i="5"/>
  <c r="L191" i="5"/>
  <c r="L187" i="5"/>
  <c r="L183" i="5"/>
  <c r="L179" i="5"/>
  <c r="L175" i="5"/>
  <c r="L171" i="5"/>
  <c r="L167" i="5"/>
  <c r="L163" i="5"/>
  <c r="L159" i="5"/>
  <c r="L155" i="5"/>
  <c r="L151" i="5"/>
  <c r="L147" i="5"/>
  <c r="L143" i="5"/>
  <c r="L139" i="5"/>
  <c r="L135" i="5"/>
  <c r="L131" i="5"/>
  <c r="L127" i="5"/>
  <c r="L123" i="5"/>
  <c r="L119" i="5"/>
  <c r="L115" i="5"/>
  <c r="L111" i="5"/>
  <c r="L107" i="5"/>
  <c r="L103" i="5"/>
  <c r="L99" i="5"/>
  <c r="L95" i="5"/>
  <c r="L91" i="5"/>
  <c r="L87" i="5"/>
  <c r="L83" i="5"/>
  <c r="L79" i="5"/>
  <c r="L75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K168" i="5"/>
  <c r="K164" i="5"/>
  <c r="K160" i="5"/>
  <c r="K156" i="5"/>
  <c r="K152" i="5"/>
  <c r="K148" i="5"/>
  <c r="K144" i="5"/>
  <c r="K140" i="5"/>
  <c r="K136" i="5"/>
  <c r="K132" i="5"/>
  <c r="K128" i="5"/>
  <c r="K124" i="5"/>
  <c r="K120" i="5"/>
  <c r="K116" i="5"/>
  <c r="K112" i="5"/>
  <c r="K108" i="5"/>
  <c r="K104" i="5"/>
  <c r="K100" i="5"/>
  <c r="K96" i="5"/>
  <c r="K92" i="5"/>
  <c r="K88" i="5"/>
  <c r="K84" i="5"/>
  <c r="K80" i="5"/>
  <c r="K76" i="5"/>
  <c r="K72" i="5"/>
  <c r="J229" i="5"/>
  <c r="J225" i="5"/>
  <c r="J221" i="5"/>
  <c r="J217" i="5"/>
  <c r="J213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125" i="5"/>
  <c r="J121" i="5"/>
  <c r="J117" i="5"/>
  <c r="J113" i="5"/>
  <c r="J109" i="5"/>
  <c r="J105" i="5"/>
  <c r="J101" i="5"/>
  <c r="J97" i="5"/>
  <c r="J93" i="5"/>
  <c r="J89" i="5"/>
  <c r="J85" i="5"/>
  <c r="J81" i="5"/>
  <c r="J77" i="5"/>
  <c r="J73" i="5"/>
  <c r="I230" i="5"/>
  <c r="I226" i="5"/>
  <c r="I222" i="5"/>
  <c r="I218" i="5"/>
  <c r="I214" i="5"/>
  <c r="I210" i="5"/>
  <c r="I209" i="4"/>
  <c r="Q209" i="4" s="1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H227" i="5"/>
  <c r="H223" i="5"/>
  <c r="H219" i="5"/>
  <c r="H218" i="4"/>
  <c r="Q218" i="4" s="1"/>
  <c r="H215" i="5"/>
  <c r="H211" i="5"/>
  <c r="H207" i="5"/>
  <c r="H203" i="5"/>
  <c r="H199" i="5"/>
  <c r="H195" i="5"/>
  <c r="H191" i="5"/>
  <c r="H187" i="5"/>
  <c r="H183" i="5"/>
  <c r="H179" i="5"/>
  <c r="H175" i="5"/>
  <c r="H171" i="5"/>
  <c r="H170" i="4"/>
  <c r="Q170" i="4" s="1"/>
  <c r="H167" i="5"/>
  <c r="H163" i="5"/>
  <c r="H159" i="5"/>
  <c r="H155" i="5"/>
  <c r="H151" i="5"/>
  <c r="H147" i="5"/>
  <c r="H143" i="5"/>
  <c r="H139" i="5"/>
  <c r="H135" i="5"/>
  <c r="H131" i="5"/>
  <c r="H127" i="5"/>
  <c r="H123" i="5"/>
  <c r="H119" i="5"/>
  <c r="H115" i="5"/>
  <c r="H111" i="5"/>
  <c r="H107" i="5"/>
  <c r="H103" i="5"/>
  <c r="H99" i="5"/>
  <c r="H95" i="5"/>
  <c r="H91" i="5"/>
  <c r="H87" i="5"/>
  <c r="H83" i="5"/>
  <c r="H79" i="5"/>
  <c r="H75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177" i="5"/>
  <c r="F173" i="5"/>
  <c r="F169" i="5"/>
  <c r="F165" i="5"/>
  <c r="F161" i="5"/>
  <c r="F157" i="5"/>
  <c r="F153" i="5"/>
  <c r="F149" i="5"/>
  <c r="F145" i="5"/>
  <c r="F141" i="5"/>
  <c r="F137" i="5"/>
  <c r="F133" i="5"/>
  <c r="F129" i="5"/>
  <c r="F125" i="5"/>
  <c r="F121" i="5"/>
  <c r="F117" i="5"/>
  <c r="F113" i="5"/>
  <c r="F109" i="5"/>
  <c r="F105" i="5"/>
  <c r="F101" i="5"/>
  <c r="F97" i="5"/>
  <c r="F93" i="5"/>
  <c r="F89" i="5"/>
  <c r="F85" i="5"/>
  <c r="F81" i="5"/>
  <c r="F77" i="5"/>
  <c r="F73" i="5"/>
  <c r="M231" i="5"/>
  <c r="I231" i="5"/>
  <c r="E159" i="5"/>
  <c r="Q158" i="4"/>
  <c r="E155" i="5"/>
  <c r="Q154" i="4"/>
  <c r="E151" i="5"/>
  <c r="Q150" i="4"/>
  <c r="E147" i="5"/>
  <c r="Q146" i="4"/>
  <c r="E143" i="5"/>
  <c r="Q142" i="4"/>
  <c r="E139" i="5"/>
  <c r="Q138" i="4"/>
  <c r="E135" i="5"/>
  <c r="Q134" i="4"/>
  <c r="E131" i="5"/>
  <c r="Q130" i="4"/>
  <c r="E127" i="5"/>
  <c r="Q126" i="4"/>
  <c r="E123" i="5"/>
  <c r="Q122" i="4"/>
  <c r="E119" i="5"/>
  <c r="Q118" i="4"/>
  <c r="E115" i="5"/>
  <c r="Q114" i="4"/>
  <c r="E111" i="5"/>
  <c r="Q110" i="4"/>
  <c r="E107" i="5"/>
  <c r="Q106" i="4"/>
  <c r="E103" i="5"/>
  <c r="Q102" i="4"/>
  <c r="E99" i="5"/>
  <c r="Q98" i="4"/>
  <c r="E95" i="5"/>
  <c r="Q94" i="4"/>
  <c r="E91" i="5"/>
  <c r="Q90" i="4"/>
  <c r="E87" i="5"/>
  <c r="Q86" i="4"/>
  <c r="E83" i="5"/>
  <c r="Q82" i="4"/>
  <c r="E79" i="5"/>
  <c r="Q78" i="4"/>
  <c r="E75" i="5"/>
  <c r="Q74" i="4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231" i="5"/>
  <c r="Q230" i="4"/>
  <c r="E227" i="5"/>
  <c r="Q226" i="4"/>
  <c r="E223" i="5"/>
  <c r="Q222" i="4"/>
  <c r="E219" i="5"/>
  <c r="E215" i="5"/>
  <c r="Q214" i="4"/>
  <c r="E211" i="5"/>
  <c r="E207" i="5"/>
  <c r="E203" i="5"/>
  <c r="Q202" i="4"/>
  <c r="E199" i="5"/>
  <c r="Q198" i="4"/>
  <c r="E195" i="5"/>
  <c r="E191" i="5"/>
  <c r="Q190" i="4"/>
  <c r="E187" i="5"/>
  <c r="E183" i="5"/>
  <c r="Q182" i="4"/>
  <c r="E179" i="5"/>
  <c r="Q178" i="4"/>
  <c r="E175" i="5"/>
  <c r="E171" i="5"/>
  <c r="E167" i="5"/>
  <c r="Q166" i="4"/>
  <c r="E163" i="5"/>
  <c r="Q162" i="4"/>
  <c r="P229" i="5"/>
  <c r="P209" i="5"/>
  <c r="P205" i="5"/>
  <c r="P201" i="5"/>
  <c r="P197" i="5"/>
  <c r="P161" i="5"/>
  <c r="P137" i="5"/>
  <c r="P109" i="5"/>
  <c r="P89" i="5"/>
  <c r="P85" i="5"/>
  <c r="P77" i="5"/>
  <c r="P73" i="5"/>
  <c r="O230" i="5"/>
  <c r="O202" i="5"/>
  <c r="O198" i="5"/>
  <c r="O162" i="5"/>
  <c r="O122" i="5"/>
  <c r="O98" i="5"/>
  <c r="O90" i="5"/>
  <c r="O82" i="5"/>
  <c r="O74" i="5"/>
  <c r="N207" i="5"/>
  <c r="N206" i="4"/>
  <c r="Q206" i="4" s="1"/>
  <c r="N203" i="5"/>
  <c r="N199" i="5"/>
  <c r="N191" i="5"/>
  <c r="N183" i="5"/>
  <c r="N175" i="5"/>
  <c r="N167" i="5"/>
  <c r="N123" i="5"/>
  <c r="N99" i="5"/>
  <c r="N91" i="5"/>
  <c r="N75" i="5"/>
  <c r="M216" i="5"/>
  <c r="M180" i="5"/>
  <c r="M120" i="5"/>
  <c r="M96" i="5"/>
  <c r="M80" i="5"/>
  <c r="M76" i="5"/>
  <c r="L220" i="4"/>
  <c r="Q220" i="4" s="1"/>
  <c r="L217" i="5"/>
  <c r="L213" i="5"/>
  <c r="L209" i="5"/>
  <c r="L181" i="5"/>
  <c r="L169" i="5"/>
  <c r="L161" i="5"/>
  <c r="L153" i="5"/>
  <c r="L145" i="5"/>
  <c r="L137" i="5"/>
  <c r="L129" i="5"/>
  <c r="L97" i="5"/>
  <c r="L73" i="5"/>
  <c r="K222" i="5"/>
  <c r="K210" i="5"/>
  <c r="K206" i="5"/>
  <c r="K202" i="5"/>
  <c r="K190" i="5"/>
  <c r="K186" i="5"/>
  <c r="K174" i="5"/>
  <c r="K138" i="5"/>
  <c r="K122" i="5"/>
  <c r="K94" i="5"/>
  <c r="K74" i="5"/>
  <c r="J223" i="5"/>
  <c r="J219" i="5"/>
  <c r="J215" i="5"/>
  <c r="J211" i="5"/>
  <c r="J207" i="5"/>
  <c r="J187" i="5"/>
  <c r="J183" i="5"/>
  <c r="J147" i="5"/>
  <c r="J111" i="5"/>
  <c r="I228" i="5"/>
  <c r="I200" i="5"/>
  <c r="I164" i="5"/>
  <c r="I140" i="5"/>
  <c r="I104" i="5"/>
  <c r="I76" i="5"/>
  <c r="I72" i="5"/>
  <c r="H221" i="5"/>
  <c r="H217" i="5"/>
  <c r="H189" i="5"/>
  <c r="H153" i="5"/>
  <c r="H141" i="5"/>
  <c r="H113" i="5"/>
  <c r="G230" i="5"/>
  <c r="G226" i="5"/>
  <c r="G206" i="5"/>
  <c r="G202" i="5"/>
  <c r="G190" i="5"/>
  <c r="G154" i="5"/>
  <c r="G122" i="5"/>
  <c r="G98" i="5"/>
  <c r="G74" i="5"/>
  <c r="F215" i="5"/>
  <c r="F203" i="5"/>
  <c r="F199" i="5"/>
  <c r="F151" i="5"/>
  <c r="F119" i="5"/>
  <c r="F91" i="5"/>
  <c r="F75" i="5"/>
  <c r="O231" i="5"/>
  <c r="G231" i="5"/>
  <c r="E161" i="5"/>
  <c r="Q152" i="4"/>
  <c r="Q144" i="4"/>
  <c r="E141" i="5"/>
  <c r="P228" i="5"/>
  <c r="P224" i="5"/>
  <c r="P220" i="5"/>
  <c r="P216" i="5"/>
  <c r="P212" i="5"/>
  <c r="P208" i="5"/>
  <c r="P204" i="5"/>
  <c r="P200" i="5"/>
  <c r="P196" i="5"/>
  <c r="P192" i="5"/>
  <c r="P188" i="5"/>
  <c r="P184" i="5"/>
  <c r="P180" i="5"/>
  <c r="P176" i="5"/>
  <c r="P172" i="5"/>
  <c r="P168" i="5"/>
  <c r="P164" i="5"/>
  <c r="P160" i="5"/>
  <c r="P156" i="5"/>
  <c r="P152" i="5"/>
  <c r="P148" i="5"/>
  <c r="P144" i="5"/>
  <c r="P140" i="5"/>
  <c r="P136" i="5"/>
  <c r="P132" i="5"/>
  <c r="P128" i="5"/>
  <c r="P124" i="5"/>
  <c r="P120" i="5"/>
  <c r="P116" i="5"/>
  <c r="P112" i="5"/>
  <c r="P108" i="5"/>
  <c r="P104" i="5"/>
  <c r="P100" i="5"/>
  <c r="P96" i="5"/>
  <c r="P92" i="5"/>
  <c r="P88" i="5"/>
  <c r="P84" i="5"/>
  <c r="P80" i="5"/>
  <c r="P76" i="5"/>
  <c r="P72" i="5"/>
  <c r="O229" i="5"/>
  <c r="O225" i="5"/>
  <c r="O221" i="5"/>
  <c r="O217" i="5"/>
  <c r="O213" i="5"/>
  <c r="O209" i="5"/>
  <c r="O205" i="5"/>
  <c r="O201" i="5"/>
  <c r="O197" i="5"/>
  <c r="O193" i="5"/>
  <c r="O189" i="5"/>
  <c r="O185" i="5"/>
  <c r="O181" i="5"/>
  <c r="O177" i="5"/>
  <c r="O173" i="5"/>
  <c r="O169" i="5"/>
  <c r="O165" i="5"/>
  <c r="O161" i="5"/>
  <c r="O157" i="5"/>
  <c r="O153" i="5"/>
  <c r="O149" i="5"/>
  <c r="O145" i="5"/>
  <c r="O141" i="5"/>
  <c r="O137" i="5"/>
  <c r="O133" i="5"/>
  <c r="O129" i="5"/>
  <c r="O125" i="5"/>
  <c r="O121" i="5"/>
  <c r="O117" i="5"/>
  <c r="O113" i="5"/>
  <c r="O109" i="5"/>
  <c r="O105" i="5"/>
  <c r="O101" i="5"/>
  <c r="O97" i="5"/>
  <c r="O93" i="5"/>
  <c r="O89" i="5"/>
  <c r="O85" i="5"/>
  <c r="O81" i="5"/>
  <c r="O77" i="5"/>
  <c r="O73" i="5"/>
  <c r="N230" i="5"/>
  <c r="N226" i="5"/>
  <c r="N222" i="5"/>
  <c r="N218" i="5"/>
  <c r="N214" i="5"/>
  <c r="N210" i="5"/>
  <c r="N206" i="5"/>
  <c r="N202" i="5"/>
  <c r="N198" i="5"/>
  <c r="N194" i="5"/>
  <c r="N190" i="5"/>
  <c r="N186" i="5"/>
  <c r="N182" i="5"/>
  <c r="N178" i="5"/>
  <c r="N174" i="5"/>
  <c r="N170" i="5"/>
  <c r="N166" i="5"/>
  <c r="N162" i="5"/>
  <c r="N158" i="5"/>
  <c r="N154" i="5"/>
  <c r="N150" i="5"/>
  <c r="N146" i="5"/>
  <c r="N142" i="5"/>
  <c r="N138" i="5"/>
  <c r="N134" i="5"/>
  <c r="N130" i="5"/>
  <c r="N126" i="5"/>
  <c r="N122" i="5"/>
  <c r="N118" i="5"/>
  <c r="N114" i="5"/>
  <c r="N110" i="5"/>
  <c r="N106" i="5"/>
  <c r="N102" i="5"/>
  <c r="N98" i="5"/>
  <c r="N94" i="5"/>
  <c r="N90" i="5"/>
  <c r="N86" i="5"/>
  <c r="N82" i="5"/>
  <c r="N78" i="5"/>
  <c r="N74" i="5"/>
  <c r="M227" i="5"/>
  <c r="M223" i="5"/>
  <c r="M219" i="5"/>
  <c r="M215" i="5"/>
  <c r="M211" i="5"/>
  <c r="M207" i="5"/>
  <c r="M203" i="5"/>
  <c r="M199" i="5"/>
  <c r="M195" i="5"/>
  <c r="M191" i="5"/>
  <c r="M187" i="5"/>
  <c r="M183" i="5"/>
  <c r="M179" i="5"/>
  <c r="M175" i="5"/>
  <c r="M174" i="4"/>
  <c r="Q174" i="4" s="1"/>
  <c r="M171" i="5"/>
  <c r="M167" i="5"/>
  <c r="M163" i="5"/>
  <c r="M159" i="5"/>
  <c r="M155" i="5"/>
  <c r="M151" i="5"/>
  <c r="M147" i="5"/>
  <c r="M143" i="5"/>
  <c r="M139" i="5"/>
  <c r="M135" i="5"/>
  <c r="M131" i="5"/>
  <c r="M127" i="5"/>
  <c r="M123" i="5"/>
  <c r="M119" i="5"/>
  <c r="M115" i="5"/>
  <c r="M111" i="5"/>
  <c r="M107" i="5"/>
  <c r="M103" i="5"/>
  <c r="M99" i="5"/>
  <c r="M95" i="5"/>
  <c r="M91" i="5"/>
  <c r="M87" i="5"/>
  <c r="M83" i="5"/>
  <c r="M79" i="5"/>
  <c r="M75" i="5"/>
  <c r="L228" i="5"/>
  <c r="L224" i="5"/>
  <c r="L220" i="5"/>
  <c r="L216" i="5"/>
  <c r="L212" i="5"/>
  <c r="L208" i="5"/>
  <c r="L204" i="5"/>
  <c r="L200" i="5"/>
  <c r="L196" i="5"/>
  <c r="L192" i="5"/>
  <c r="L188" i="5"/>
  <c r="L184" i="5"/>
  <c r="L180" i="5"/>
  <c r="L176" i="5"/>
  <c r="L172" i="5"/>
  <c r="L168" i="5"/>
  <c r="L164" i="5"/>
  <c r="L160" i="5"/>
  <c r="L156" i="5"/>
  <c r="L152" i="5"/>
  <c r="L148" i="5"/>
  <c r="L144" i="5"/>
  <c r="L140" i="5"/>
  <c r="L136" i="5"/>
  <c r="L132" i="5"/>
  <c r="L128" i="5"/>
  <c r="L124" i="5"/>
  <c r="L120" i="5"/>
  <c r="L116" i="5"/>
  <c r="L112" i="5"/>
  <c r="L108" i="5"/>
  <c r="L104" i="5"/>
  <c r="L100" i="5"/>
  <c r="L96" i="5"/>
  <c r="L92" i="5"/>
  <c r="L88" i="5"/>
  <c r="L84" i="5"/>
  <c r="L80" i="5"/>
  <c r="L76" i="5"/>
  <c r="L72" i="5"/>
  <c r="K229" i="5"/>
  <c r="K225" i="5"/>
  <c r="K221" i="5"/>
  <c r="K217" i="5"/>
  <c r="K213" i="5"/>
  <c r="K209" i="5"/>
  <c r="K205" i="5"/>
  <c r="K201" i="5"/>
  <c r="K197" i="5"/>
  <c r="K193" i="5"/>
  <c r="K189" i="5"/>
  <c r="K185" i="5"/>
  <c r="K181" i="5"/>
  <c r="K177" i="5"/>
  <c r="K173" i="5"/>
  <c r="K169" i="5"/>
  <c r="K165" i="5"/>
  <c r="K161" i="5"/>
  <c r="K157" i="5"/>
  <c r="K153" i="5"/>
  <c r="K149" i="5"/>
  <c r="K145" i="5"/>
  <c r="K141" i="5"/>
  <c r="K137" i="5"/>
  <c r="K133" i="5"/>
  <c r="K129" i="5"/>
  <c r="K125" i="5"/>
  <c r="K121" i="5"/>
  <c r="K117" i="5"/>
  <c r="K113" i="5"/>
  <c r="K109" i="5"/>
  <c r="K105" i="5"/>
  <c r="K101" i="5"/>
  <c r="K97" i="5"/>
  <c r="K93" i="5"/>
  <c r="K89" i="5"/>
  <c r="K85" i="5"/>
  <c r="K81" i="5"/>
  <c r="K77" i="5"/>
  <c r="K73" i="5"/>
  <c r="J230" i="5"/>
  <c r="J226" i="5"/>
  <c r="J222" i="5"/>
  <c r="J218" i="5"/>
  <c r="J214" i="5"/>
  <c r="J210" i="5"/>
  <c r="J206" i="5"/>
  <c r="J202" i="5"/>
  <c r="J198" i="5"/>
  <c r="J194" i="5"/>
  <c r="J190" i="5"/>
  <c r="J189" i="4"/>
  <c r="Q189" i="4" s="1"/>
  <c r="J186" i="5"/>
  <c r="J182" i="5"/>
  <c r="J178" i="5"/>
  <c r="J174" i="5"/>
  <c r="J170" i="5"/>
  <c r="J166" i="5"/>
  <c r="J162" i="5"/>
  <c r="J158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H228" i="5"/>
  <c r="H224" i="5"/>
  <c r="H220" i="5"/>
  <c r="H216" i="5"/>
  <c r="H212" i="5"/>
  <c r="H208" i="5"/>
  <c r="H204" i="5"/>
  <c r="H200" i="5"/>
  <c r="H196" i="5"/>
  <c r="H192" i="5"/>
  <c r="H188" i="5"/>
  <c r="H184" i="5"/>
  <c r="H180" i="5"/>
  <c r="H176" i="5"/>
  <c r="H172" i="5"/>
  <c r="H168" i="5"/>
  <c r="H164" i="5"/>
  <c r="H160" i="5"/>
  <c r="H159" i="4"/>
  <c r="H156" i="5"/>
  <c r="H152" i="5"/>
  <c r="H148" i="5"/>
  <c r="H144" i="5"/>
  <c r="H143" i="4"/>
  <c r="Q143" i="4" s="1"/>
  <c r="H140" i="5"/>
  <c r="H136" i="5"/>
  <c r="H132" i="5"/>
  <c r="H128" i="5"/>
  <c r="H124" i="5"/>
  <c r="H120" i="5"/>
  <c r="H116" i="5"/>
  <c r="H112" i="5"/>
  <c r="H108" i="5"/>
  <c r="H104" i="5"/>
  <c r="H100" i="5"/>
  <c r="H96" i="5"/>
  <c r="H92" i="5"/>
  <c r="H88" i="5"/>
  <c r="H84" i="5"/>
  <c r="H80" i="5"/>
  <c r="H76" i="5"/>
  <c r="H72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F230" i="5"/>
  <c r="F226" i="5"/>
  <c r="F222" i="5"/>
  <c r="F218" i="5"/>
  <c r="F214" i="5"/>
  <c r="F210" i="5"/>
  <c r="F206" i="5"/>
  <c r="F202" i="5"/>
  <c r="F198" i="5"/>
  <c r="F194" i="5"/>
  <c r="F190" i="5"/>
  <c r="F186" i="5"/>
  <c r="F182" i="5"/>
  <c r="F178" i="5"/>
  <c r="F174" i="5"/>
  <c r="F170" i="5"/>
  <c r="F166" i="5"/>
  <c r="F162" i="5"/>
  <c r="F158" i="5"/>
  <c r="F154" i="5"/>
  <c r="F150" i="5"/>
  <c r="F146" i="5"/>
  <c r="F142" i="5"/>
  <c r="F138" i="5"/>
  <c r="F134" i="5"/>
  <c r="F130" i="5"/>
  <c r="F126" i="5"/>
  <c r="F122" i="5"/>
  <c r="F118" i="5"/>
  <c r="F114" i="5"/>
  <c r="F110" i="5"/>
  <c r="F106" i="5"/>
  <c r="F102" i="5"/>
  <c r="F98" i="5"/>
  <c r="F94" i="5"/>
  <c r="F90" i="5"/>
  <c r="F86" i="5"/>
  <c r="F82" i="5"/>
  <c r="F78" i="5"/>
  <c r="F74" i="5"/>
  <c r="P231" i="5"/>
  <c r="L231" i="5"/>
  <c r="H231" i="5"/>
  <c r="E160" i="5"/>
  <c r="Q159" i="4"/>
  <c r="E156" i="5"/>
  <c r="Q155" i="4"/>
  <c r="E152" i="5"/>
  <c r="Q151" i="4"/>
  <c r="E148" i="5"/>
  <c r="Q147" i="4"/>
  <c r="E144" i="5"/>
  <c r="E140" i="5"/>
  <c r="Q139" i="4"/>
  <c r="E136" i="5"/>
  <c r="Q135" i="4"/>
  <c r="E132" i="5"/>
  <c r="Q131" i="4"/>
  <c r="E128" i="5"/>
  <c r="Q127" i="4"/>
  <c r="E124" i="5"/>
  <c r="Q123" i="4"/>
  <c r="E120" i="5"/>
  <c r="Q119" i="4"/>
  <c r="E116" i="5"/>
  <c r="Q115" i="4"/>
  <c r="E112" i="5"/>
  <c r="Q111" i="4"/>
  <c r="E108" i="5"/>
  <c r="Q107" i="4"/>
  <c r="E104" i="5"/>
  <c r="Q103" i="4"/>
  <c r="E100" i="5"/>
  <c r="Q99" i="4"/>
  <c r="E96" i="5"/>
  <c r="Q95" i="4"/>
  <c r="E92" i="5"/>
  <c r="Q91" i="4"/>
  <c r="E88" i="5"/>
  <c r="Q87" i="4"/>
  <c r="E84" i="5"/>
  <c r="Q83" i="4"/>
  <c r="E80" i="5"/>
  <c r="Q79" i="4"/>
  <c r="E76" i="5"/>
  <c r="Q75" i="4"/>
  <c r="E72" i="5"/>
  <c r="E68" i="5"/>
  <c r="E64" i="5"/>
  <c r="E60" i="5"/>
  <c r="E56" i="5"/>
  <c r="E52" i="5"/>
  <c r="E48" i="5"/>
  <c r="E44" i="5"/>
  <c r="E40" i="5"/>
  <c r="E36" i="5"/>
  <c r="E32" i="5"/>
  <c r="E28" i="5"/>
  <c r="E24" i="5"/>
  <c r="E20" i="5"/>
  <c r="E16" i="5"/>
  <c r="E12" i="5"/>
  <c r="E8" i="5"/>
  <c r="Q231" i="4"/>
  <c r="E228" i="5"/>
  <c r="Q227" i="4"/>
  <c r="E224" i="5"/>
  <c r="Q223" i="4"/>
  <c r="E220" i="5"/>
  <c r="Q219" i="4"/>
  <c r="E216" i="5"/>
  <c r="Q215" i="4"/>
  <c r="E212" i="5"/>
  <c r="Q211" i="4"/>
  <c r="E208" i="5"/>
  <c r="Q207" i="4"/>
  <c r="E204" i="5"/>
  <c r="Q203" i="4"/>
  <c r="E200" i="5"/>
  <c r="Q199" i="4"/>
  <c r="E196" i="5"/>
  <c r="Q195" i="4"/>
  <c r="E192" i="5"/>
  <c r="Q191" i="4"/>
  <c r="E188" i="5"/>
  <c r="Q187" i="4"/>
  <c r="E184" i="5"/>
  <c r="Q183" i="4"/>
  <c r="E180" i="5"/>
  <c r="Q179" i="4"/>
  <c r="E176" i="5"/>
  <c r="Q175" i="4"/>
  <c r="E172" i="5"/>
  <c r="Q171" i="4"/>
  <c r="E168" i="5"/>
  <c r="Q167" i="4"/>
  <c r="E164" i="5"/>
  <c r="Q163" i="4"/>
  <c r="Q184" i="5" l="1"/>
  <c r="Q216" i="5"/>
  <c r="Q167" i="5"/>
  <c r="Q83" i="5"/>
  <c r="Q99" i="5"/>
  <c r="Q115" i="5"/>
  <c r="Q131" i="5"/>
  <c r="Q147" i="5"/>
  <c r="Q168" i="5"/>
  <c r="Q215" i="5"/>
  <c r="Q231" i="5"/>
  <c r="Q162" i="5"/>
  <c r="Q178" i="5"/>
  <c r="Q74" i="5"/>
  <c r="Q90" i="5"/>
  <c r="Q106" i="5"/>
  <c r="Q122" i="5"/>
  <c r="Q200" i="5"/>
  <c r="Q76" i="5"/>
  <c r="Q92" i="5"/>
  <c r="Q108" i="5"/>
  <c r="Q124" i="5"/>
  <c r="Q140" i="5"/>
  <c r="Q156" i="5"/>
  <c r="Q183" i="5"/>
  <c r="Q199" i="5"/>
  <c r="Q165" i="5"/>
  <c r="Q137" i="5"/>
  <c r="Q194" i="5"/>
  <c r="Q210" i="5"/>
  <c r="Q226" i="5"/>
  <c r="Q138" i="5"/>
  <c r="Q154" i="5"/>
  <c r="Q201" i="5"/>
  <c r="Q221" i="5"/>
  <c r="Q109" i="5"/>
  <c r="Q117" i="5"/>
  <c r="Q164" i="5"/>
  <c r="Q180" i="5"/>
  <c r="Q196" i="5"/>
  <c r="Q212" i="5"/>
  <c r="Q228" i="5"/>
  <c r="Q72" i="5"/>
  <c r="Q88" i="5"/>
  <c r="Q104" i="5"/>
  <c r="Q120" i="5"/>
  <c r="Q136" i="5"/>
  <c r="Q152" i="5"/>
  <c r="Q163" i="5"/>
  <c r="Q179" i="5"/>
  <c r="Q195" i="5"/>
  <c r="Q211" i="5"/>
  <c r="Q227" i="5"/>
  <c r="Q79" i="5"/>
  <c r="Q95" i="5"/>
  <c r="Q111" i="5"/>
  <c r="Q127" i="5"/>
  <c r="Q143" i="5"/>
  <c r="Q159" i="5"/>
  <c r="Q181" i="5"/>
  <c r="Q225" i="5"/>
  <c r="Q73" i="5"/>
  <c r="Q101" i="5"/>
  <c r="Q153" i="5"/>
  <c r="Q174" i="5"/>
  <c r="Q190" i="5"/>
  <c r="Q206" i="5"/>
  <c r="Q222" i="5"/>
  <c r="Q86" i="5"/>
  <c r="Q102" i="5"/>
  <c r="Q118" i="5"/>
  <c r="Q134" i="5"/>
  <c r="Q150" i="5"/>
  <c r="Q173" i="5"/>
  <c r="Q193" i="5"/>
  <c r="Q213" i="5"/>
  <c r="Q77" i="5"/>
  <c r="Q85" i="5"/>
  <c r="Q93" i="5"/>
  <c r="Q129" i="5"/>
  <c r="Q189" i="5"/>
  <c r="Q176" i="5"/>
  <c r="Q192" i="5"/>
  <c r="Q208" i="5"/>
  <c r="Q224" i="5"/>
  <c r="Q84" i="5"/>
  <c r="Q100" i="5"/>
  <c r="Q116" i="5"/>
  <c r="Q132" i="5"/>
  <c r="Q148" i="5"/>
  <c r="Q175" i="5"/>
  <c r="Q191" i="5"/>
  <c r="Q207" i="5"/>
  <c r="Q223" i="5"/>
  <c r="Q75" i="5"/>
  <c r="Q91" i="5"/>
  <c r="Q107" i="5"/>
  <c r="Q123" i="5"/>
  <c r="Q139" i="5"/>
  <c r="Q155" i="5"/>
  <c r="Q217" i="5"/>
  <c r="Q170" i="5"/>
  <c r="Q186" i="5"/>
  <c r="Q202" i="5"/>
  <c r="Q218" i="5"/>
  <c r="Q82" i="5"/>
  <c r="Q98" i="5"/>
  <c r="Q114" i="5"/>
  <c r="Q130" i="5"/>
  <c r="Q146" i="5"/>
  <c r="Q185" i="5"/>
  <c r="Q205" i="5"/>
  <c r="Q105" i="5"/>
  <c r="Q113" i="5"/>
  <c r="Q145" i="5"/>
  <c r="Q172" i="5"/>
  <c r="Q188" i="5"/>
  <c r="Q204" i="5"/>
  <c r="Q220" i="5"/>
  <c r="Q80" i="5"/>
  <c r="Q96" i="5"/>
  <c r="Q112" i="5"/>
  <c r="Q128" i="5"/>
  <c r="Q144" i="5"/>
  <c r="Q160" i="5"/>
  <c r="Q141" i="5"/>
  <c r="Q161" i="5"/>
  <c r="Q171" i="5"/>
  <c r="Q187" i="5"/>
  <c r="Q203" i="5"/>
  <c r="Q219" i="5"/>
  <c r="Q87" i="5"/>
  <c r="Q103" i="5"/>
  <c r="Q119" i="5"/>
  <c r="Q135" i="5"/>
  <c r="Q151" i="5"/>
  <c r="Q197" i="5"/>
  <c r="Q209" i="5"/>
  <c r="Q121" i="5"/>
  <c r="Q149" i="5"/>
  <c r="Q157" i="5"/>
  <c r="Q166" i="5"/>
  <c r="Q182" i="5"/>
  <c r="Q198" i="5"/>
  <c r="Q214" i="5"/>
  <c r="Q230" i="5"/>
  <c r="Q78" i="5"/>
  <c r="Q94" i="5"/>
  <c r="Q110" i="5"/>
  <c r="Q126" i="5"/>
  <c r="Q142" i="5"/>
  <c r="Q158" i="5"/>
  <c r="Q169" i="5"/>
  <c r="Q177" i="5"/>
  <c r="Q229" i="5"/>
  <c r="Q81" i="5"/>
  <c r="Q89" i="5"/>
  <c r="Q97" i="5"/>
  <c r="Q125" i="5"/>
  <c r="Q133" i="5"/>
  <c r="L4" i="4" l="1"/>
  <c r="L64" i="4" l="1"/>
  <c r="L48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L56" i="4"/>
  <c r="L40" i="4"/>
  <c r="L36" i="4"/>
  <c r="L32" i="4"/>
  <c r="L28" i="4"/>
  <c r="L24" i="4"/>
  <c r="L20" i="4"/>
  <c r="L16" i="4"/>
  <c r="L12" i="4"/>
  <c r="L8" i="4"/>
  <c r="L60" i="4"/>
  <c r="L44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68" i="4"/>
  <c r="L52" i="4"/>
  <c r="L70" i="4"/>
  <c r="L66" i="4"/>
  <c r="L62" i="4"/>
  <c r="L58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232" i="4" l="1"/>
  <c r="K4" i="6" s="1"/>
  <c r="P38" i="5"/>
  <c r="P34" i="5"/>
  <c r="P33" i="4"/>
  <c r="P30" i="5"/>
  <c r="O39" i="4"/>
  <c r="O36" i="5"/>
  <c r="O35" i="4"/>
  <c r="O32" i="5"/>
  <c r="O31" i="4"/>
  <c r="N38" i="5"/>
  <c r="N37" i="4"/>
  <c r="N34" i="5"/>
  <c r="N33" i="4"/>
  <c r="N30" i="5"/>
  <c r="M39" i="4"/>
  <c r="M36" i="5"/>
  <c r="M35" i="4"/>
  <c r="M32" i="5"/>
  <c r="M31" i="4"/>
  <c r="K38" i="5"/>
  <c r="K37" i="4"/>
  <c r="K34" i="5"/>
  <c r="K33" i="4"/>
  <c r="K30" i="5"/>
  <c r="J39" i="4"/>
  <c r="J36" i="5"/>
  <c r="J35" i="4"/>
  <c r="J32" i="5"/>
  <c r="J31" i="4"/>
  <c r="I38" i="5"/>
  <c r="I37" i="4"/>
  <c r="I34" i="5"/>
  <c r="I33" i="4"/>
  <c r="I30" i="5"/>
  <c r="H39" i="4"/>
  <c r="H36" i="5"/>
  <c r="H35" i="4"/>
  <c r="H32" i="5"/>
  <c r="H31" i="4"/>
  <c r="G38" i="5"/>
  <c r="G37" i="4"/>
  <c r="G34" i="5"/>
  <c r="G33" i="4"/>
  <c r="G30" i="5"/>
  <c r="F39" i="4"/>
  <c r="F36" i="5"/>
  <c r="F35" i="4"/>
  <c r="F32" i="5"/>
  <c r="F31" i="4"/>
  <c r="P37" i="4"/>
  <c r="P39" i="5"/>
  <c r="P38" i="4"/>
  <c r="P35" i="5"/>
  <c r="P34" i="4"/>
  <c r="P31" i="5"/>
  <c r="P30" i="4"/>
  <c r="O37" i="5"/>
  <c r="O36" i="4"/>
  <c r="O33" i="5"/>
  <c r="O32" i="4"/>
  <c r="N39" i="5"/>
  <c r="N38" i="4"/>
  <c r="N35" i="5"/>
  <c r="N34" i="4"/>
  <c r="N31" i="5"/>
  <c r="N30" i="4"/>
  <c r="M37" i="5"/>
  <c r="M36" i="4"/>
  <c r="M33" i="5"/>
  <c r="M32" i="4"/>
  <c r="L39" i="5"/>
  <c r="L37" i="5"/>
  <c r="L35" i="5"/>
  <c r="L33" i="5"/>
  <c r="L31" i="5"/>
  <c r="K39" i="5"/>
  <c r="K38" i="4"/>
  <c r="K35" i="5"/>
  <c r="K34" i="4"/>
  <c r="K31" i="5"/>
  <c r="K30" i="4"/>
  <c r="J37" i="5"/>
  <c r="J36" i="4"/>
  <c r="J33" i="5"/>
  <c r="J32" i="4"/>
  <c r="I39" i="5"/>
  <c r="I38" i="4"/>
  <c r="I35" i="5"/>
  <c r="I34" i="4"/>
  <c r="I31" i="5"/>
  <c r="I30" i="4"/>
  <c r="H37" i="5"/>
  <c r="H36" i="4"/>
  <c r="H33" i="5"/>
  <c r="H32" i="4"/>
  <c r="G39" i="5"/>
  <c r="G38" i="4"/>
  <c r="G35" i="5"/>
  <c r="G34" i="4"/>
  <c r="G31" i="5"/>
  <c r="G30" i="4"/>
  <c r="F37" i="5"/>
  <c r="F36" i="4"/>
  <c r="F33" i="5"/>
  <c r="F32" i="4"/>
  <c r="P32" i="5"/>
  <c r="P31" i="4"/>
  <c r="O38" i="5"/>
  <c r="O37" i="4"/>
  <c r="O34" i="5"/>
  <c r="O33" i="4"/>
  <c r="O30" i="5"/>
  <c r="N39" i="4"/>
  <c r="N36" i="5"/>
  <c r="N35" i="4"/>
  <c r="N32" i="5"/>
  <c r="N31" i="4"/>
  <c r="M38" i="5"/>
  <c r="M37" i="4"/>
  <c r="M34" i="5"/>
  <c r="M33" i="4"/>
  <c r="M30" i="5"/>
  <c r="K39" i="4"/>
  <c r="K36" i="5"/>
  <c r="K35" i="4"/>
  <c r="K32" i="5"/>
  <c r="K31" i="4"/>
  <c r="J38" i="5"/>
  <c r="J37" i="4"/>
  <c r="J34" i="5"/>
  <c r="J33" i="4"/>
  <c r="J30" i="5"/>
  <c r="I39" i="4"/>
  <c r="I36" i="5"/>
  <c r="I35" i="4"/>
  <c r="I32" i="5"/>
  <c r="I31" i="4"/>
  <c r="H38" i="5"/>
  <c r="H37" i="4"/>
  <c r="H34" i="5"/>
  <c r="H33" i="4"/>
  <c r="H30" i="5"/>
  <c r="G39" i="4"/>
  <c r="G36" i="5"/>
  <c r="G35" i="4"/>
  <c r="G32" i="5"/>
  <c r="G31" i="4"/>
  <c r="F38" i="5"/>
  <c r="F37" i="4"/>
  <c r="F34" i="5"/>
  <c r="F33" i="4"/>
  <c r="F30" i="5"/>
  <c r="P39" i="4"/>
  <c r="P36" i="5"/>
  <c r="P35" i="4"/>
  <c r="P37" i="5"/>
  <c r="P36" i="4"/>
  <c r="P33" i="5"/>
  <c r="P32" i="4"/>
  <c r="O39" i="5"/>
  <c r="O38" i="4"/>
  <c r="O35" i="5"/>
  <c r="O34" i="4"/>
  <c r="O31" i="5"/>
  <c r="O30" i="4"/>
  <c r="N37" i="5"/>
  <c r="N36" i="4"/>
  <c r="N33" i="5"/>
  <c r="N32" i="4"/>
  <c r="M39" i="5"/>
  <c r="M38" i="4"/>
  <c r="M35" i="5"/>
  <c r="M34" i="4"/>
  <c r="M31" i="5"/>
  <c r="M30" i="4"/>
  <c r="L38" i="5"/>
  <c r="L36" i="5"/>
  <c r="L34" i="5"/>
  <c r="L32" i="5"/>
  <c r="L30" i="5"/>
  <c r="K37" i="5"/>
  <c r="K36" i="4"/>
  <c r="K33" i="5"/>
  <c r="K32" i="4"/>
  <c r="J39" i="5"/>
  <c r="J38" i="4"/>
  <c r="J35" i="5"/>
  <c r="J34" i="4"/>
  <c r="J31" i="5"/>
  <c r="J30" i="4"/>
  <c r="I37" i="5"/>
  <c r="I36" i="4"/>
  <c r="I33" i="5"/>
  <c r="I32" i="4"/>
  <c r="H39" i="5"/>
  <c r="H38" i="4"/>
  <c r="H35" i="5"/>
  <c r="H34" i="4"/>
  <c r="H31" i="5"/>
  <c r="H30" i="4"/>
  <c r="G37" i="5"/>
  <c r="G36" i="4"/>
  <c r="G33" i="5"/>
  <c r="G32" i="4"/>
  <c r="F39" i="5"/>
  <c r="F38" i="4"/>
  <c r="F35" i="5"/>
  <c r="F34" i="4"/>
  <c r="F31" i="5"/>
  <c r="F30" i="4"/>
  <c r="Q35" i="5" l="1"/>
  <c r="Q31" i="5"/>
  <c r="Q37" i="4"/>
  <c r="Q39" i="5"/>
  <c r="Q36" i="4"/>
  <c r="Q39" i="4"/>
  <c r="Q30" i="4"/>
  <c r="Q34" i="4"/>
  <c r="Q38" i="4"/>
  <c r="Q30" i="5"/>
  <c r="Q34" i="5"/>
  <c r="Q38" i="5"/>
  <c r="Q33" i="5"/>
  <c r="Q37" i="5"/>
  <c r="Q32" i="5"/>
  <c r="Q36" i="5"/>
  <c r="Q33" i="4"/>
  <c r="Q35" i="4"/>
  <c r="Q32" i="4"/>
  <c r="Q31" i="4"/>
  <c r="F4" i="5" l="1"/>
  <c r="F4" i="4"/>
  <c r="G4" i="4"/>
  <c r="H4" i="4"/>
  <c r="I4" i="4"/>
  <c r="J4" i="4"/>
  <c r="K4" i="4"/>
  <c r="M4" i="4"/>
  <c r="N4" i="4"/>
  <c r="O4" i="4"/>
  <c r="P4" i="4"/>
  <c r="E4" i="4"/>
  <c r="N4" i="5" l="1"/>
  <c r="E5" i="4"/>
  <c r="E232" i="4" s="1"/>
  <c r="D4" i="6" s="1"/>
  <c r="P69" i="5"/>
  <c r="P68" i="4"/>
  <c r="P65" i="5"/>
  <c r="P56" i="4"/>
  <c r="P53" i="5"/>
  <c r="P44" i="4"/>
  <c r="P40" i="4"/>
  <c r="P27" i="5"/>
  <c r="P23" i="5"/>
  <c r="P19" i="5"/>
  <c r="O65" i="4"/>
  <c r="O61" i="4"/>
  <c r="O49" i="4"/>
  <c r="O45" i="4"/>
  <c r="O23" i="4"/>
  <c r="O20" i="5"/>
  <c r="O16" i="5"/>
  <c r="O12" i="5"/>
  <c r="N58" i="4"/>
  <c r="N54" i="4"/>
  <c r="N24" i="4"/>
  <c r="N12" i="4"/>
  <c r="N8" i="4"/>
  <c r="M63" i="4"/>
  <c r="M43" i="4"/>
  <c r="M40" i="5"/>
  <c r="M26" i="5"/>
  <c r="M13" i="4"/>
  <c r="M10" i="5"/>
  <c r="M5" i="4"/>
  <c r="L62" i="5"/>
  <c r="L54" i="5"/>
  <c r="L48" i="5"/>
  <c r="L40" i="5"/>
  <c r="L22" i="5"/>
  <c r="L18" i="5"/>
  <c r="L10" i="5"/>
  <c r="K71" i="5"/>
  <c r="K67" i="5"/>
  <c r="K63" i="5"/>
  <c r="K24" i="4"/>
  <c r="K20" i="4"/>
  <c r="K17" i="5"/>
  <c r="J55" i="4"/>
  <c r="J52" i="5"/>
  <c r="J43" i="4"/>
  <c r="J40" i="5"/>
  <c r="J21" i="4"/>
  <c r="J18" i="5"/>
  <c r="J14" i="5"/>
  <c r="J5" i="4"/>
  <c r="I65" i="5"/>
  <c r="I64" i="4"/>
  <c r="I61" i="5"/>
  <c r="I60" i="4"/>
  <c r="I48" i="4"/>
  <c r="G4" i="5"/>
  <c r="P70" i="5"/>
  <c r="P69" i="4"/>
  <c r="P66" i="5"/>
  <c r="P65" i="4"/>
  <c r="P54" i="5"/>
  <c r="P53" i="4"/>
  <c r="P42" i="5"/>
  <c r="P41" i="4"/>
  <c r="P28" i="5"/>
  <c r="P24" i="5"/>
  <c r="P20" i="5"/>
  <c r="P19" i="4"/>
  <c r="P16" i="5"/>
  <c r="P15" i="4"/>
  <c r="P12" i="5"/>
  <c r="P11" i="4"/>
  <c r="P8" i="5"/>
  <c r="P7" i="4"/>
  <c r="O71" i="5"/>
  <c r="O70" i="4"/>
  <c r="O67" i="5"/>
  <c r="J4" i="5"/>
  <c r="P61" i="5"/>
  <c r="P57" i="5"/>
  <c r="P48" i="4"/>
  <c r="P18" i="4"/>
  <c r="P14" i="4"/>
  <c r="O69" i="4"/>
  <c r="O57" i="4"/>
  <c r="O46" i="5"/>
  <c r="O42" i="5"/>
  <c r="O27" i="4"/>
  <c r="O7" i="4"/>
  <c r="N70" i="4"/>
  <c r="N67" i="5"/>
  <c r="N63" i="5"/>
  <c r="N50" i="4"/>
  <c r="N28" i="4"/>
  <c r="N16" i="4"/>
  <c r="M71" i="4"/>
  <c r="M67" i="4"/>
  <c r="M47" i="4"/>
  <c r="M25" i="4"/>
  <c r="M22" i="5"/>
  <c r="M17" i="4"/>
  <c r="L68" i="5"/>
  <c r="L60" i="5"/>
  <c r="L52" i="5"/>
  <c r="L44" i="5"/>
  <c r="L26" i="5"/>
  <c r="L16" i="5"/>
  <c r="L8" i="5"/>
  <c r="K70" i="4"/>
  <c r="K58" i="4"/>
  <c r="K54" i="4"/>
  <c r="K50" i="4"/>
  <c r="K12" i="4"/>
  <c r="K8" i="4"/>
  <c r="J71" i="4"/>
  <c r="J59" i="4"/>
  <c r="J51" i="4"/>
  <c r="J48" i="5"/>
  <c r="J44" i="5"/>
  <c r="J25" i="4"/>
  <c r="J22" i="5"/>
  <c r="J13" i="4"/>
  <c r="J10" i="5"/>
  <c r="J6" i="5"/>
  <c r="I49" i="5"/>
  <c r="O4" i="5"/>
  <c r="K4" i="5"/>
  <c r="P62" i="5"/>
  <c r="P61" i="4"/>
  <c r="P58" i="5"/>
  <c r="P57" i="4"/>
  <c r="P50" i="5"/>
  <c r="P49" i="4"/>
  <c r="P46" i="5"/>
  <c r="P45" i="4"/>
  <c r="P27" i="4"/>
  <c r="P23" i="4"/>
  <c r="Q4" i="4"/>
  <c r="P4" i="5"/>
  <c r="L4" i="5"/>
  <c r="P22" i="4"/>
  <c r="P10" i="4"/>
  <c r="P6" i="4"/>
  <c r="O53" i="4"/>
  <c r="O50" i="5"/>
  <c r="O19" i="4"/>
  <c r="O15" i="4"/>
  <c r="N62" i="4"/>
  <c r="N59" i="5"/>
  <c r="N55" i="5"/>
  <c r="N51" i="5"/>
  <c r="N47" i="5"/>
  <c r="N43" i="5"/>
  <c r="N29" i="5"/>
  <c r="N25" i="5"/>
  <c r="N21" i="5"/>
  <c r="M59" i="4"/>
  <c r="M55" i="4"/>
  <c r="M51" i="4"/>
  <c r="M29" i="4"/>
  <c r="M18" i="5"/>
  <c r="M14" i="5"/>
  <c r="M9" i="4"/>
  <c r="L70" i="5"/>
  <c r="L64" i="5"/>
  <c r="L56" i="5"/>
  <c r="L46" i="5"/>
  <c r="L28" i="5"/>
  <c r="L20" i="5"/>
  <c r="L14" i="5"/>
  <c r="L6" i="5"/>
  <c r="K46" i="4"/>
  <c r="K42" i="4"/>
  <c r="K28" i="4"/>
  <c r="K16" i="4"/>
  <c r="K13" i="5"/>
  <c r="K9" i="5"/>
  <c r="K5" i="5"/>
  <c r="J68" i="5"/>
  <c r="J64" i="5"/>
  <c r="J17" i="4"/>
  <c r="E4" i="5"/>
  <c r="M4" i="5"/>
  <c r="I4" i="5"/>
  <c r="E5" i="5"/>
  <c r="P71" i="4"/>
  <c r="P68" i="5"/>
  <c r="P67" i="4"/>
  <c r="P64" i="5"/>
  <c r="P63" i="4"/>
  <c r="P60" i="5"/>
  <c r="P59" i="4"/>
  <c r="P56" i="5"/>
  <c r="P55" i="4"/>
  <c r="P52" i="5"/>
  <c r="P51" i="4"/>
  <c r="P48" i="5"/>
  <c r="P47" i="4"/>
  <c r="P44" i="5"/>
  <c r="P43" i="4"/>
  <c r="P40" i="5"/>
  <c r="P29" i="4"/>
  <c r="P26" i="5"/>
  <c r="P25" i="4"/>
  <c r="P22" i="5"/>
  <c r="P21" i="4"/>
  <c r="P18" i="5"/>
  <c r="P17" i="4"/>
  <c r="P14" i="5"/>
  <c r="P13" i="4"/>
  <c r="P10" i="5"/>
  <c r="P9" i="4"/>
  <c r="P64" i="4"/>
  <c r="P60" i="4"/>
  <c r="P52" i="4"/>
  <c r="P49" i="5"/>
  <c r="P45" i="5"/>
  <c r="P41" i="5"/>
  <c r="P26" i="4"/>
  <c r="P15" i="5"/>
  <c r="P11" i="5"/>
  <c r="P7" i="5"/>
  <c r="O70" i="5"/>
  <c r="O66" i="5"/>
  <c r="O62" i="5"/>
  <c r="O58" i="5"/>
  <c r="O54" i="5"/>
  <c r="O41" i="4"/>
  <c r="O28" i="5"/>
  <c r="O24" i="5"/>
  <c r="O11" i="4"/>
  <c r="O8" i="5"/>
  <c r="N71" i="5"/>
  <c r="N66" i="4"/>
  <c r="N46" i="4"/>
  <c r="N42" i="4"/>
  <c r="N20" i="4"/>
  <c r="N17" i="5"/>
  <c r="N13" i="5"/>
  <c r="N9" i="5"/>
  <c r="N5" i="5"/>
  <c r="M68" i="5"/>
  <c r="M64" i="5"/>
  <c r="M60" i="5"/>
  <c r="M56" i="5"/>
  <c r="M52" i="5"/>
  <c r="M48" i="5"/>
  <c r="M44" i="5"/>
  <c r="M21" i="4"/>
  <c r="M6" i="5"/>
  <c r="L66" i="5"/>
  <c r="L58" i="5"/>
  <c r="L50" i="5"/>
  <c r="L42" i="5"/>
  <c r="L24" i="5"/>
  <c r="L12" i="5"/>
  <c r="K66" i="4"/>
  <c r="K62" i="4"/>
  <c r="K59" i="5"/>
  <c r="K55" i="5"/>
  <c r="K51" i="5"/>
  <c r="K47" i="5"/>
  <c r="K43" i="5"/>
  <c r="K29" i="5"/>
  <c r="K25" i="5"/>
  <c r="K21" i="5"/>
  <c r="J67" i="4"/>
  <c r="J63" i="4"/>
  <c r="J60" i="5"/>
  <c r="J56" i="5"/>
  <c r="J47" i="4"/>
  <c r="J29" i="4"/>
  <c r="J26" i="5"/>
  <c r="J9" i="4"/>
  <c r="I69" i="5"/>
  <c r="I68" i="4"/>
  <c r="I57" i="5"/>
  <c r="I56" i="4"/>
  <c r="I53" i="5"/>
  <c r="I52" i="4"/>
  <c r="I45" i="5"/>
  <c r="I44" i="4"/>
  <c r="I41" i="5"/>
  <c r="I40" i="4"/>
  <c r="I27" i="5"/>
  <c r="I26" i="4"/>
  <c r="I23" i="5"/>
  <c r="I22" i="4"/>
  <c r="I19" i="5"/>
  <c r="I18" i="4"/>
  <c r="I15" i="5"/>
  <c r="I14" i="4"/>
  <c r="I11" i="5"/>
  <c r="I10" i="4"/>
  <c r="I7" i="5"/>
  <c r="I6" i="4"/>
  <c r="H70" i="5"/>
  <c r="H69" i="4"/>
  <c r="H66" i="5"/>
  <c r="H65" i="4"/>
  <c r="H62" i="5"/>
  <c r="H61" i="4"/>
  <c r="H58" i="5"/>
  <c r="H57" i="4"/>
  <c r="H54" i="5"/>
  <c r="H53" i="4"/>
  <c r="H50" i="5"/>
  <c r="H49" i="4"/>
  <c r="H46" i="5"/>
  <c r="H45" i="4"/>
  <c r="H42" i="5"/>
  <c r="H41" i="4"/>
  <c r="O66" i="4"/>
  <c r="O63" i="5"/>
  <c r="O62" i="4"/>
  <c r="O59" i="5"/>
  <c r="O58" i="4"/>
  <c r="O55" i="5"/>
  <c r="O54" i="4"/>
  <c r="O51" i="5"/>
  <c r="O50" i="4"/>
  <c r="O47" i="5"/>
  <c r="O46" i="4"/>
  <c r="O43" i="5"/>
  <c r="O42" i="4"/>
  <c r="O29" i="5"/>
  <c r="O28" i="4"/>
  <c r="O25" i="5"/>
  <c r="O24" i="4"/>
  <c r="O21" i="5"/>
  <c r="O20" i="4"/>
  <c r="O17" i="5"/>
  <c r="O16" i="4"/>
  <c r="O13" i="5"/>
  <c r="O12" i="4"/>
  <c r="O9" i="5"/>
  <c r="O8" i="4"/>
  <c r="O5" i="5"/>
  <c r="N71" i="4"/>
  <c r="N68" i="5"/>
  <c r="N67" i="4"/>
  <c r="N64" i="5"/>
  <c r="N63" i="4"/>
  <c r="N60" i="5"/>
  <c r="N59" i="4"/>
  <c r="N56" i="5"/>
  <c r="N55" i="4"/>
  <c r="N52" i="5"/>
  <c r="N51" i="4"/>
  <c r="N48" i="5"/>
  <c r="N47" i="4"/>
  <c r="N44" i="5"/>
  <c r="N43" i="4"/>
  <c r="N40" i="5"/>
  <c r="N29" i="4"/>
  <c r="N26" i="5"/>
  <c r="N25" i="4"/>
  <c r="N22" i="5"/>
  <c r="N21" i="4"/>
  <c r="N18" i="5"/>
  <c r="N17" i="4"/>
  <c r="N14" i="5"/>
  <c r="N13" i="4"/>
  <c r="N10" i="5"/>
  <c r="N9" i="4"/>
  <c r="N6" i="5"/>
  <c r="N5" i="4"/>
  <c r="M69" i="5"/>
  <c r="M68" i="4"/>
  <c r="M65" i="5"/>
  <c r="M64" i="4"/>
  <c r="M61" i="5"/>
  <c r="M60" i="4"/>
  <c r="M57" i="5"/>
  <c r="M56" i="4"/>
  <c r="M53" i="5"/>
  <c r="M52" i="4"/>
  <c r="M49" i="5"/>
  <c r="M48" i="4"/>
  <c r="M45" i="5"/>
  <c r="M44" i="4"/>
  <c r="M41" i="5"/>
  <c r="M40" i="4"/>
  <c r="M27" i="5"/>
  <c r="M26" i="4"/>
  <c r="M23" i="5"/>
  <c r="M22" i="4"/>
  <c r="M19" i="5"/>
  <c r="M18" i="4"/>
  <c r="M15" i="5"/>
  <c r="M14" i="4"/>
  <c r="M11" i="5"/>
  <c r="M10" i="4"/>
  <c r="M7" i="5"/>
  <c r="M6" i="4"/>
  <c r="K71" i="4"/>
  <c r="K68" i="5"/>
  <c r="K67" i="4"/>
  <c r="K64" i="5"/>
  <c r="K63" i="4"/>
  <c r="K60" i="5"/>
  <c r="K59" i="4"/>
  <c r="K56" i="5"/>
  <c r="K55" i="4"/>
  <c r="K52" i="5"/>
  <c r="K51" i="4"/>
  <c r="K48" i="5"/>
  <c r="K47" i="4"/>
  <c r="K44" i="5"/>
  <c r="K43" i="4"/>
  <c r="K40" i="5"/>
  <c r="K29" i="4"/>
  <c r="K26" i="5"/>
  <c r="K25" i="4"/>
  <c r="K22" i="5"/>
  <c r="K21" i="4"/>
  <c r="K18" i="5"/>
  <c r="K17" i="4"/>
  <c r="K14" i="5"/>
  <c r="K13" i="4"/>
  <c r="K10" i="5"/>
  <c r="K9" i="4"/>
  <c r="K6" i="5"/>
  <c r="K5" i="4"/>
  <c r="J69" i="5"/>
  <c r="J68" i="4"/>
  <c r="J65" i="5"/>
  <c r="J64" i="4"/>
  <c r="J61" i="5"/>
  <c r="J60" i="4"/>
  <c r="J57" i="5"/>
  <c r="J56" i="4"/>
  <c r="J53" i="5"/>
  <c r="J52" i="4"/>
  <c r="J49" i="5"/>
  <c r="J48" i="4"/>
  <c r="J45" i="5"/>
  <c r="J44" i="4"/>
  <c r="J41" i="5"/>
  <c r="J40" i="4"/>
  <c r="J27" i="5"/>
  <c r="J26" i="4"/>
  <c r="J23" i="5"/>
  <c r="J22" i="4"/>
  <c r="J19" i="5"/>
  <c r="J18" i="4"/>
  <c r="J15" i="5"/>
  <c r="J14" i="4"/>
  <c r="J11" i="5"/>
  <c r="J10" i="4"/>
  <c r="J7" i="5"/>
  <c r="J6" i="4"/>
  <c r="I70" i="5"/>
  <c r="I69" i="4"/>
  <c r="I66" i="5"/>
  <c r="I65" i="4"/>
  <c r="I62" i="5"/>
  <c r="I61" i="4"/>
  <c r="I58" i="5"/>
  <c r="I57" i="4"/>
  <c r="I54" i="5"/>
  <c r="I53" i="4"/>
  <c r="I50" i="5"/>
  <c r="I49" i="4"/>
  <c r="I46" i="5"/>
  <c r="I45" i="4"/>
  <c r="I42" i="5"/>
  <c r="I41" i="4"/>
  <c r="I28" i="5"/>
  <c r="I27" i="4"/>
  <c r="I24" i="5"/>
  <c r="I23" i="4"/>
  <c r="I20" i="5"/>
  <c r="I19" i="4"/>
  <c r="I16" i="5"/>
  <c r="I15" i="4"/>
  <c r="I12" i="5"/>
  <c r="I11" i="4"/>
  <c r="I8" i="5"/>
  <c r="I7" i="4"/>
  <c r="H71" i="5"/>
  <c r="H70" i="4"/>
  <c r="H67" i="5"/>
  <c r="H66" i="4"/>
  <c r="H63" i="5"/>
  <c r="H62" i="4"/>
  <c r="H59" i="5"/>
  <c r="H58" i="4"/>
  <c r="H55" i="5"/>
  <c r="H54" i="4"/>
  <c r="H51" i="5"/>
  <c r="H50" i="4"/>
  <c r="H47" i="5"/>
  <c r="H46" i="4"/>
  <c r="H43" i="5"/>
  <c r="H42" i="4"/>
  <c r="H29" i="5"/>
  <c r="H28" i="4"/>
  <c r="H25" i="5"/>
  <c r="H24" i="4"/>
  <c r="H21" i="5"/>
  <c r="H20" i="4"/>
  <c r="H17" i="5"/>
  <c r="H16" i="4"/>
  <c r="H13" i="5"/>
  <c r="H12" i="4"/>
  <c r="H9" i="5"/>
  <c r="H8" i="4"/>
  <c r="H5" i="5"/>
  <c r="G71" i="4"/>
  <c r="G68" i="5"/>
  <c r="G67" i="4"/>
  <c r="G64" i="5"/>
  <c r="G63" i="4"/>
  <c r="G60" i="5"/>
  <c r="G59" i="4"/>
  <c r="G56" i="5"/>
  <c r="G55" i="4"/>
  <c r="G52" i="5"/>
  <c r="G51" i="4"/>
  <c r="G48" i="5"/>
  <c r="G47" i="4"/>
  <c r="G44" i="5"/>
  <c r="G43" i="4"/>
  <c r="G40" i="5"/>
  <c r="G29" i="4"/>
  <c r="G26" i="5"/>
  <c r="G25" i="4"/>
  <c r="G22" i="5"/>
  <c r="G21" i="4"/>
  <c r="G18" i="5"/>
  <c r="G17" i="4"/>
  <c r="G14" i="5"/>
  <c r="G13" i="4"/>
  <c r="G10" i="5"/>
  <c r="G9" i="4"/>
  <c r="G6" i="5"/>
  <c r="G5" i="4"/>
  <c r="F69" i="5"/>
  <c r="F68" i="4"/>
  <c r="F65" i="5"/>
  <c r="F64" i="4"/>
  <c r="F61" i="5"/>
  <c r="F60" i="4"/>
  <c r="F57" i="5"/>
  <c r="F56" i="4"/>
  <c r="F53" i="5"/>
  <c r="F52" i="4"/>
  <c r="F49" i="5"/>
  <c r="F48" i="4"/>
  <c r="F45" i="5"/>
  <c r="F44" i="4"/>
  <c r="F41" i="5"/>
  <c r="F40" i="4"/>
  <c r="F27" i="5"/>
  <c r="F26" i="4"/>
  <c r="F23" i="5"/>
  <c r="F22" i="4"/>
  <c r="F19" i="5"/>
  <c r="F18" i="4"/>
  <c r="F15" i="5"/>
  <c r="F14" i="4"/>
  <c r="F11" i="5"/>
  <c r="F10" i="4"/>
  <c r="F7" i="5"/>
  <c r="F6" i="4"/>
  <c r="H4" i="5"/>
  <c r="P71" i="5"/>
  <c r="P70" i="4"/>
  <c r="P67" i="5"/>
  <c r="P66" i="4"/>
  <c r="P63" i="5"/>
  <c r="P62" i="4"/>
  <c r="P59" i="5"/>
  <c r="P58" i="4"/>
  <c r="P55" i="5"/>
  <c r="P54" i="4"/>
  <c r="P51" i="5"/>
  <c r="P50" i="4"/>
  <c r="P47" i="5"/>
  <c r="P46" i="4"/>
  <c r="P43" i="5"/>
  <c r="P42" i="4"/>
  <c r="P29" i="5"/>
  <c r="P28" i="4"/>
  <c r="P25" i="5"/>
  <c r="P24" i="4"/>
  <c r="P21" i="5"/>
  <c r="P20" i="4"/>
  <c r="P17" i="5"/>
  <c r="P16" i="4"/>
  <c r="P13" i="5"/>
  <c r="P12" i="4"/>
  <c r="P9" i="5"/>
  <c r="P8" i="4"/>
  <c r="P5" i="5"/>
  <c r="O71" i="4"/>
  <c r="O68" i="5"/>
  <c r="O67" i="4"/>
  <c r="O64" i="5"/>
  <c r="O63" i="4"/>
  <c r="O60" i="5"/>
  <c r="O59" i="4"/>
  <c r="O56" i="5"/>
  <c r="O55" i="4"/>
  <c r="O52" i="5"/>
  <c r="O51" i="4"/>
  <c r="O48" i="5"/>
  <c r="O47" i="4"/>
  <c r="O44" i="5"/>
  <c r="O43" i="4"/>
  <c r="O40" i="5"/>
  <c r="O29" i="4"/>
  <c r="O26" i="5"/>
  <c r="O25" i="4"/>
  <c r="O22" i="5"/>
  <c r="O21" i="4"/>
  <c r="O18" i="5"/>
  <c r="O17" i="4"/>
  <c r="O14" i="5"/>
  <c r="O13" i="4"/>
  <c r="O10" i="5"/>
  <c r="O9" i="4"/>
  <c r="O6" i="5"/>
  <c r="O5" i="4"/>
  <c r="N69" i="5"/>
  <c r="N68" i="4"/>
  <c r="N65" i="5"/>
  <c r="N64" i="4"/>
  <c r="N61" i="5"/>
  <c r="N60" i="4"/>
  <c r="N57" i="5"/>
  <c r="N56" i="4"/>
  <c r="N53" i="5"/>
  <c r="N52" i="4"/>
  <c r="N49" i="5"/>
  <c r="N48" i="4"/>
  <c r="N45" i="5"/>
  <c r="N44" i="4"/>
  <c r="N41" i="5"/>
  <c r="N40" i="4"/>
  <c r="N27" i="5"/>
  <c r="N26" i="4"/>
  <c r="N23" i="5"/>
  <c r="N22" i="4"/>
  <c r="N19" i="5"/>
  <c r="N18" i="4"/>
  <c r="N15" i="5"/>
  <c r="N14" i="4"/>
  <c r="N11" i="5"/>
  <c r="N10" i="4"/>
  <c r="N7" i="5"/>
  <c r="N6" i="4"/>
  <c r="M70" i="5"/>
  <c r="M69" i="4"/>
  <c r="M66" i="5"/>
  <c r="M65" i="4"/>
  <c r="M62" i="5"/>
  <c r="M61" i="4"/>
  <c r="M58" i="5"/>
  <c r="M57" i="4"/>
  <c r="M54" i="5"/>
  <c r="M53" i="4"/>
  <c r="M50" i="5"/>
  <c r="M49" i="4"/>
  <c r="M46" i="5"/>
  <c r="M45" i="4"/>
  <c r="M42" i="5"/>
  <c r="M41" i="4"/>
  <c r="M28" i="5"/>
  <c r="M27" i="4"/>
  <c r="M24" i="5"/>
  <c r="M23" i="4"/>
  <c r="M20" i="5"/>
  <c r="M19" i="4"/>
  <c r="M16" i="5"/>
  <c r="M15" i="4"/>
  <c r="M12" i="5"/>
  <c r="M11" i="4"/>
  <c r="M8" i="5"/>
  <c r="M7" i="4"/>
  <c r="L71" i="5"/>
  <c r="L69" i="5"/>
  <c r="L67" i="5"/>
  <c r="L65" i="5"/>
  <c r="L63" i="5"/>
  <c r="L61" i="5"/>
  <c r="L59" i="5"/>
  <c r="L57" i="5"/>
  <c r="L55" i="5"/>
  <c r="L53" i="5"/>
  <c r="L51" i="5"/>
  <c r="L49" i="5"/>
  <c r="L47" i="5"/>
  <c r="L45" i="5"/>
  <c r="L43" i="5"/>
  <c r="L41" i="5"/>
  <c r="L29" i="5"/>
  <c r="L27" i="5"/>
  <c r="L25" i="5"/>
  <c r="L23" i="5"/>
  <c r="L21" i="5"/>
  <c r="L19" i="5"/>
  <c r="L17" i="5"/>
  <c r="L15" i="5"/>
  <c r="L13" i="5"/>
  <c r="L11" i="5"/>
  <c r="L9" i="5"/>
  <c r="L7" i="5"/>
  <c r="L5" i="5"/>
  <c r="K69" i="5"/>
  <c r="K68" i="4"/>
  <c r="K65" i="5"/>
  <c r="K64" i="4"/>
  <c r="K61" i="5"/>
  <c r="K60" i="4"/>
  <c r="K57" i="5"/>
  <c r="K56" i="4"/>
  <c r="K53" i="5"/>
  <c r="K52" i="4"/>
  <c r="K49" i="5"/>
  <c r="K48" i="4"/>
  <c r="K45" i="5"/>
  <c r="K44" i="4"/>
  <c r="K41" i="5"/>
  <c r="K40" i="4"/>
  <c r="K27" i="5"/>
  <c r="K26" i="4"/>
  <c r="K23" i="5"/>
  <c r="K22" i="4"/>
  <c r="K19" i="5"/>
  <c r="K18" i="4"/>
  <c r="K15" i="5"/>
  <c r="K14" i="4"/>
  <c r="K11" i="5"/>
  <c r="K10" i="4"/>
  <c r="K7" i="5"/>
  <c r="K6" i="4"/>
  <c r="J70" i="5"/>
  <c r="J69" i="4"/>
  <c r="J66" i="5"/>
  <c r="J65" i="4"/>
  <c r="J62" i="5"/>
  <c r="J61" i="4"/>
  <c r="J58" i="5"/>
  <c r="J57" i="4"/>
  <c r="J54" i="5"/>
  <c r="J53" i="4"/>
  <c r="J50" i="5"/>
  <c r="J49" i="4"/>
  <c r="J46" i="5"/>
  <c r="J45" i="4"/>
  <c r="J42" i="5"/>
  <c r="J41" i="4"/>
  <c r="J28" i="5"/>
  <c r="J27" i="4"/>
  <c r="J24" i="5"/>
  <c r="J23" i="4"/>
  <c r="J20" i="5"/>
  <c r="J19" i="4"/>
  <c r="J16" i="5"/>
  <c r="J15" i="4"/>
  <c r="J12" i="5"/>
  <c r="J11" i="4"/>
  <c r="J8" i="5"/>
  <c r="J7" i="4"/>
  <c r="I71" i="5"/>
  <c r="I70" i="4"/>
  <c r="I67" i="5"/>
  <c r="I66" i="4"/>
  <c r="I63" i="5"/>
  <c r="I62" i="4"/>
  <c r="I59" i="5"/>
  <c r="I58" i="4"/>
  <c r="I55" i="5"/>
  <c r="I54" i="4"/>
  <c r="I51" i="5"/>
  <c r="I50" i="4"/>
  <c r="I47" i="5"/>
  <c r="I46" i="4"/>
  <c r="I43" i="5"/>
  <c r="I42" i="4"/>
  <c r="I29" i="5"/>
  <c r="I28" i="4"/>
  <c r="I25" i="5"/>
  <c r="I24" i="4"/>
  <c r="I21" i="5"/>
  <c r="I20" i="4"/>
  <c r="I17" i="5"/>
  <c r="I16" i="4"/>
  <c r="I13" i="5"/>
  <c r="I12" i="4"/>
  <c r="I9" i="5"/>
  <c r="I8" i="4"/>
  <c r="I5" i="5"/>
  <c r="H71" i="4"/>
  <c r="H68" i="5"/>
  <c r="H67" i="4"/>
  <c r="H64" i="5"/>
  <c r="H63" i="4"/>
  <c r="H60" i="5"/>
  <c r="H59" i="4"/>
  <c r="H56" i="5"/>
  <c r="H55" i="4"/>
  <c r="H52" i="5"/>
  <c r="H51" i="4"/>
  <c r="H48" i="5"/>
  <c r="H47" i="4"/>
  <c r="H44" i="5"/>
  <c r="H43" i="4"/>
  <c r="H40" i="5"/>
  <c r="H29" i="4"/>
  <c r="H26" i="5"/>
  <c r="H25" i="4"/>
  <c r="H22" i="5"/>
  <c r="H21" i="4"/>
  <c r="H18" i="5"/>
  <c r="H17" i="4"/>
  <c r="H14" i="5"/>
  <c r="H13" i="4"/>
  <c r="H10" i="5"/>
  <c r="H9" i="4"/>
  <c r="H6" i="5"/>
  <c r="H5" i="4"/>
  <c r="G69" i="5"/>
  <c r="G68" i="4"/>
  <c r="G65" i="5"/>
  <c r="G64" i="4"/>
  <c r="G61" i="5"/>
  <c r="G60" i="4"/>
  <c r="G57" i="5"/>
  <c r="G56" i="4"/>
  <c r="G53" i="5"/>
  <c r="G52" i="4"/>
  <c r="G49" i="5"/>
  <c r="G48" i="4"/>
  <c r="G45" i="5"/>
  <c r="G44" i="4"/>
  <c r="G41" i="5"/>
  <c r="G40" i="4"/>
  <c r="G27" i="5"/>
  <c r="G26" i="4"/>
  <c r="G23" i="5"/>
  <c r="G22" i="4"/>
  <c r="G19" i="5"/>
  <c r="G18" i="4"/>
  <c r="G15" i="5"/>
  <c r="G14" i="4"/>
  <c r="G11" i="5"/>
  <c r="G10" i="4"/>
  <c r="G7" i="5"/>
  <c r="G6" i="4"/>
  <c r="F70" i="5"/>
  <c r="F69" i="4"/>
  <c r="F66" i="5"/>
  <c r="F65" i="4"/>
  <c r="F62" i="5"/>
  <c r="F61" i="4"/>
  <c r="F58" i="5"/>
  <c r="F57" i="4"/>
  <c r="F54" i="5"/>
  <c r="F53" i="4"/>
  <c r="F50" i="5"/>
  <c r="F49" i="4"/>
  <c r="F46" i="5"/>
  <c r="F45" i="4"/>
  <c r="F42" i="5"/>
  <c r="F41" i="4"/>
  <c r="F28" i="5"/>
  <c r="F27" i="4"/>
  <c r="F24" i="5"/>
  <c r="F23" i="4"/>
  <c r="F20" i="5"/>
  <c r="F19" i="4"/>
  <c r="F16" i="5"/>
  <c r="F15" i="4"/>
  <c r="F12" i="5"/>
  <c r="F11" i="4"/>
  <c r="F8" i="5"/>
  <c r="F7" i="4"/>
  <c r="P6" i="5"/>
  <c r="P5" i="4"/>
  <c r="O69" i="5"/>
  <c r="O68" i="4"/>
  <c r="O65" i="5"/>
  <c r="O64" i="4"/>
  <c r="O61" i="5"/>
  <c r="O60" i="4"/>
  <c r="O57" i="5"/>
  <c r="O56" i="4"/>
  <c r="O53" i="5"/>
  <c r="O52" i="4"/>
  <c r="O49" i="5"/>
  <c r="O48" i="4"/>
  <c r="O45" i="5"/>
  <c r="O44" i="4"/>
  <c r="O41" i="5"/>
  <c r="O40" i="4"/>
  <c r="O27" i="5"/>
  <c r="O26" i="4"/>
  <c r="O23" i="5"/>
  <c r="O22" i="4"/>
  <c r="O19" i="5"/>
  <c r="O18" i="4"/>
  <c r="O15" i="5"/>
  <c r="O14" i="4"/>
  <c r="O11" i="5"/>
  <c r="O10" i="4"/>
  <c r="O7" i="5"/>
  <c r="O6" i="4"/>
  <c r="N70" i="5"/>
  <c r="N69" i="4"/>
  <c r="N66" i="5"/>
  <c r="N65" i="4"/>
  <c r="N62" i="5"/>
  <c r="N61" i="4"/>
  <c r="N58" i="5"/>
  <c r="N57" i="4"/>
  <c r="N54" i="5"/>
  <c r="N53" i="4"/>
  <c r="N50" i="5"/>
  <c r="N49" i="4"/>
  <c r="N46" i="5"/>
  <c r="N45" i="4"/>
  <c r="N42" i="5"/>
  <c r="N41" i="4"/>
  <c r="N28" i="5"/>
  <c r="N27" i="4"/>
  <c r="N24" i="5"/>
  <c r="N23" i="4"/>
  <c r="N20" i="5"/>
  <c r="N19" i="4"/>
  <c r="N16" i="5"/>
  <c r="N15" i="4"/>
  <c r="N12" i="5"/>
  <c r="N11" i="4"/>
  <c r="N8" i="5"/>
  <c r="N7" i="4"/>
  <c r="M71" i="5"/>
  <c r="M70" i="4"/>
  <c r="M67" i="5"/>
  <c r="M66" i="4"/>
  <c r="M63" i="5"/>
  <c r="M62" i="4"/>
  <c r="M59" i="5"/>
  <c r="M58" i="4"/>
  <c r="M55" i="5"/>
  <c r="M54" i="4"/>
  <c r="M51" i="5"/>
  <c r="M50" i="4"/>
  <c r="M47" i="5"/>
  <c r="M46" i="4"/>
  <c r="M43" i="5"/>
  <c r="M42" i="4"/>
  <c r="M29" i="5"/>
  <c r="M28" i="4"/>
  <c r="M25" i="5"/>
  <c r="M24" i="4"/>
  <c r="M21" i="5"/>
  <c r="M20" i="4"/>
  <c r="M17" i="5"/>
  <c r="M16" i="4"/>
  <c r="M13" i="5"/>
  <c r="M12" i="4"/>
  <c r="M9" i="5"/>
  <c r="M8" i="4"/>
  <c r="M5" i="5"/>
  <c r="K70" i="5"/>
  <c r="K69" i="4"/>
  <c r="K66" i="5"/>
  <c r="K65" i="4"/>
  <c r="K62" i="5"/>
  <c r="K61" i="4"/>
  <c r="K58" i="5"/>
  <c r="K57" i="4"/>
  <c r="K54" i="5"/>
  <c r="K53" i="4"/>
  <c r="K50" i="5"/>
  <c r="K49" i="4"/>
  <c r="K46" i="5"/>
  <c r="K45" i="4"/>
  <c r="K42" i="5"/>
  <c r="K41" i="4"/>
  <c r="K28" i="5"/>
  <c r="K27" i="4"/>
  <c r="K24" i="5"/>
  <c r="K23" i="4"/>
  <c r="K20" i="5"/>
  <c r="K19" i="4"/>
  <c r="K16" i="5"/>
  <c r="K15" i="4"/>
  <c r="K12" i="5"/>
  <c r="K11" i="4"/>
  <c r="K8" i="5"/>
  <c r="K7" i="4"/>
  <c r="J71" i="5"/>
  <c r="J70" i="4"/>
  <c r="J67" i="5"/>
  <c r="J66" i="4"/>
  <c r="J63" i="5"/>
  <c r="J62" i="4"/>
  <c r="J59" i="5"/>
  <c r="J58" i="4"/>
  <c r="J55" i="5"/>
  <c r="J54" i="4"/>
  <c r="J51" i="5"/>
  <c r="J50" i="4"/>
  <c r="J47" i="5"/>
  <c r="J46" i="4"/>
  <c r="J43" i="5"/>
  <c r="J42" i="4"/>
  <c r="J29" i="5"/>
  <c r="J28" i="4"/>
  <c r="J25" i="5"/>
  <c r="J24" i="4"/>
  <c r="J21" i="5"/>
  <c r="J20" i="4"/>
  <c r="J17" i="5"/>
  <c r="J16" i="4"/>
  <c r="J13" i="5"/>
  <c r="J12" i="4"/>
  <c r="J9" i="5"/>
  <c r="J8" i="4"/>
  <c r="J5" i="5"/>
  <c r="I71" i="4"/>
  <c r="I68" i="5"/>
  <c r="I67" i="4"/>
  <c r="I64" i="5"/>
  <c r="I63" i="4"/>
  <c r="I60" i="5"/>
  <c r="I59" i="4"/>
  <c r="I56" i="5"/>
  <c r="I55" i="4"/>
  <c r="I52" i="5"/>
  <c r="I51" i="4"/>
  <c r="I48" i="5"/>
  <c r="I47" i="4"/>
  <c r="I44" i="5"/>
  <c r="I43" i="4"/>
  <c r="I40" i="5"/>
  <c r="I29" i="4"/>
  <c r="I26" i="5"/>
  <c r="I25" i="4"/>
  <c r="I22" i="5"/>
  <c r="I21" i="4"/>
  <c r="I18" i="5"/>
  <c r="I17" i="4"/>
  <c r="I14" i="5"/>
  <c r="I13" i="4"/>
  <c r="I10" i="5"/>
  <c r="I9" i="4"/>
  <c r="I6" i="5"/>
  <c r="I5" i="4"/>
  <c r="H69" i="5"/>
  <c r="H68" i="4"/>
  <c r="H65" i="5"/>
  <c r="H64" i="4"/>
  <c r="H61" i="5"/>
  <c r="H60" i="4"/>
  <c r="H57" i="5"/>
  <c r="H56" i="4"/>
  <c r="H53" i="5"/>
  <c r="H52" i="4"/>
  <c r="H49" i="5"/>
  <c r="H48" i="4"/>
  <c r="H45" i="5"/>
  <c r="H44" i="4"/>
  <c r="H41" i="5"/>
  <c r="H40" i="4"/>
  <c r="H27" i="5"/>
  <c r="H26" i="4"/>
  <c r="H23" i="5"/>
  <c r="H22" i="4"/>
  <c r="H19" i="5"/>
  <c r="H18" i="4"/>
  <c r="H15" i="5"/>
  <c r="H14" i="4"/>
  <c r="H11" i="5"/>
  <c r="H10" i="4"/>
  <c r="H7" i="5"/>
  <c r="H6" i="4"/>
  <c r="G70" i="5"/>
  <c r="G69" i="4"/>
  <c r="G66" i="5"/>
  <c r="G65" i="4"/>
  <c r="G62" i="5"/>
  <c r="G61" i="4"/>
  <c r="G58" i="5"/>
  <c r="G57" i="4"/>
  <c r="G54" i="5"/>
  <c r="G53" i="4"/>
  <c r="G50" i="5"/>
  <c r="G49" i="4"/>
  <c r="G46" i="5"/>
  <c r="G45" i="4"/>
  <c r="G42" i="5"/>
  <c r="G41" i="4"/>
  <c r="G28" i="5"/>
  <c r="G27" i="4"/>
  <c r="G24" i="5"/>
  <c r="G23" i="4"/>
  <c r="G20" i="5"/>
  <c r="G19" i="4"/>
  <c r="G16" i="5"/>
  <c r="G15" i="4"/>
  <c r="G12" i="5"/>
  <c r="G11" i="4"/>
  <c r="G8" i="5"/>
  <c r="G7" i="4"/>
  <c r="F71" i="5"/>
  <c r="F70" i="4"/>
  <c r="F67" i="5"/>
  <c r="F66" i="4"/>
  <c r="F63" i="5"/>
  <c r="F62" i="4"/>
  <c r="F59" i="5"/>
  <c r="F58" i="4"/>
  <c r="F55" i="5"/>
  <c r="F54" i="4"/>
  <c r="F51" i="5"/>
  <c r="F50" i="4"/>
  <c r="F47" i="5"/>
  <c r="F46" i="4"/>
  <c r="F43" i="5"/>
  <c r="F42" i="4"/>
  <c r="F29" i="5"/>
  <c r="F28" i="4"/>
  <c r="F25" i="5"/>
  <c r="F24" i="4"/>
  <c r="F21" i="5"/>
  <c r="F20" i="4"/>
  <c r="F17" i="5"/>
  <c r="F16" i="4"/>
  <c r="F13" i="5"/>
  <c r="F12" i="4"/>
  <c r="F9" i="5"/>
  <c r="F8" i="4"/>
  <c r="F5" i="5"/>
  <c r="H28" i="5"/>
  <c r="H27" i="4"/>
  <c r="H24" i="5"/>
  <c r="H23" i="4"/>
  <c r="H20" i="5"/>
  <c r="H19" i="4"/>
  <c r="H16" i="5"/>
  <c r="H15" i="4"/>
  <c r="H12" i="5"/>
  <c r="H11" i="4"/>
  <c r="H8" i="5"/>
  <c r="H7" i="4"/>
  <c r="G71" i="5"/>
  <c r="G70" i="4"/>
  <c r="G67" i="5"/>
  <c r="G66" i="4"/>
  <c r="G63" i="5"/>
  <c r="G62" i="4"/>
  <c r="G59" i="5"/>
  <c r="G58" i="4"/>
  <c r="G55" i="5"/>
  <c r="G54" i="4"/>
  <c r="G51" i="5"/>
  <c r="G50" i="4"/>
  <c r="G47" i="5"/>
  <c r="G46" i="4"/>
  <c r="G43" i="5"/>
  <c r="G42" i="4"/>
  <c r="G29" i="5"/>
  <c r="G28" i="4"/>
  <c r="G25" i="5"/>
  <c r="G24" i="4"/>
  <c r="G21" i="5"/>
  <c r="G20" i="4"/>
  <c r="G17" i="5"/>
  <c r="G16" i="4"/>
  <c r="G13" i="5"/>
  <c r="G12" i="4"/>
  <c r="G9" i="5"/>
  <c r="G8" i="4"/>
  <c r="G5" i="5"/>
  <c r="F71" i="4"/>
  <c r="F68" i="5"/>
  <c r="F67" i="4"/>
  <c r="F64" i="5"/>
  <c r="F63" i="4"/>
  <c r="F60" i="5"/>
  <c r="F59" i="4"/>
  <c r="F56" i="5"/>
  <c r="F55" i="4"/>
  <c r="F52" i="5"/>
  <c r="F51" i="4"/>
  <c r="F48" i="5"/>
  <c r="F47" i="4"/>
  <c r="F44" i="5"/>
  <c r="F43" i="4"/>
  <c r="F40" i="5"/>
  <c r="F29" i="4"/>
  <c r="F26" i="5"/>
  <c r="F25" i="4"/>
  <c r="F22" i="5"/>
  <c r="F21" i="4"/>
  <c r="F18" i="5"/>
  <c r="F17" i="4"/>
  <c r="F14" i="5"/>
  <c r="F13" i="4"/>
  <c r="F10" i="5"/>
  <c r="F9" i="4"/>
  <c r="F6" i="5"/>
  <c r="F5" i="4"/>
  <c r="F232" i="4" l="1"/>
  <c r="E4" i="6" s="1"/>
  <c r="H232" i="4"/>
  <c r="G4" i="6" s="1"/>
  <c r="Q14" i="5"/>
  <c r="Q40" i="5"/>
  <c r="Q64" i="5"/>
  <c r="Q20" i="4"/>
  <c r="Q46" i="4"/>
  <c r="Q62" i="4"/>
  <c r="M232" i="4"/>
  <c r="L4" i="6" s="1"/>
  <c r="N232" i="4"/>
  <c r="M4" i="6" s="1"/>
  <c r="Q6" i="5"/>
  <c r="Q22" i="5"/>
  <c r="Q48" i="5"/>
  <c r="Q56" i="5"/>
  <c r="Q12" i="4"/>
  <c r="Q28" i="4"/>
  <c r="Q54" i="4"/>
  <c r="Q70" i="4"/>
  <c r="K232" i="4"/>
  <c r="J4" i="6" s="1"/>
  <c r="F232" i="5"/>
  <c r="E5" i="6" s="1"/>
  <c r="P232" i="4"/>
  <c r="O4" i="6" s="1"/>
  <c r="Q10" i="5"/>
  <c r="Q18" i="5"/>
  <c r="Q26" i="5"/>
  <c r="Q44" i="5"/>
  <c r="Q52" i="5"/>
  <c r="Q60" i="5"/>
  <c r="Q68" i="5"/>
  <c r="Q8" i="4"/>
  <c r="Q16" i="4"/>
  <c r="Q24" i="4"/>
  <c r="Q42" i="4"/>
  <c r="Q50" i="4"/>
  <c r="Q58" i="4"/>
  <c r="Q66" i="4"/>
  <c r="G232" i="4"/>
  <c r="F4" i="6" s="1"/>
  <c r="I232" i="4"/>
  <c r="H4" i="6" s="1"/>
  <c r="O232" i="4"/>
  <c r="N4" i="6" s="1"/>
  <c r="J232" i="4"/>
  <c r="I4" i="6" s="1"/>
  <c r="Q16" i="5"/>
  <c r="Q42" i="5"/>
  <c r="Q54" i="5"/>
  <c r="Q66" i="5"/>
  <c r="Q7" i="5"/>
  <c r="Q19" i="5"/>
  <c r="Q27" i="5"/>
  <c r="Q49" i="5"/>
  <c r="Q61" i="5"/>
  <c r="I232" i="5"/>
  <c r="H5" i="6" s="1"/>
  <c r="Q5" i="5"/>
  <c r="O232" i="5"/>
  <c r="N5" i="6" s="1"/>
  <c r="N232" i="5"/>
  <c r="M5" i="6" s="1"/>
  <c r="Q12" i="5"/>
  <c r="Q24" i="5"/>
  <c r="Q46" i="5"/>
  <c r="Q58" i="5"/>
  <c r="Q62" i="5"/>
  <c r="Q11" i="5"/>
  <c r="Q23" i="5"/>
  <c r="Q45" i="5"/>
  <c r="Q57" i="5"/>
  <c r="Q69" i="5"/>
  <c r="Q9" i="4"/>
  <c r="Q13" i="4"/>
  <c r="Q17" i="4"/>
  <c r="Q21" i="4"/>
  <c r="Q25" i="4"/>
  <c r="Q29" i="4"/>
  <c r="Q43" i="4"/>
  <c r="Q47" i="4"/>
  <c r="Q51" i="4"/>
  <c r="Q55" i="4"/>
  <c r="Q59" i="4"/>
  <c r="Q63" i="4"/>
  <c r="Q67" i="4"/>
  <c r="Q71" i="4"/>
  <c r="Q9" i="5"/>
  <c r="Q13" i="5"/>
  <c r="Q17" i="5"/>
  <c r="Q21" i="5"/>
  <c r="Q25" i="5"/>
  <c r="Q29" i="5"/>
  <c r="Q43" i="5"/>
  <c r="Q47" i="5"/>
  <c r="Q51" i="5"/>
  <c r="Q55" i="5"/>
  <c r="Q59" i="5"/>
  <c r="Q63" i="5"/>
  <c r="Q67" i="5"/>
  <c r="Q71" i="5"/>
  <c r="Q7" i="4"/>
  <c r="Q11" i="4"/>
  <c r="Q15" i="4"/>
  <c r="Q19" i="4"/>
  <c r="Q23" i="4"/>
  <c r="Q27" i="4"/>
  <c r="Q41" i="4"/>
  <c r="Q45" i="4"/>
  <c r="Q49" i="4"/>
  <c r="Q53" i="4"/>
  <c r="Q57" i="4"/>
  <c r="Q61" i="4"/>
  <c r="Q65" i="4"/>
  <c r="Q69" i="4"/>
  <c r="Q6" i="4"/>
  <c r="Q10" i="4"/>
  <c r="Q14" i="4"/>
  <c r="Q18" i="4"/>
  <c r="Q22" i="4"/>
  <c r="Q26" i="4"/>
  <c r="Q40" i="4"/>
  <c r="Q44" i="4"/>
  <c r="Q48" i="4"/>
  <c r="Q52" i="4"/>
  <c r="Q56" i="4"/>
  <c r="Q60" i="4"/>
  <c r="Q64" i="4"/>
  <c r="Q68" i="4"/>
  <c r="E232" i="5"/>
  <c r="D5" i="6" s="1"/>
  <c r="Q4" i="5"/>
  <c r="P232" i="5"/>
  <c r="O5" i="6" s="1"/>
  <c r="J232" i="5"/>
  <c r="I5" i="6" s="1"/>
  <c r="Q5" i="4"/>
  <c r="Q8" i="5"/>
  <c r="Q20" i="5"/>
  <c r="Q28" i="5"/>
  <c r="Q50" i="5"/>
  <c r="Q70" i="5"/>
  <c r="H232" i="5"/>
  <c r="G5" i="6" s="1"/>
  <c r="Q15" i="5"/>
  <c r="Q41" i="5"/>
  <c r="Q53" i="5"/>
  <c r="Q65" i="5"/>
  <c r="M232" i="5"/>
  <c r="L5" i="6" s="1"/>
  <c r="L232" i="5"/>
  <c r="K5" i="6" s="1"/>
  <c r="K232" i="5"/>
  <c r="J5" i="6" s="1"/>
  <c r="G232" i="5"/>
  <c r="F5" i="6" s="1"/>
  <c r="P4" i="6" l="1"/>
  <c r="Q232" i="4"/>
  <c r="P5" i="6"/>
  <c r="R4" i="4"/>
  <c r="Q232" i="5"/>
  <c r="G2" i="7" l="1"/>
</calcChain>
</file>

<file path=xl/sharedStrings.xml><?xml version="1.0" encoding="utf-8"?>
<sst xmlns="http://schemas.openxmlformats.org/spreadsheetml/2006/main" count="13938" uniqueCount="3644">
  <si>
    <t>DATA CURAH HUJAN HARIAN</t>
  </si>
  <si>
    <t>Tahun : 2024</t>
  </si>
  <si>
    <t>NAMA STASIUN</t>
  </si>
  <si>
    <t>Kode Stasiun</t>
  </si>
  <si>
    <t>Wilayah Sungai</t>
  </si>
  <si>
    <t>Bengawan Solo</t>
  </si>
  <si>
    <t>Kode Database</t>
  </si>
  <si>
    <t>Lintang Selatan</t>
  </si>
  <si>
    <t>Kelurahan/Desa</t>
  </si>
  <si>
    <t>Krikilan</t>
  </si>
  <si>
    <t>Tahun Pendirian</t>
  </si>
  <si>
    <t>Bujur Timur</t>
  </si>
  <si>
    <t>Kecamatan</t>
  </si>
  <si>
    <t>Driyorejo</t>
  </si>
  <si>
    <t>Tipe Alat</t>
  </si>
  <si>
    <t>PHB</t>
  </si>
  <si>
    <t>Elevasi</t>
  </si>
  <si>
    <t>-</t>
  </si>
  <si>
    <t>Kab/Kota</t>
  </si>
  <si>
    <t>Gresik</t>
  </si>
  <si>
    <t>Pengelola</t>
  </si>
  <si>
    <t>Pengairan</t>
  </si>
  <si>
    <t>Tanggal</t>
  </si>
  <si>
    <t>Bulan</t>
  </si>
  <si>
    <t>Total</t>
  </si>
  <si>
    <t>Periode1</t>
  </si>
  <si>
    <t>Periode2</t>
  </si>
  <si>
    <t>Periode3</t>
  </si>
  <si>
    <t>Maksimum</t>
  </si>
  <si>
    <t>Data Hujan</t>
  </si>
  <si>
    <t>Database</t>
  </si>
  <si>
    <t>Nama Pos</t>
  </si>
  <si>
    <t>Kode</t>
  </si>
  <si>
    <t>UPT</t>
  </si>
  <si>
    <t>Desa</t>
  </si>
  <si>
    <t>Kabupaten</t>
  </si>
  <si>
    <t>Bujur</t>
  </si>
  <si>
    <t>Lintang</t>
  </si>
  <si>
    <t>WS</t>
  </si>
  <si>
    <t>DAS</t>
  </si>
  <si>
    <t>Tahun</t>
  </si>
  <si>
    <t>UPTD</t>
  </si>
  <si>
    <t>Balen</t>
  </si>
  <si>
    <t>PSDA di Bojonegoro</t>
  </si>
  <si>
    <t>Margomulyo</t>
  </si>
  <si>
    <t>Bojonegoro</t>
  </si>
  <si>
    <t>'111.953597</t>
  </si>
  <si>
    <t>' -7.194462</t>
  </si>
  <si>
    <t>Baureno</t>
  </si>
  <si>
    <t>Trojalu</t>
  </si>
  <si>
    <t>'112.10317</t>
  </si>
  <si>
    <t>'-7.138282</t>
  </si>
  <si>
    <t>Kadipaten</t>
  </si>
  <si>
    <t>'111.882110</t>
  </si>
  <si>
    <t>'-7.147714</t>
  </si>
  <si>
    <t>Cawak / Simorejo</t>
  </si>
  <si>
    <t>Simorejo</t>
  </si>
  <si>
    <t>Kepoh Baru</t>
  </si>
  <si>
    <t>'112.109187</t>
  </si>
  <si>
    <t>'-7.220572</t>
  </si>
  <si>
    <t>Dander</t>
  </si>
  <si>
    <t>'111.8430452</t>
  </si>
  <si>
    <t>'-7.2496501</t>
  </si>
  <si>
    <t>Gangseng</t>
  </si>
  <si>
    <t>Sugihwaras</t>
  </si>
  <si>
    <t>'111.911839</t>
  </si>
  <si>
    <t>'-7.3463963</t>
  </si>
  <si>
    <t>Gondang BJNG</t>
  </si>
  <si>
    <t>Gondang</t>
  </si>
  <si>
    <t>Bubulan</t>
  </si>
  <si>
    <t>'111.848856</t>
  </si>
  <si>
    <t>'-7.396331</t>
  </si>
  <si>
    <t>Jatiblimbing</t>
  </si>
  <si>
    <t>Bendo</t>
  </si>
  <si>
    <t>Kapas</t>
  </si>
  <si>
    <t>'111.8724566</t>
  </si>
  <si>
    <t>'-7.244615</t>
  </si>
  <si>
    <t>Kanor</t>
  </si>
  <si>
    <t>'112.019212</t>
  </si>
  <si>
    <t>'-7.095438</t>
  </si>
  <si>
    <t>'111.928241</t>
  </si>
  <si>
    <t>'-7.19814</t>
  </si>
  <si>
    <t>Karangnongko</t>
  </si>
  <si>
    <t>Luwihaji</t>
  </si>
  <si>
    <t>Ngraho</t>
  </si>
  <si>
    <t>'111.495615</t>
  </si>
  <si>
    <t>'-7.252048</t>
  </si>
  <si>
    <t>Kendung</t>
  </si>
  <si>
    <t>Kedungadem</t>
  </si>
  <si>
    <t>'112.086124</t>
  </si>
  <si>
    <t>'-7.2925</t>
  </si>
  <si>
    <t>Kerjo</t>
  </si>
  <si>
    <t>Brangkal</t>
  </si>
  <si>
    <t>'112.087265</t>
  </si>
  <si>
    <t>' -7.198274</t>
  </si>
  <si>
    <t>Klepek</t>
  </si>
  <si>
    <t>Kedaton</t>
  </si>
  <si>
    <t>'111.928674</t>
  </si>
  <si>
    <t>' -7.257292</t>
  </si>
  <si>
    <t>Leran</t>
  </si>
  <si>
    <t>Ngumpakdalem</t>
  </si>
  <si>
    <t>'111.822383</t>
  </si>
  <si>
    <t>' -7.190206</t>
  </si>
  <si>
    <t>Mekuris</t>
  </si>
  <si>
    <t>Sumberejo</t>
  </si>
  <si>
    <t>'112.03126</t>
  </si>
  <si>
    <t>'-7.22649</t>
  </si>
  <si>
    <t>Deling</t>
  </si>
  <si>
    <t>Sekar</t>
  </si>
  <si>
    <t>'111.760701</t>
  </si>
  <si>
    <t>' -7.394211</t>
  </si>
  <si>
    <t>Panjang</t>
  </si>
  <si>
    <t>'112.04959</t>
  </si>
  <si>
    <t>'-7.32957</t>
  </si>
  <si>
    <t>Setren</t>
  </si>
  <si>
    <t>Ngasem</t>
  </si>
  <si>
    <t>'111.726972</t>
  </si>
  <si>
    <t>' -7.295647</t>
  </si>
  <si>
    <t>Sugihan</t>
  </si>
  <si>
    <t>Kedungsumber</t>
  </si>
  <si>
    <t>Temayang</t>
  </si>
  <si>
    <t>'111.875022</t>
  </si>
  <si>
    <t>' -7.398983</t>
  </si>
  <si>
    <t>Sukun</t>
  </si>
  <si>
    <t>Sambongrejo</t>
  </si>
  <si>
    <t>'111.832572</t>
  </si>
  <si>
    <t>'-7.431950</t>
  </si>
  <si>
    <t>Sumberrejo</t>
  </si>
  <si>
    <t>'112.007822</t>
  </si>
  <si>
    <t>'-7.178944</t>
  </si>
  <si>
    <t>Tretes/pacal</t>
  </si>
  <si>
    <t>'111.870759</t>
  </si>
  <si>
    <t>'-7.362486</t>
  </si>
  <si>
    <t>Wonocolo</t>
  </si>
  <si>
    <t>Kasiman</t>
  </si>
  <si>
    <t>'111.670965</t>
  </si>
  <si>
    <t>' -7.050852</t>
  </si>
  <si>
    <t>'111.560336</t>
  </si>
  <si>
    <t>'-7.220665</t>
  </si>
  <si>
    <t>Pajeng</t>
  </si>
  <si>
    <t>'111.887401</t>
  </si>
  <si>
    <t>' -7.423303</t>
  </si>
  <si>
    <t>Kalitidu</t>
  </si>
  <si>
    <t>'111.76459</t>
  </si>
  <si>
    <t>'-7.12949</t>
  </si>
  <si>
    <t>Butoh</t>
  </si>
  <si>
    <t>'111.765940</t>
  </si>
  <si>
    <t>'-7.255982</t>
  </si>
  <si>
    <t>Kali sumber</t>
  </si>
  <si>
    <t>Tambakrejo</t>
  </si>
  <si>
    <t>'111.655335</t>
  </si>
  <si>
    <t>' -7.264912</t>
  </si>
  <si>
    <t>Cancung</t>
  </si>
  <si>
    <t>'111.811983</t>
  </si>
  <si>
    <t>' -7.325828</t>
  </si>
  <si>
    <t>Sumberejo/malo</t>
  </si>
  <si>
    <t>Malo</t>
  </si>
  <si>
    <t>'111.703311</t>
  </si>
  <si>
    <t>'-7.099028</t>
  </si>
  <si>
    <t>Padangan</t>
  </si>
  <si>
    <t>Sonorejo</t>
  </si>
  <si>
    <t>'111.6235</t>
  </si>
  <si>
    <t>'-7.1836</t>
  </si>
  <si>
    <t>Sidomukti</t>
  </si>
  <si>
    <t>Jatirogo</t>
  </si>
  <si>
    <t>Tuban</t>
  </si>
  <si>
    <t>'111.620583</t>
  </si>
  <si>
    <t>' -6.923239</t>
  </si>
  <si>
    <t>Belikanget</t>
  </si>
  <si>
    <t>Tambakboyo</t>
  </si>
  <si>
    <t>'111.809794</t>
  </si>
  <si>
    <t>' -6.827905</t>
  </si>
  <si>
    <t>Boropetung</t>
  </si>
  <si>
    <t>Montong</t>
  </si>
  <si>
    <t>'111.950662</t>
  </si>
  <si>
    <t>' -6.964054</t>
  </si>
  <si>
    <t>Gaplok</t>
  </si>
  <si>
    <t>'111.943238</t>
  </si>
  <si>
    <t>' -6.945051</t>
  </si>
  <si>
    <t>Grabagan</t>
  </si>
  <si>
    <t>Rengel</t>
  </si>
  <si>
    <t>'111.986885</t>
  </si>
  <si>
    <t>'-7.006121</t>
  </si>
  <si>
    <t>Jojogan</t>
  </si>
  <si>
    <t>Mulyoagung</t>
  </si>
  <si>
    <t>Singgahan</t>
  </si>
  <si>
    <t>'111.793888</t>
  </si>
  <si>
    <t>' -6.968066</t>
  </si>
  <si>
    <t>Kayenjoho</t>
  </si>
  <si>
    <t>Bancar</t>
  </si>
  <si>
    <t>'111.742851</t>
  </si>
  <si>
    <t>' -6.827731</t>
  </si>
  <si>
    <t>Kebonagung TBN</t>
  </si>
  <si>
    <t>Kebonagung</t>
  </si>
  <si>
    <t>'111.925043</t>
  </si>
  <si>
    <t>'-6.9865552</t>
  </si>
  <si>
    <t>Kebonharjo/paseyan</t>
  </si>
  <si>
    <t>Paseyan</t>
  </si>
  <si>
    <t>'111.638340</t>
  </si>
  <si>
    <t>'-6.873783</t>
  </si>
  <si>
    <t>Kejuron</t>
  </si>
  <si>
    <t>Sidotentrem</t>
  </si>
  <si>
    <t>Bangilan</t>
  </si>
  <si>
    <t>'111.687526</t>
  </si>
  <si>
    <t>'-6.971241</t>
  </si>
  <si>
    <t>Kepet</t>
  </si>
  <si>
    <t>Semanding</t>
  </si>
  <si>
    <t>'112.055130</t>
  </si>
  <si>
    <t>' -6.926983</t>
  </si>
  <si>
    <t>Kerek</t>
  </si>
  <si>
    <t>Jarorejo</t>
  </si>
  <si>
    <t>'111.883483</t>
  </si>
  <si>
    <t>' -6.900192</t>
  </si>
  <si>
    <t>Klotok/Sembungrejo</t>
  </si>
  <si>
    <t>Sembungrejo</t>
  </si>
  <si>
    <t>Plumpang</t>
  </si>
  <si>
    <t>'112.117910</t>
  </si>
  <si>
    <t>'-7.084119</t>
  </si>
  <si>
    <t>Kwasen</t>
  </si>
  <si>
    <t>'111.768724</t>
  </si>
  <si>
    <t>' -6.949823</t>
  </si>
  <si>
    <t>Laju</t>
  </si>
  <si>
    <t>Sidodadi</t>
  </si>
  <si>
    <t>'111.740056</t>
  </si>
  <si>
    <t>' -6.976929</t>
  </si>
  <si>
    <t>Tluwe</t>
  </si>
  <si>
    <t>Prambontergayang</t>
  </si>
  <si>
    <t>Soko</t>
  </si>
  <si>
    <t>'111.916534</t>
  </si>
  <si>
    <t>' -7.066659</t>
  </si>
  <si>
    <t>Montongsekar</t>
  </si>
  <si>
    <t>'111.907382</t>
  </si>
  <si>
    <t>'-6.9585941</t>
  </si>
  <si>
    <t>Mundri</t>
  </si>
  <si>
    <t>'111.702808</t>
  </si>
  <si>
    <t>' -6.952983</t>
  </si>
  <si>
    <t>Ngabongan</t>
  </si>
  <si>
    <t>Kedungjambe</t>
  </si>
  <si>
    <t>'111.798772</t>
  </si>
  <si>
    <t>' -7.006458</t>
  </si>
  <si>
    <t>Ngolahan</t>
  </si>
  <si>
    <t>Ngulahan</t>
  </si>
  <si>
    <t>'111.783816</t>
  </si>
  <si>
    <t>' -6.879224</t>
  </si>
  <si>
    <t>Plajan / katerban</t>
  </si>
  <si>
    <t>Katerban</t>
  </si>
  <si>
    <t>Senori</t>
  </si>
  <si>
    <t>'111.769948</t>
  </si>
  <si>
    <t>'-7.068812</t>
  </si>
  <si>
    <t>'112.003302</t>
  </si>
  <si>
    <t>'-7.064328</t>
  </si>
  <si>
    <t>Sekaran</t>
  </si>
  <si>
    <t>'111.715386</t>
  </si>
  <si>
    <t>' -6.868617</t>
  </si>
  <si>
    <t>Parangbatu</t>
  </si>
  <si>
    <t>Parengan</t>
  </si>
  <si>
    <t>'111.838417</t>
  </si>
  <si>
    <t>'-7.066605</t>
  </si>
  <si>
    <t>Simo</t>
  </si>
  <si>
    <t>Sukoharjo</t>
  </si>
  <si>
    <t>'111.776728</t>
  </si>
  <si>
    <t>'-6.822213</t>
  </si>
  <si>
    <t>Mojoagung</t>
  </si>
  <si>
    <t>'111.938118</t>
  </si>
  <si>
    <t>' -7.110763</t>
  </si>
  <si>
    <t>Kaligede</t>
  </si>
  <si>
    <t>'111.691042</t>
  </si>
  <si>
    <t>' -7.034490</t>
  </si>
  <si>
    <t>Tegalrejo</t>
  </si>
  <si>
    <t>Merakurak</t>
  </si>
  <si>
    <t>'111.984616</t>
  </si>
  <si>
    <t>' -6.879759</t>
  </si>
  <si>
    <t>Latsari</t>
  </si>
  <si>
    <t>'112.046334</t>
  </si>
  <si>
    <t>' -6.897050</t>
  </si>
  <si>
    <t>Tuwiwiyan</t>
  </si>
  <si>
    <t>'111.764277</t>
  </si>
  <si>
    <t>' -6.927781</t>
  </si>
  <si>
    <t>Widang</t>
  </si>
  <si>
    <t>'112.174090</t>
  </si>
  <si>
    <t>'-7.087930</t>
  </si>
  <si>
    <t>'111.866372</t>
  </si>
  <si>
    <t>' -7.100569</t>
  </si>
  <si>
    <t>Dermawuharjo</t>
  </si>
  <si>
    <t>'112.029136</t>
  </si>
  <si>
    <t>' -7.007332</t>
  </si>
  <si>
    <t>Ngimbang Tuban</t>
  </si>
  <si>
    <t>Ngimbang</t>
  </si>
  <si>
    <t>Palang</t>
  </si>
  <si>
    <t>'112.11030</t>
  </si>
  <si>
    <t>'-6.92720</t>
  </si>
  <si>
    <t>Wukirharjo</t>
  </si>
  <si>
    <t>'111.883203</t>
  </si>
  <si>
    <t>' -7.035039</t>
  </si>
  <si>
    <t>Tahulu</t>
  </si>
  <si>
    <t>'111.982058</t>
  </si>
  <si>
    <t>' -6.928993</t>
  </si>
  <si>
    <t>Sumuragung</t>
  </si>
  <si>
    <t>'112.093292</t>
  </si>
  <si>
    <t>' -7.016102</t>
  </si>
  <si>
    <t>Babat</t>
  </si>
  <si>
    <t>Lamongan</t>
  </si>
  <si>
    <t>'112.165620</t>
  </si>
  <si>
    <t>'-7.112881</t>
  </si>
  <si>
    <t>Blawi</t>
  </si>
  <si>
    <t>Karangbinangun</t>
  </si>
  <si>
    <t>'112.455815</t>
  </si>
  <si>
    <t>' -7.050628</t>
  </si>
  <si>
    <t>Bluluk</t>
  </si>
  <si>
    <t>'112.134407</t>
  </si>
  <si>
    <t>' -7.269872</t>
  </si>
  <si>
    <t>Bluri</t>
  </si>
  <si>
    <t>Blurikulon</t>
  </si>
  <si>
    <t>Laren</t>
  </si>
  <si>
    <t>'112.418817</t>
  </si>
  <si>
    <t>'-6.914082</t>
  </si>
  <si>
    <t>Brondong</t>
  </si>
  <si>
    <t>'112.2785522</t>
  </si>
  <si>
    <t>'-6.873854</t>
  </si>
  <si>
    <t>Cungkup</t>
  </si>
  <si>
    <t>Ngambeg</t>
  </si>
  <si>
    <t>Pucuk</t>
  </si>
  <si>
    <t>'112.297253</t>
  </si>
  <si>
    <t>'-7.071048</t>
  </si>
  <si>
    <t>Girik / Baru</t>
  </si>
  <si>
    <t>Girik</t>
  </si>
  <si>
    <t>'112.200852</t>
  </si>
  <si>
    <t>' -7.252235</t>
  </si>
  <si>
    <t>Gondang Sugio</t>
  </si>
  <si>
    <t>Deketagung</t>
  </si>
  <si>
    <t>Sugio</t>
  </si>
  <si>
    <t>'112.271787</t>
  </si>
  <si>
    <t>'-7.201070</t>
  </si>
  <si>
    <t>Jabung</t>
  </si>
  <si>
    <t>Centini</t>
  </si>
  <si>
    <t>'112.2246313</t>
  </si>
  <si>
    <t>'-7.0198977</t>
  </si>
  <si>
    <t>Karanggeneng</t>
  </si>
  <si>
    <t>'112.371670</t>
  </si>
  <si>
    <t>'-6.991046</t>
  </si>
  <si>
    <t>Kedungpring</t>
  </si>
  <si>
    <t>Mlati</t>
  </si>
  <si>
    <t>'112.192360</t>
  </si>
  <si>
    <t>'-7.187106</t>
  </si>
  <si>
    <t>Kembangbahu</t>
  </si>
  <si>
    <t>'112.326633</t>
  </si>
  <si>
    <t>' -7.180753</t>
  </si>
  <si>
    <t>Kr.binangun</t>
  </si>
  <si>
    <t>'112.483691</t>
  </si>
  <si>
    <t>' -7.014063</t>
  </si>
  <si>
    <t>Kuro</t>
  </si>
  <si>
    <t>'112.513341</t>
  </si>
  <si>
    <t>' -7.046052</t>
  </si>
  <si>
    <t>Sukomulyo</t>
  </si>
  <si>
    <t>'112.417410</t>
  </si>
  <si>
    <t>' -7.120496</t>
  </si>
  <si>
    <t>Sumberbanjar</t>
  </si>
  <si>
    <t>'112.167739</t>
  </si>
  <si>
    <t>' -7.338802</t>
  </si>
  <si>
    <t>Pangkatrejo</t>
  </si>
  <si>
    <t>Maduran</t>
  </si>
  <si>
    <t>'112.284237</t>
  </si>
  <si>
    <t>'-6.986365</t>
  </si>
  <si>
    <t>Prijetan</t>
  </si>
  <si>
    <t>'112.210059</t>
  </si>
  <si>
    <t>' -7.211918</t>
  </si>
  <si>
    <t>Pulekidul</t>
  </si>
  <si>
    <t>Pule</t>
  </si>
  <si>
    <t>'112.214897</t>
  </si>
  <si>
    <t>' -7.309750</t>
  </si>
  <si>
    <t>Sukodadi</t>
  </si>
  <si>
    <t>'112.323233</t>
  </si>
  <si>
    <t>' -7.093256</t>
  </si>
  <si>
    <t>Takeran</t>
  </si>
  <si>
    <t>Takeranklating</t>
  </si>
  <si>
    <t>Tikung</t>
  </si>
  <si>
    <t>'112.402369</t>
  </si>
  <si>
    <t>' -7.186836</t>
  </si>
  <si>
    <t>Wudi</t>
  </si>
  <si>
    <t>Sambeng</t>
  </si>
  <si>
    <t>'112.291281</t>
  </si>
  <si>
    <t>' -7.227075</t>
  </si>
  <si>
    <t>Sukorejo</t>
  </si>
  <si>
    <t>Turi</t>
  </si>
  <si>
    <t>'112.368572</t>
  </si>
  <si>
    <t>' -7.100208</t>
  </si>
  <si>
    <t>Kedungkumpul</t>
  </si>
  <si>
    <t>Sarirejo</t>
  </si>
  <si>
    <t>'112.431825</t>
  </si>
  <si>
    <t>'-7.205394</t>
  </si>
  <si>
    <t>Benjeng</t>
  </si>
  <si>
    <t>Dermo</t>
  </si>
  <si>
    <t>'112.508376</t>
  </si>
  <si>
    <t>' -7.260109</t>
  </si>
  <si>
    <t>Bunder / Gresik</t>
  </si>
  <si>
    <t>Banjarsari</t>
  </si>
  <si>
    <t>Cerme</t>
  </si>
  <si>
    <t>'112.583269</t>
  </si>
  <si>
    <t>' -7.174961</t>
  </si>
  <si>
    <t>Cerme GRS</t>
  </si>
  <si>
    <t>Ngabetan</t>
  </si>
  <si>
    <t>'112.558650</t>
  </si>
  <si>
    <t>'-7.220794</t>
  </si>
  <si>
    <t>Duduksampean</t>
  </si>
  <si>
    <t>Brakung</t>
  </si>
  <si>
    <t>Duduksampeyan</t>
  </si>
  <si>
    <t>'112.521160</t>
  </si>
  <si>
    <t>' -7.164571</t>
  </si>
  <si>
    <t>'112.587194</t>
  </si>
  <si>
    <t>'-7.372667</t>
  </si>
  <si>
    <t>Lowayu</t>
  </si>
  <si>
    <t>Dukun</t>
  </si>
  <si>
    <t>'112.419331</t>
  </si>
  <si>
    <t>' -6.978578</t>
  </si>
  <si>
    <t>Menganti</t>
  </si>
  <si>
    <t>'112.583286</t>
  </si>
  <si>
    <t>' -7.270669</t>
  </si>
  <si>
    <t>Mentaras</t>
  </si>
  <si>
    <t>'112.450678</t>
  </si>
  <si>
    <t>' -6.970522</t>
  </si>
  <si>
    <t>Panceng</t>
  </si>
  <si>
    <t>'112.458103</t>
  </si>
  <si>
    <t>'-6.913011</t>
  </si>
  <si>
    <t>Sidayu</t>
  </si>
  <si>
    <t>Siraman</t>
  </si>
  <si>
    <t>'112.557444</t>
  </si>
  <si>
    <t>' -6.991650</t>
  </si>
  <si>
    <t>Suci</t>
  </si>
  <si>
    <t>Manyar</t>
  </si>
  <si>
    <t>'112.60175</t>
  </si>
  <si>
    <t>'-7.15005</t>
  </si>
  <si>
    <t>Tambakombo</t>
  </si>
  <si>
    <t>Sembayat</t>
  </si>
  <si>
    <t>'112.573606</t>
  </si>
  <si>
    <t>' -7.077606</t>
  </si>
  <si>
    <t>Ujungpangkah</t>
  </si>
  <si>
    <t>'112.54610</t>
  </si>
  <si>
    <t>'-6.919400</t>
  </si>
  <si>
    <t>Wringinanom GRS</t>
  </si>
  <si>
    <t>Sumberrame</t>
  </si>
  <si>
    <t>Wringinanom</t>
  </si>
  <si>
    <t>'112.525250</t>
  </si>
  <si>
    <t>'-7.396722</t>
  </si>
  <si>
    <t>Wahas/brangkal</t>
  </si>
  <si>
    <t>Wahas</t>
  </si>
  <si>
    <t>Balongpanggang</t>
  </si>
  <si>
    <t>'112.391161</t>
  </si>
  <si>
    <t>'-7.330650</t>
  </si>
  <si>
    <t>Bakalan</t>
  </si>
  <si>
    <t>PSDA di Surabaya</t>
  </si>
  <si>
    <t>Penambangan</t>
  </si>
  <si>
    <t>Balongbendo</t>
  </si>
  <si>
    <t>Sidoarjo</t>
  </si>
  <si>
    <t>'112.529444</t>
  </si>
  <si>
    <t>'-7.4088889</t>
  </si>
  <si>
    <t>Brantas</t>
  </si>
  <si>
    <t>Banjar Kemantren</t>
  </si>
  <si>
    <t>Banjarkemantren</t>
  </si>
  <si>
    <t>Buduran</t>
  </si>
  <si>
    <t>'112.725277</t>
  </si>
  <si>
    <t>'-7.4125</t>
  </si>
  <si>
    <t>Bono</t>
  </si>
  <si>
    <t>Semambung</t>
  </si>
  <si>
    <t>Gedangan</t>
  </si>
  <si>
    <t>'112.749166</t>
  </si>
  <si>
    <t>'-7.3738889</t>
  </si>
  <si>
    <t>Botokan</t>
  </si>
  <si>
    <t>Sukodono</t>
  </si>
  <si>
    <t>'112.6580555</t>
  </si>
  <si>
    <t>'-7.3902778</t>
  </si>
  <si>
    <t>Buduk Bulus</t>
  </si>
  <si>
    <t>Pesawahan</t>
  </si>
  <si>
    <t>Porong</t>
  </si>
  <si>
    <t>'112.6488888</t>
  </si>
  <si>
    <t>'-7.5127778</t>
  </si>
  <si>
    <t>Cepiples</t>
  </si>
  <si>
    <t>Singogalih</t>
  </si>
  <si>
    <t>Tarik</t>
  </si>
  <si>
    <t>'112.5088888</t>
  </si>
  <si>
    <t>'-7.4636111</t>
  </si>
  <si>
    <t>Durung Beduk</t>
  </si>
  <si>
    <t>Grogol</t>
  </si>
  <si>
    <t>Tulangan</t>
  </si>
  <si>
    <t>'112.66000</t>
  </si>
  <si>
    <t>'-7.4677778</t>
  </si>
  <si>
    <t>Gedangrowo</t>
  </si>
  <si>
    <t>Prambon</t>
  </si>
  <si>
    <t>'112.57500</t>
  </si>
  <si>
    <t>'-7.4797222</t>
  </si>
  <si>
    <t>Pekarungan</t>
  </si>
  <si>
    <t>'112.671111</t>
  </si>
  <si>
    <t>'-7.4055556</t>
  </si>
  <si>
    <t>Kedung Cangkring</t>
  </si>
  <si>
    <t>Trompoasri</t>
  </si>
  <si>
    <t>Jabon</t>
  </si>
  <si>
    <t>'112.71000</t>
  </si>
  <si>
    <t>'-7.5480556</t>
  </si>
  <si>
    <t>Kedung Ploso - Luwung</t>
  </si>
  <si>
    <t>Lengkong</t>
  </si>
  <si>
    <t>Mojoanyar</t>
  </si>
  <si>
    <t>Mojokerto</t>
  </si>
  <si>
    <t>'112.506666</t>
  </si>
  <si>
    <t>'-7.4344444</t>
  </si>
  <si>
    <t>Kemlaten</t>
  </si>
  <si>
    <t>Mliriprowo</t>
  </si>
  <si>
    <t>'112.469722</t>
  </si>
  <si>
    <t>'-7.4433333</t>
  </si>
  <si>
    <t>Ketawang</t>
  </si>
  <si>
    <t>Ngaresrejo</t>
  </si>
  <si>
    <t>'112.63555</t>
  </si>
  <si>
    <t>'-7.395000</t>
  </si>
  <si>
    <t>Ketegan</t>
  </si>
  <si>
    <t>Bebekan</t>
  </si>
  <si>
    <t>Taman</t>
  </si>
  <si>
    <t>'112.703083</t>
  </si>
  <si>
    <t>'-7.3491667</t>
  </si>
  <si>
    <t>Ketintang</t>
  </si>
  <si>
    <t>Jimbaranwetan</t>
  </si>
  <si>
    <t>Wonoayu</t>
  </si>
  <si>
    <t>'112.633333</t>
  </si>
  <si>
    <t>'-7.4405556</t>
  </si>
  <si>
    <t>Klagen</t>
  </si>
  <si>
    <t>'112.676388</t>
  </si>
  <si>
    <t>'-7.4216667</t>
  </si>
  <si>
    <t>Kludan</t>
  </si>
  <si>
    <t>Tanggulangin</t>
  </si>
  <si>
    <t>'112.6961111</t>
  </si>
  <si>
    <t>'-7.4977778</t>
  </si>
  <si>
    <t>Krembung</t>
  </si>
  <si>
    <t>'112.614444</t>
  </si>
  <si>
    <t>'-7.5105556</t>
  </si>
  <si>
    <t>Krian</t>
  </si>
  <si>
    <t>Katerungan</t>
  </si>
  <si>
    <t>'112.578888</t>
  </si>
  <si>
    <t>'-7.4080556</t>
  </si>
  <si>
    <t>'112.461959</t>
  </si>
  <si>
    <t>'-7.444545</t>
  </si>
  <si>
    <t>Pertapaan (Pelayaran)</t>
  </si>
  <si>
    <t>Pelayaran</t>
  </si>
  <si>
    <t>'112.620659</t>
  </si>
  <si>
    <t>'-7.369787</t>
  </si>
  <si>
    <t>Ponokawan</t>
  </si>
  <si>
    <t>Watugolong</t>
  </si>
  <si>
    <t>'112.593888</t>
  </si>
  <si>
    <t>'-7.3977778</t>
  </si>
  <si>
    <t>Pejarakan</t>
  </si>
  <si>
    <t>'112.69805</t>
  </si>
  <si>
    <t>'-7.54500</t>
  </si>
  <si>
    <t>'112.560555</t>
  </si>
  <si>
    <t>'-7.4733333</t>
  </si>
  <si>
    <t>Putat</t>
  </si>
  <si>
    <t>Gempolong</t>
  </si>
  <si>
    <t>'112.724722</t>
  </si>
  <si>
    <t>'-7.5061111</t>
  </si>
  <si>
    <t>Sedati</t>
  </si>
  <si>
    <t>Pulungan</t>
  </si>
  <si>
    <t>'112.76722</t>
  </si>
  <si>
    <t>'-7.3936111</t>
  </si>
  <si>
    <t>Sidoardo</t>
  </si>
  <si>
    <t>Pucang</t>
  </si>
  <si>
    <t>'112.720583</t>
  </si>
  <si>
    <t>'-7.4461111</t>
  </si>
  <si>
    <t>Seruni</t>
  </si>
  <si>
    <t>Keboananom</t>
  </si>
  <si>
    <t>'112.710555</t>
  </si>
  <si>
    <t>'-7.3972222</t>
  </si>
  <si>
    <t>Sumput</t>
  </si>
  <si>
    <t>Urangagungjedong</t>
  </si>
  <si>
    <t>'112.683055</t>
  </si>
  <si>
    <t>'-7.4377778</t>
  </si>
  <si>
    <t>Watutulis</t>
  </si>
  <si>
    <t>'112.573055</t>
  </si>
  <si>
    <t>'-7.4427778</t>
  </si>
  <si>
    <t>Cakarayam</t>
  </si>
  <si>
    <t>Dinoyo</t>
  </si>
  <si>
    <t>Jatirejo</t>
  </si>
  <si>
    <t>'112.4278416</t>
  </si>
  <si>
    <t>'-7.5915806</t>
  </si>
  <si>
    <t>Gedeg</t>
  </si>
  <si>
    <t>'112.3928083</t>
  </si>
  <si>
    <t>'-7.4562972</t>
  </si>
  <si>
    <t>Janjing</t>
  </si>
  <si>
    <t>Kesiman</t>
  </si>
  <si>
    <t>Trawas</t>
  </si>
  <si>
    <t>'112.5820611</t>
  </si>
  <si>
    <t>'-7.5946444</t>
  </si>
  <si>
    <t>Kasihan</t>
  </si>
  <si>
    <t>Domas</t>
  </si>
  <si>
    <t>Trowulan</t>
  </si>
  <si>
    <t>'112.4143055</t>
  </si>
  <si>
    <t>'-7.5620194</t>
  </si>
  <si>
    <t>Ketangi</t>
  </si>
  <si>
    <t>Ngembeh</t>
  </si>
  <si>
    <t>Dlanggu</t>
  </si>
  <si>
    <t>'112.4932777</t>
  </si>
  <si>
    <t>'-7.5663611</t>
  </si>
  <si>
    <t>Klegen</t>
  </si>
  <si>
    <t>Sumbersono</t>
  </si>
  <si>
    <t>'112.4708944</t>
  </si>
  <si>
    <t>'-7.6002917</t>
  </si>
  <si>
    <t>Mojosari</t>
  </si>
  <si>
    <t>Seduri</t>
  </si>
  <si>
    <t>'112.556944</t>
  </si>
  <si>
    <t>'-7.5154028</t>
  </si>
  <si>
    <t>Pacet</t>
  </si>
  <si>
    <t>'112.5312638</t>
  </si>
  <si>
    <t>'-7.6619778</t>
  </si>
  <si>
    <t>Pandan</t>
  </si>
  <si>
    <t>Pandanarum</t>
  </si>
  <si>
    <t>'112.53225</t>
  </si>
  <si>
    <t>'-7.6085833</t>
  </si>
  <si>
    <t>Pandansili</t>
  </si>
  <si>
    <t>Wonorejo</t>
  </si>
  <si>
    <t>'112.3879</t>
  </si>
  <si>
    <t>'-7.5364611</t>
  </si>
  <si>
    <t>Pasinan</t>
  </si>
  <si>
    <t>Pasiran</t>
  </si>
  <si>
    <t>Bangsal</t>
  </si>
  <si>
    <t>'112.450555</t>
  </si>
  <si>
    <t>'-7.4930556</t>
  </si>
  <si>
    <t>Pudaksari</t>
  </si>
  <si>
    <t>Puloniti</t>
  </si>
  <si>
    <t>'112.4868</t>
  </si>
  <si>
    <t>'-7.5035389</t>
  </si>
  <si>
    <t>Pugeran</t>
  </si>
  <si>
    <t>Padi</t>
  </si>
  <si>
    <t>'112.5040361</t>
  </si>
  <si>
    <t>'-7.6238944</t>
  </si>
  <si>
    <t>Sambiroto</t>
  </si>
  <si>
    <t>Gemekan</t>
  </si>
  <si>
    <t>Sooko</t>
  </si>
  <si>
    <t>'112.4021611</t>
  </si>
  <si>
    <t>'-7.5288333</t>
  </si>
  <si>
    <t>Sumber Sooko</t>
  </si>
  <si>
    <t>Beloh</t>
  </si>
  <si>
    <t>'112.3820944</t>
  </si>
  <si>
    <t>'-7.5560528</t>
  </si>
  <si>
    <t>Tampung</t>
  </si>
  <si>
    <t>Tampungrejo</t>
  </si>
  <si>
    <t>Puri</t>
  </si>
  <si>
    <t>'112.4356388</t>
  </si>
  <si>
    <t>'-7.5660278</t>
  </si>
  <si>
    <t>Tangunan</t>
  </si>
  <si>
    <t>'112.464294</t>
  </si>
  <si>
    <t>'-7.5432417</t>
  </si>
  <si>
    <t>Terusan</t>
  </si>
  <si>
    <t>Magersari</t>
  </si>
  <si>
    <t>Kota Mojokerto</t>
  </si>
  <si>
    <t>'112.4323111</t>
  </si>
  <si>
    <t>'-7.46095</t>
  </si>
  <si>
    <t>'112.591522</t>
  </si>
  <si>
    <t>'-7.6580972</t>
  </si>
  <si>
    <t>'112.39733055</t>
  </si>
  <si>
    <t>'-7.5586583</t>
  </si>
  <si>
    <t>Wates</t>
  </si>
  <si>
    <t>Centong</t>
  </si>
  <si>
    <t>'112.4323277</t>
  </si>
  <si>
    <t>'-7.4116694</t>
  </si>
  <si>
    <t>Mernung</t>
  </si>
  <si>
    <t>Sumbernongko</t>
  </si>
  <si>
    <t>Ngusikan</t>
  </si>
  <si>
    <t>Jombang</t>
  </si>
  <si>
    <t>'112.3271472</t>
  </si>
  <si>
    <t>'-7.4260361</t>
  </si>
  <si>
    <t>Manting</t>
  </si>
  <si>
    <t>Bleberan</t>
  </si>
  <si>
    <t>'112.4409166</t>
  </si>
  <si>
    <t>'-7.6305611</t>
  </si>
  <si>
    <t>Padusan</t>
  </si>
  <si>
    <t>'112.54206944</t>
  </si>
  <si>
    <t>'-7.6815028</t>
  </si>
  <si>
    <t>Sukosari</t>
  </si>
  <si>
    <t>'112.577688</t>
  </si>
  <si>
    <t>'-7.6451944</t>
  </si>
  <si>
    <t>Simongagrok</t>
  </si>
  <si>
    <t>Dawarblandong</t>
  </si>
  <si>
    <t>'112.54028</t>
  </si>
  <si>
    <t>'-7.50694</t>
  </si>
  <si>
    <t>Gubeng</t>
  </si>
  <si>
    <t>Ketabang</t>
  </si>
  <si>
    <t>Genteng</t>
  </si>
  <si>
    <t>Kota Surabaya</t>
  </si>
  <si>
    <t>'112.750150</t>
  </si>
  <si>
    <t>'-7.26740088</t>
  </si>
  <si>
    <t>Gunungsari</t>
  </si>
  <si>
    <t>Gunung Sari</t>
  </si>
  <si>
    <t>Dukuhpakis</t>
  </si>
  <si>
    <t>'112.71721944</t>
  </si>
  <si>
    <t>'-7.3050556</t>
  </si>
  <si>
    <t>Kandangan</t>
  </si>
  <si>
    <t>Benowo</t>
  </si>
  <si>
    <t>'112.655000</t>
  </si>
  <si>
    <t>'-7.2533333</t>
  </si>
  <si>
    <t>Kebonsari</t>
  </si>
  <si>
    <t>Jambangan</t>
  </si>
  <si>
    <t>'112.710833</t>
  </si>
  <si>
    <t>'-7.327500</t>
  </si>
  <si>
    <t>Keputih</t>
  </si>
  <si>
    <t>Sukolilo</t>
  </si>
  <si>
    <t>'112.8025</t>
  </si>
  <si>
    <t>'-7.28500</t>
  </si>
  <si>
    <t>Larangan SBY</t>
  </si>
  <si>
    <t>'112.798611</t>
  </si>
  <si>
    <t>'-7.2436111</t>
  </si>
  <si>
    <t>Perak</t>
  </si>
  <si>
    <t>Tanjung Perak</t>
  </si>
  <si>
    <t>Krembangan</t>
  </si>
  <si>
    <t>'112.7238888</t>
  </si>
  <si>
    <t>'-7.22361111</t>
  </si>
  <si>
    <t>Simo_SBY</t>
  </si>
  <si>
    <t>Simomulyo</t>
  </si>
  <si>
    <t>Sukomanunggal</t>
  </si>
  <si>
    <t>'112.676944</t>
  </si>
  <si>
    <t>'-7.2583333</t>
  </si>
  <si>
    <t>Wonokromo</t>
  </si>
  <si>
    <t>Ngagel</t>
  </si>
  <si>
    <t>'112.7394167</t>
  </si>
  <si>
    <t>'-7.3000278</t>
  </si>
  <si>
    <t>Wonorejo SBY</t>
  </si>
  <si>
    <t>Rungkut</t>
  </si>
  <si>
    <t>'112.79722222</t>
  </si>
  <si>
    <t>'-7.3080556</t>
  </si>
  <si>
    <t>Kedungcowek</t>
  </si>
  <si>
    <t>Gading</t>
  </si>
  <si>
    <t>Tambaksari</t>
  </si>
  <si>
    <t>'112.768888</t>
  </si>
  <si>
    <t>'-7.242500</t>
  </si>
  <si>
    <t>Lawang</t>
  </si>
  <si>
    <t>PSDA di Pasuruan</t>
  </si>
  <si>
    <t>Malang</t>
  </si>
  <si>
    <t>'112.69763</t>
  </si>
  <si>
    <t>'-7.83280</t>
  </si>
  <si>
    <t>Welang Rejoso</t>
  </si>
  <si>
    <t>Lumbang Prob.</t>
  </si>
  <si>
    <t>Lumbang</t>
  </si>
  <si>
    <t>Probolinggo</t>
  </si>
  <si>
    <t>'113.0662758</t>
  </si>
  <si>
    <t>'-7.822561</t>
  </si>
  <si>
    <t>Muneng</t>
  </si>
  <si>
    <t>Sumberasih</t>
  </si>
  <si>
    <t>'113.16350</t>
  </si>
  <si>
    <t>'-7.79136</t>
  </si>
  <si>
    <t>Patalan</t>
  </si>
  <si>
    <t>'113.14366</t>
  </si>
  <si>
    <t>'-7.83984</t>
  </si>
  <si>
    <t>Bayeman</t>
  </si>
  <si>
    <t>'113.11996</t>
  </si>
  <si>
    <t>'-7.73795</t>
  </si>
  <si>
    <t>Boto</t>
  </si>
  <si>
    <t>'113.11378</t>
  </si>
  <si>
    <t>'-7.84854</t>
  </si>
  <si>
    <t>Krasak</t>
  </si>
  <si>
    <t>Pohsangit Ngisor</t>
  </si>
  <si>
    <t>Wonomerto</t>
  </si>
  <si>
    <t>'113.16309</t>
  </si>
  <si>
    <t>'-7.82603</t>
  </si>
  <si>
    <t>Jetak</t>
  </si>
  <si>
    <t>Sukapura</t>
  </si>
  <si>
    <t>'112.987897</t>
  </si>
  <si>
    <t>'-7.9159685</t>
  </si>
  <si>
    <t>Gemito / Tukul</t>
  </si>
  <si>
    <t>Tukul</t>
  </si>
  <si>
    <t>Sumber</t>
  </si>
  <si>
    <t>'113.10989</t>
  </si>
  <si>
    <t>'-7.92018</t>
  </si>
  <si>
    <t>Nogorejo</t>
  </si>
  <si>
    <t>Negororejo</t>
  </si>
  <si>
    <t>'113.03853</t>
  </si>
  <si>
    <t>'-7.82819</t>
  </si>
  <si>
    <t>Legundi Bantaran</t>
  </si>
  <si>
    <t>Legundi</t>
  </si>
  <si>
    <t>Bantaran</t>
  </si>
  <si>
    <t>'113.15577</t>
  </si>
  <si>
    <t>'-7.86577</t>
  </si>
  <si>
    <t>Dringu Kalirejo</t>
  </si>
  <si>
    <t>Kalirejo</t>
  </si>
  <si>
    <t>Dringu</t>
  </si>
  <si>
    <t>'113.23981</t>
  </si>
  <si>
    <t>'-7.77570</t>
  </si>
  <si>
    <t>Leces</t>
  </si>
  <si>
    <t>'113.23207</t>
  </si>
  <si>
    <t>'-7.85458</t>
  </si>
  <si>
    <t>Tegal Siwalan</t>
  </si>
  <si>
    <t>'113.25395</t>
  </si>
  <si>
    <t>'-7.87675</t>
  </si>
  <si>
    <t>Ronggo Tali</t>
  </si>
  <si>
    <t>Kedawung</t>
  </si>
  <si>
    <t>Kuripan</t>
  </si>
  <si>
    <t>'113.12646</t>
  </si>
  <si>
    <t>'-7.88599</t>
  </si>
  <si>
    <t>Jorongan</t>
  </si>
  <si>
    <t>'113.22603</t>
  </si>
  <si>
    <t>'-7.81387</t>
  </si>
  <si>
    <t>Sumberbulu</t>
  </si>
  <si>
    <t>Tegalsiwalan</t>
  </si>
  <si>
    <t>'113.24198</t>
  </si>
  <si>
    <t>'-7.82808</t>
  </si>
  <si>
    <t>Sumber Tukul</t>
  </si>
  <si>
    <t>'113.12676</t>
  </si>
  <si>
    <t>'-7.90423</t>
  </si>
  <si>
    <t>Jabungsisir</t>
  </si>
  <si>
    <t>Paiton</t>
  </si>
  <si>
    <t>'113.468194</t>
  </si>
  <si>
    <t>'-7.732389</t>
  </si>
  <si>
    <t>Pekalen Sampean</t>
  </si>
  <si>
    <t>'113.508954</t>
  </si>
  <si>
    <t>'-7.718818</t>
  </si>
  <si>
    <t>Glagah</t>
  </si>
  <si>
    <t>Pakuniran</t>
  </si>
  <si>
    <t>'113.50783</t>
  </si>
  <si>
    <t>'-7.77030</t>
  </si>
  <si>
    <t>Kota Anyar</t>
  </si>
  <si>
    <t>Kotaanyar</t>
  </si>
  <si>
    <t>'113.53467</t>
  </si>
  <si>
    <t>'-7.74714</t>
  </si>
  <si>
    <t>Asem Jajar</t>
  </si>
  <si>
    <t>Sidomulyo</t>
  </si>
  <si>
    <t>'113.55719</t>
  </si>
  <si>
    <t>'-7.78018</t>
  </si>
  <si>
    <t>Kali Dandan</t>
  </si>
  <si>
    <t>Kalidandan</t>
  </si>
  <si>
    <t>'113.57054</t>
  </si>
  <si>
    <t>'-7.79465</t>
  </si>
  <si>
    <t>Gunggungan Kidul</t>
  </si>
  <si>
    <t>'113.50961</t>
  </si>
  <si>
    <t>'-7.83050</t>
  </si>
  <si>
    <t>Sogaan</t>
  </si>
  <si>
    <t>'113.50722</t>
  </si>
  <si>
    <t>'-7.80708</t>
  </si>
  <si>
    <t>Kedung Sumur</t>
  </si>
  <si>
    <t>Kedungsumur</t>
  </si>
  <si>
    <t>'113.51833</t>
  </si>
  <si>
    <t>'-7.85421</t>
  </si>
  <si>
    <t>Batur</t>
  </si>
  <si>
    <t>'113.50832</t>
  </si>
  <si>
    <t>'-7.85731</t>
  </si>
  <si>
    <t>Arah Makam</t>
  </si>
  <si>
    <t>Sentul</t>
  </si>
  <si>
    <t>'113.49107</t>
  </si>
  <si>
    <t>'-7.84504</t>
  </si>
  <si>
    <t>Bago</t>
  </si>
  <si>
    <t>Kecik</t>
  </si>
  <si>
    <t>Besuk</t>
  </si>
  <si>
    <t>'113.49561</t>
  </si>
  <si>
    <t>'-7.82258</t>
  </si>
  <si>
    <t>Besukagung</t>
  </si>
  <si>
    <t>'113.46810</t>
  </si>
  <si>
    <t>'-7.78228</t>
  </si>
  <si>
    <t>Kandang Jati</t>
  </si>
  <si>
    <t>Kraksaan</t>
  </si>
  <si>
    <t>'113.45174</t>
  </si>
  <si>
    <t>'-7.76495</t>
  </si>
  <si>
    <t>Patokan</t>
  </si>
  <si>
    <t>'113.41093</t>
  </si>
  <si>
    <t>'-7.76106</t>
  </si>
  <si>
    <t>Krejengan</t>
  </si>
  <si>
    <t>'113.40682</t>
  </si>
  <si>
    <t>'-7.79662</t>
  </si>
  <si>
    <t>Katimoho</t>
  </si>
  <si>
    <t>'113.40958</t>
  </si>
  <si>
    <t>'-7.79063</t>
  </si>
  <si>
    <t>Kedung Caluk</t>
  </si>
  <si>
    <t>Kedungcaluk</t>
  </si>
  <si>
    <t>'113.43687</t>
  </si>
  <si>
    <t>'-7.80219</t>
  </si>
  <si>
    <t>Sumber Bendo</t>
  </si>
  <si>
    <t>Wangkal</t>
  </si>
  <si>
    <t>'113.43655</t>
  </si>
  <si>
    <t>'-7.82306</t>
  </si>
  <si>
    <t>Klampokan</t>
  </si>
  <si>
    <t>'113.47540</t>
  </si>
  <si>
    <t>'-7.81482</t>
  </si>
  <si>
    <t>Ramah Bawah</t>
  </si>
  <si>
    <t>Kertosono</t>
  </si>
  <si>
    <t>'113.47556</t>
  </si>
  <si>
    <t>'-7.84070</t>
  </si>
  <si>
    <t>'113.43776</t>
  </si>
  <si>
    <t>'-7.84532</t>
  </si>
  <si>
    <t>Jurang Jero</t>
  </si>
  <si>
    <t>Jurangjero</t>
  </si>
  <si>
    <t>'113.40030</t>
  </si>
  <si>
    <t>'-7.86201</t>
  </si>
  <si>
    <t>Bremi</t>
  </si>
  <si>
    <t>Bermi</t>
  </si>
  <si>
    <t>Krucil</t>
  </si>
  <si>
    <t>'113.48899</t>
  </si>
  <si>
    <t>'-7.95707</t>
  </si>
  <si>
    <t>'113.48019</t>
  </si>
  <si>
    <t>'-7.94993</t>
  </si>
  <si>
    <t>Pandanlaras</t>
  </si>
  <si>
    <t>Watu</t>
  </si>
  <si>
    <t>'113.48861</t>
  </si>
  <si>
    <t>'-7.92102</t>
  </si>
  <si>
    <t>Kertosuko</t>
  </si>
  <si>
    <t>'113.44011</t>
  </si>
  <si>
    <t>'-7.94225</t>
  </si>
  <si>
    <t>Segaran</t>
  </si>
  <si>
    <t>Tiris</t>
  </si>
  <si>
    <t>'113.39958</t>
  </si>
  <si>
    <t>'-7.95157</t>
  </si>
  <si>
    <t>'113.40122</t>
  </si>
  <si>
    <t>'-7.96303</t>
  </si>
  <si>
    <t>Pajarakan</t>
  </si>
  <si>
    <t>'113.3803879</t>
  </si>
  <si>
    <t>'-7.780439903</t>
  </si>
  <si>
    <t>Jati Ampuh</t>
  </si>
  <si>
    <t>Selogudik</t>
  </si>
  <si>
    <t>'113.38132</t>
  </si>
  <si>
    <t>'-7.82032</t>
  </si>
  <si>
    <t>Condong</t>
  </si>
  <si>
    <t>Brabe</t>
  </si>
  <si>
    <t>Maron</t>
  </si>
  <si>
    <t>'113.36984</t>
  </si>
  <si>
    <t>'-7.87103</t>
  </si>
  <si>
    <t>Pekalen</t>
  </si>
  <si>
    <t>'113.36521</t>
  </si>
  <si>
    <t>'-7.86467</t>
  </si>
  <si>
    <t>Adiboyo</t>
  </si>
  <si>
    <t>Jatiadi</t>
  </si>
  <si>
    <t>Gending</t>
  </si>
  <si>
    <t>'113.35772</t>
  </si>
  <si>
    <t>'-7.78756</t>
  </si>
  <si>
    <t>Pajurangan</t>
  </si>
  <si>
    <t>'113.30745</t>
  </si>
  <si>
    <t>'-7.79668</t>
  </si>
  <si>
    <t>Banyu Anyar</t>
  </si>
  <si>
    <t>Banyuanyar</t>
  </si>
  <si>
    <t>'113.29500</t>
  </si>
  <si>
    <t>'-7.86071</t>
  </si>
  <si>
    <t>Purwosari</t>
  </si>
  <si>
    <t>Tejowangi</t>
  </si>
  <si>
    <t>Pasuruan</t>
  </si>
  <si>
    <t>'112.7410016</t>
  </si>
  <si>
    <t>'-7.7818047</t>
  </si>
  <si>
    <t>Sengon Pager</t>
  </si>
  <si>
    <t>Sengonagung</t>
  </si>
  <si>
    <t>'112.73070</t>
  </si>
  <si>
    <t>'-7.75405</t>
  </si>
  <si>
    <t>Telebuk</t>
  </si>
  <si>
    <t>Lemahbang</t>
  </si>
  <si>
    <t>'112.72223</t>
  </si>
  <si>
    <t>'-7.69575</t>
  </si>
  <si>
    <t>Selowongko</t>
  </si>
  <si>
    <t>Kedemungan</t>
  </si>
  <si>
    <t>Kejayan</t>
  </si>
  <si>
    <t>'112.78105</t>
  </si>
  <si>
    <t>'-7.77404</t>
  </si>
  <si>
    <t>Wonorejo PAS</t>
  </si>
  <si>
    <t>Sambisirah</t>
  </si>
  <si>
    <t>'112.81734</t>
  </si>
  <si>
    <t>'-7.70928</t>
  </si>
  <si>
    <t>Oro Oro Pule</t>
  </si>
  <si>
    <t>'112.83833</t>
  </si>
  <si>
    <t>'-7.74414</t>
  </si>
  <si>
    <t>P3GI</t>
  </si>
  <si>
    <t>Pekuncen</t>
  </si>
  <si>
    <t>Panggungrejo</t>
  </si>
  <si>
    <t>Kota Pasuruan</t>
  </si>
  <si>
    <t>'112.90930000000</t>
  </si>
  <si>
    <t>'-7.64960000000</t>
  </si>
  <si>
    <t>Puspo</t>
  </si>
  <si>
    <t>'112.86889</t>
  </si>
  <si>
    <t>'-7.83145</t>
  </si>
  <si>
    <t>Tanggul</t>
  </si>
  <si>
    <t>Baujeng</t>
  </si>
  <si>
    <t>Beji</t>
  </si>
  <si>
    <t>'112.72546</t>
  </si>
  <si>
    <t>'-7.63083</t>
  </si>
  <si>
    <t>Gempol</t>
  </si>
  <si>
    <t>Winong</t>
  </si>
  <si>
    <t>'112.70505</t>
  </si>
  <si>
    <t>'-7.58075</t>
  </si>
  <si>
    <t>Banyulegi</t>
  </si>
  <si>
    <t>Gunung Gangsir</t>
  </si>
  <si>
    <t>'112.72137</t>
  </si>
  <si>
    <t>'-7.58524</t>
  </si>
  <si>
    <t>Bekacak</t>
  </si>
  <si>
    <t>Kolursari</t>
  </si>
  <si>
    <t>Bangil</t>
  </si>
  <si>
    <t>'112.77048</t>
  </si>
  <si>
    <t>'-7.61984</t>
  </si>
  <si>
    <t>Badong</t>
  </si>
  <si>
    <t>Mojoparon</t>
  </si>
  <si>
    <t>Rembang</t>
  </si>
  <si>
    <t>'112.80796</t>
  </si>
  <si>
    <t>'-7.61362</t>
  </si>
  <si>
    <t>Kiduldalem</t>
  </si>
  <si>
    <t>'112.78058</t>
  </si>
  <si>
    <t>'-7.60057</t>
  </si>
  <si>
    <t>Kasri</t>
  </si>
  <si>
    <t>Petungasri</t>
  </si>
  <si>
    <t>Pandaan</t>
  </si>
  <si>
    <t>'112.68822</t>
  </si>
  <si>
    <t>'-7.65184</t>
  </si>
  <si>
    <t>Sumbergedang</t>
  </si>
  <si>
    <t>'112.67466</t>
  </si>
  <si>
    <t>'-7.64509</t>
  </si>
  <si>
    <t>Jawi</t>
  </si>
  <si>
    <t>Gambiran</t>
  </si>
  <si>
    <t>Prigen</t>
  </si>
  <si>
    <t>'112.65625</t>
  </si>
  <si>
    <t>'-7.67623</t>
  </si>
  <si>
    <t>'112.63519</t>
  </si>
  <si>
    <t>'-7.68436</t>
  </si>
  <si>
    <t>Bareng</t>
  </si>
  <si>
    <t>Tawangrejo</t>
  </si>
  <si>
    <t>'112.68665</t>
  </si>
  <si>
    <t>'-7.63816</t>
  </si>
  <si>
    <t>Kepulungan</t>
  </si>
  <si>
    <t>'112.68504</t>
  </si>
  <si>
    <t>'-7.61727</t>
  </si>
  <si>
    <t>Jembrung</t>
  </si>
  <si>
    <t>Bulusari</t>
  </si>
  <si>
    <t>'112.68826</t>
  </si>
  <si>
    <t>'-7.59230</t>
  </si>
  <si>
    <t>Randupitu</t>
  </si>
  <si>
    <t>'112.70617</t>
  </si>
  <si>
    <t>'-7.62680</t>
  </si>
  <si>
    <t>Wilo</t>
  </si>
  <si>
    <t>Tanjungarum</t>
  </si>
  <si>
    <t>'112.68948</t>
  </si>
  <si>
    <t>'-7.68106</t>
  </si>
  <si>
    <t>Nguling</t>
  </si>
  <si>
    <t>Sedarum</t>
  </si>
  <si>
    <t>'113.07565</t>
  </si>
  <si>
    <t>'-7.71664</t>
  </si>
  <si>
    <t>Ranu Grati</t>
  </si>
  <si>
    <t>Ranuklindungan</t>
  </si>
  <si>
    <t>Grati</t>
  </si>
  <si>
    <t>'113.011812</t>
  </si>
  <si>
    <t>'-7.720791</t>
  </si>
  <si>
    <t>Panditan</t>
  </si>
  <si>
    <t>'113.01010000000</t>
  </si>
  <si>
    <t>'-7.81400000000</t>
  </si>
  <si>
    <t>Cukur Guling</t>
  </si>
  <si>
    <t>'112.9772823</t>
  </si>
  <si>
    <t>'-7.78740771</t>
  </si>
  <si>
    <t>Kedawung Wetan</t>
  </si>
  <si>
    <t>'112.97665</t>
  </si>
  <si>
    <t>'-7.70316</t>
  </si>
  <si>
    <t>Tutur</t>
  </si>
  <si>
    <t>Wonosari</t>
  </si>
  <si>
    <t>'112.812478</t>
  </si>
  <si>
    <t>'-7.88519</t>
  </si>
  <si>
    <t>Winongan</t>
  </si>
  <si>
    <t>'112.947236</t>
  </si>
  <si>
    <t>'-7.7242701</t>
  </si>
  <si>
    <t>Sidepan</t>
  </si>
  <si>
    <t>'112.93446</t>
  </si>
  <si>
    <t>'-7.75724</t>
  </si>
  <si>
    <t>'112.95793</t>
  </si>
  <si>
    <t>'-7.72719</t>
  </si>
  <si>
    <t>Kawisrejo Pandanrejo</t>
  </si>
  <si>
    <t>Pandanrejo</t>
  </si>
  <si>
    <t>Rejoso</t>
  </si>
  <si>
    <t>'112.95255</t>
  </si>
  <si>
    <t>'-7.7043333</t>
  </si>
  <si>
    <t>KWD Grati</t>
  </si>
  <si>
    <t>'112.998805</t>
  </si>
  <si>
    <t>'-7.7119444</t>
  </si>
  <si>
    <t>Wiroborang</t>
  </si>
  <si>
    <t>Mayangan</t>
  </si>
  <si>
    <t>Kota Probolinggo</t>
  </si>
  <si>
    <t>'113.23387</t>
  </si>
  <si>
    <t>'-7.76192</t>
  </si>
  <si>
    <t>Kademangan</t>
  </si>
  <si>
    <t>'113.18803</t>
  </si>
  <si>
    <t>'-7.77601</t>
  </si>
  <si>
    <t>Triwung Kidul</t>
  </si>
  <si>
    <t>'113.17009</t>
  </si>
  <si>
    <t>'-7.77529</t>
  </si>
  <si>
    <t>Pakistaji</t>
  </si>
  <si>
    <t>Kedunggaleng</t>
  </si>
  <si>
    <t>Wonoasih</t>
  </si>
  <si>
    <t>'113.21890000000</t>
  </si>
  <si>
    <t>'-7.81190000000</t>
  </si>
  <si>
    <t>KD. PU. Air</t>
  </si>
  <si>
    <t>PSDA di Malang</t>
  </si>
  <si>
    <t>Kepatihan</t>
  </si>
  <si>
    <t>Tulungagung</t>
  </si>
  <si>
    <t>'111.90753</t>
  </si>
  <si>
    <t>'-8.05875</t>
  </si>
  <si>
    <t>Ngantru</t>
  </si>
  <si>
    <t>'111.94531</t>
  </si>
  <si>
    <t>'-8.06019</t>
  </si>
  <si>
    <t>Kalidawir</t>
  </si>
  <si>
    <t>'111.98267</t>
  </si>
  <si>
    <t>'-8.18042</t>
  </si>
  <si>
    <t>Pucanglaban</t>
  </si>
  <si>
    <t>'112.01639</t>
  </si>
  <si>
    <t>'-8.26239</t>
  </si>
  <si>
    <t>Tumpak Mergo</t>
  </si>
  <si>
    <t>Ngepoh</t>
  </si>
  <si>
    <t>Tanggunggunung</t>
  </si>
  <si>
    <t>Ngunut</t>
  </si>
  <si>
    <t>Sumberingin Kidul</t>
  </si>
  <si>
    <t>'111.993431</t>
  </si>
  <si>
    <t>'-8.105495</t>
  </si>
  <si>
    <t>Rejotangan</t>
  </si>
  <si>
    <t>'112.03703</t>
  </si>
  <si>
    <t>'-8.11297</t>
  </si>
  <si>
    <t>Bandung</t>
  </si>
  <si>
    <t>'111.78567</t>
  </si>
  <si>
    <t>'-8.17394</t>
  </si>
  <si>
    <t>Besuki</t>
  </si>
  <si>
    <t>Keboireng</t>
  </si>
  <si>
    <t>'111.82483</t>
  </si>
  <si>
    <t>'-8.21150</t>
  </si>
  <si>
    <t>Campurdarat</t>
  </si>
  <si>
    <t>Pojok</t>
  </si>
  <si>
    <t>'111.84911</t>
  </si>
  <si>
    <t>'-8.16578</t>
  </si>
  <si>
    <t>Bolorejo</t>
  </si>
  <si>
    <t>Kauman</t>
  </si>
  <si>
    <t>'111.85919</t>
  </si>
  <si>
    <t>Mojopanggung</t>
  </si>
  <si>
    <t>'111.92858</t>
  </si>
  <si>
    <t>'-8.01006</t>
  </si>
  <si>
    <t>Boyolangu</t>
  </si>
  <si>
    <t>'111.91239</t>
  </si>
  <si>
    <t>'-8.11958</t>
  </si>
  <si>
    <t>Ngantup</t>
  </si>
  <si>
    <t>Nyawangan</t>
  </si>
  <si>
    <t>Sendang</t>
  </si>
  <si>
    <t>'111.85517</t>
  </si>
  <si>
    <t>'-7.90728</t>
  </si>
  <si>
    <t>Sbr. Manggis</t>
  </si>
  <si>
    <t>Picisan</t>
  </si>
  <si>
    <t>'111.87736</t>
  </si>
  <si>
    <t>'-7.93646</t>
  </si>
  <si>
    <t>Sbr. Pandan</t>
  </si>
  <si>
    <t>Nglurup</t>
  </si>
  <si>
    <t>'111.82311</t>
  </si>
  <si>
    <t>'-7.91600</t>
  </si>
  <si>
    <t>'111.83147</t>
  </si>
  <si>
    <t>'-7.97797</t>
  </si>
  <si>
    <t>Pagerwojo</t>
  </si>
  <si>
    <t>Mulyosari</t>
  </si>
  <si>
    <t>'111.80492</t>
  </si>
  <si>
    <t>'-7.98739</t>
  </si>
  <si>
    <t>Paingan</t>
  </si>
  <si>
    <t>Ngrendeng</t>
  </si>
  <si>
    <t>'111.84894</t>
  </si>
  <si>
    <t>'-8.06931</t>
  </si>
  <si>
    <t>Pakel</t>
  </si>
  <si>
    <t>Sanan</t>
  </si>
  <si>
    <t>'111.81919</t>
  </si>
  <si>
    <t>'-8.13669</t>
  </si>
  <si>
    <t>Song jambu II</t>
  </si>
  <si>
    <t>Kedungwilut</t>
  </si>
  <si>
    <t>'111.76692</t>
  </si>
  <si>
    <t>'-8.17436</t>
  </si>
  <si>
    <t>Pohgajih</t>
  </si>
  <si>
    <t>Selorejo</t>
  </si>
  <si>
    <t>Blitar</t>
  </si>
  <si>
    <t>'112.43156</t>
  </si>
  <si>
    <t>'-8.15494</t>
  </si>
  <si>
    <t>Lodoyo</t>
  </si>
  <si>
    <t>Jegu</t>
  </si>
  <si>
    <t>Sutojayan</t>
  </si>
  <si>
    <t>'112.24334</t>
  </si>
  <si>
    <t>'-8.15142</t>
  </si>
  <si>
    <t>Bakung</t>
  </si>
  <si>
    <t>'112.07461</t>
  </si>
  <si>
    <t>'-8.25872</t>
  </si>
  <si>
    <t>Ponggok</t>
  </si>
  <si>
    <t>Kawedusan</t>
  </si>
  <si>
    <t>'112.10372</t>
  </si>
  <si>
    <t>'-8.05319</t>
  </si>
  <si>
    <t>Sumberingin</t>
  </si>
  <si>
    <t>Sanankulon</t>
  </si>
  <si>
    <t>'112.15042</t>
  </si>
  <si>
    <t>'-8.05556</t>
  </si>
  <si>
    <t>Gandekan</t>
  </si>
  <si>
    <t>Wonodadi</t>
  </si>
  <si>
    <t>'111.995083</t>
  </si>
  <si>
    <t>'-8.077194</t>
  </si>
  <si>
    <t>Mangunan</t>
  </si>
  <si>
    <t>Udanawu</t>
  </si>
  <si>
    <t>'112.03964</t>
  </si>
  <si>
    <t>'-8.01578</t>
  </si>
  <si>
    <t>Slemanan</t>
  </si>
  <si>
    <t>'112.10017</t>
  </si>
  <si>
    <t>'-8.00203</t>
  </si>
  <si>
    <t>Srengat</t>
  </si>
  <si>
    <t>'112.06036</t>
  </si>
  <si>
    <t>'-8.06642</t>
  </si>
  <si>
    <t>Kolomayan</t>
  </si>
  <si>
    <t>'112.04431</t>
  </si>
  <si>
    <t>'-8.05667</t>
  </si>
  <si>
    <t>Bendo BLTR</t>
  </si>
  <si>
    <t>Ngaglik</t>
  </si>
  <si>
    <t>'112.38972</t>
  </si>
  <si>
    <t>'-8.26806</t>
  </si>
  <si>
    <t>Candisewu</t>
  </si>
  <si>
    <t>Penataran</t>
  </si>
  <si>
    <t>Nglegok</t>
  </si>
  <si>
    <t>'112.22797</t>
  </si>
  <si>
    <t>'-7.97911</t>
  </si>
  <si>
    <t>Kali Kuning</t>
  </si>
  <si>
    <t>'112.24844</t>
  </si>
  <si>
    <t>'-7.97847</t>
  </si>
  <si>
    <t>Modangan</t>
  </si>
  <si>
    <t>'112.23500</t>
  </si>
  <si>
    <t>'-8.01611</t>
  </si>
  <si>
    <t>Menjangan KL</t>
  </si>
  <si>
    <t>Slorok</t>
  </si>
  <si>
    <t>Garum</t>
  </si>
  <si>
    <t>'112.26478</t>
  </si>
  <si>
    <t>'-8.04128</t>
  </si>
  <si>
    <t>Putih</t>
  </si>
  <si>
    <t>Pasirharjo</t>
  </si>
  <si>
    <t>Talun</t>
  </si>
  <si>
    <t>'112.26369</t>
  </si>
  <si>
    <t>'-8.04150</t>
  </si>
  <si>
    <t>Tawangsari</t>
  </si>
  <si>
    <t>'112.22000</t>
  </si>
  <si>
    <t>'-8.07556</t>
  </si>
  <si>
    <t>Kanigoro</t>
  </si>
  <si>
    <t>Satreyan</t>
  </si>
  <si>
    <t>'112.22022</t>
  </si>
  <si>
    <t>'-8.14475</t>
  </si>
  <si>
    <t>'112.20814</t>
  </si>
  <si>
    <t>'-8.07178</t>
  </si>
  <si>
    <t>Kali Badak</t>
  </si>
  <si>
    <t>'112.243767</t>
  </si>
  <si>
    <t>'-7.9705861</t>
  </si>
  <si>
    <t>Kaulon</t>
  </si>
  <si>
    <t>Selopuro</t>
  </si>
  <si>
    <t>'112.30172</t>
  </si>
  <si>
    <t>'-8.14894</t>
  </si>
  <si>
    <t>Bendosewu</t>
  </si>
  <si>
    <t>'112.27806</t>
  </si>
  <si>
    <t>'-8.12083</t>
  </si>
  <si>
    <t>Gandusari</t>
  </si>
  <si>
    <t>Gadungan</t>
  </si>
  <si>
    <t>'112.14028</t>
  </si>
  <si>
    <t>'-8.02481</t>
  </si>
  <si>
    <t>Tulungrejo</t>
  </si>
  <si>
    <t>'112.35222</t>
  </si>
  <si>
    <t>'-7.98597</t>
  </si>
  <si>
    <t>Semen</t>
  </si>
  <si>
    <t>'112.33891</t>
  </si>
  <si>
    <t>'-8.000555</t>
  </si>
  <si>
    <t>Wlingi</t>
  </si>
  <si>
    <t>Babadan</t>
  </si>
  <si>
    <t>'112.32483</t>
  </si>
  <si>
    <t>'-8.07817</t>
  </si>
  <si>
    <t>Talun BLT</t>
  </si>
  <si>
    <t>Bajang</t>
  </si>
  <si>
    <t>'112.29164</t>
  </si>
  <si>
    <t>'-8.09433</t>
  </si>
  <si>
    <t>Gogolatar</t>
  </si>
  <si>
    <t>Tambakan</t>
  </si>
  <si>
    <t>'112.30786</t>
  </si>
  <si>
    <t>'-8.00903</t>
  </si>
  <si>
    <t>Bacem</t>
  </si>
  <si>
    <t>'112.22944</t>
  </si>
  <si>
    <t>'-8.19417</t>
  </si>
  <si>
    <t>Judeg</t>
  </si>
  <si>
    <t>'112.26333</t>
  </si>
  <si>
    <t>'-8.19028</t>
  </si>
  <si>
    <t>Klampok</t>
  </si>
  <si>
    <t>Dawuhan</t>
  </si>
  <si>
    <t>'112.13361</t>
  </si>
  <si>
    <t>'-8.17083</t>
  </si>
  <si>
    <t>Kademangan BLT</t>
  </si>
  <si>
    <t>Rejowinangun</t>
  </si>
  <si>
    <t>'112.14847</t>
  </si>
  <si>
    <t>'-8.14764</t>
  </si>
  <si>
    <t>Birowo</t>
  </si>
  <si>
    <t>Binangun</t>
  </si>
  <si>
    <t>'112.36697</t>
  </si>
  <si>
    <t>'-8.22561</t>
  </si>
  <si>
    <t>Doko</t>
  </si>
  <si>
    <t>'112.58194</t>
  </si>
  <si>
    <t>'-8.19472</t>
  </si>
  <si>
    <t>Kalimanis</t>
  </si>
  <si>
    <t>Pagergunung</t>
  </si>
  <si>
    <t>Kesamben</t>
  </si>
  <si>
    <t>'112.36967</t>
  </si>
  <si>
    <t>'-8.15275</t>
  </si>
  <si>
    <t>'112.37167</t>
  </si>
  <si>
    <t>'-8.14394</t>
  </si>
  <si>
    <t>'112.42306</t>
  </si>
  <si>
    <t>'-8.13417</t>
  </si>
  <si>
    <t>Ngadirenggo</t>
  </si>
  <si>
    <t>'112.34889</t>
  </si>
  <si>
    <t>'-8.03417</t>
  </si>
  <si>
    <t>Jombok</t>
  </si>
  <si>
    <t>Ngantang</t>
  </si>
  <si>
    <t>'112.369972</t>
  </si>
  <si>
    <t>'-7.823772</t>
  </si>
  <si>
    <t>Kaumrejo</t>
  </si>
  <si>
    <t>'112.3703</t>
  </si>
  <si>
    <t>'-7.854239</t>
  </si>
  <si>
    <t>Kedungrejo</t>
  </si>
  <si>
    <t>Pujon</t>
  </si>
  <si>
    <t>'112.43369</t>
  </si>
  <si>
    <t>'-7.85853</t>
  </si>
  <si>
    <t>Ngroto</t>
  </si>
  <si>
    <t>'112.46719</t>
  </si>
  <si>
    <t>'-7.83922</t>
  </si>
  <si>
    <t>'112.36811</t>
  </si>
  <si>
    <t>'-7.89992</t>
  </si>
  <si>
    <t>Kasembon</t>
  </si>
  <si>
    <t>'112.31839</t>
  </si>
  <si>
    <t>'-7.78528</t>
  </si>
  <si>
    <t>Tajinan</t>
  </si>
  <si>
    <t>'112.69528</t>
  </si>
  <si>
    <t>'-8.04806</t>
  </si>
  <si>
    <t>Bululawang</t>
  </si>
  <si>
    <t>'112.64583</t>
  </si>
  <si>
    <t>'-8.07861</t>
  </si>
  <si>
    <t>Dampit</t>
  </si>
  <si>
    <t>'112.758347</t>
  </si>
  <si>
    <t>'-8.211461</t>
  </si>
  <si>
    <t>Sitiarjo</t>
  </si>
  <si>
    <t>Sumbermanjing Wetan</t>
  </si>
  <si>
    <t>'112.678847</t>
  </si>
  <si>
    <t>'-8.378739</t>
  </si>
  <si>
    <t>Poncokusumo</t>
  </si>
  <si>
    <t>'112.76822</t>
  </si>
  <si>
    <t>'-8.04111</t>
  </si>
  <si>
    <t>Kemantren</t>
  </si>
  <si>
    <t>'112.75250</t>
  </si>
  <si>
    <t>'-7.95444</t>
  </si>
  <si>
    <t>Tumpang</t>
  </si>
  <si>
    <t>'112.76061</t>
  </si>
  <si>
    <t>'-7.99958</t>
  </si>
  <si>
    <t>Bantur</t>
  </si>
  <si>
    <t>'112.57657</t>
  </si>
  <si>
    <t>'-8.30642</t>
  </si>
  <si>
    <t>Blambangan</t>
  </si>
  <si>
    <t>'112.63533</t>
  </si>
  <si>
    <t>'-8.10469</t>
  </si>
  <si>
    <t>Gondanglegi</t>
  </si>
  <si>
    <t>Banjarejo</t>
  </si>
  <si>
    <t>Pagelaran</t>
  </si>
  <si>
    <t>'112.63000</t>
  </si>
  <si>
    <t>'-8.18250</t>
  </si>
  <si>
    <t>Karangsuko</t>
  </si>
  <si>
    <t>'112.59083</t>
  </si>
  <si>
    <t>'-8.15500</t>
  </si>
  <si>
    <t>Clumprit</t>
  </si>
  <si>
    <t>Kemulan</t>
  </si>
  <si>
    <t>Turen</t>
  </si>
  <si>
    <t>'112.64469</t>
  </si>
  <si>
    <t>'-8.22917</t>
  </si>
  <si>
    <t>Tumpukrenteng</t>
  </si>
  <si>
    <t>'112.69692</t>
  </si>
  <si>
    <t>'-8.12917</t>
  </si>
  <si>
    <t>'112.69358</t>
  </si>
  <si>
    <t>'-8.16389</t>
  </si>
  <si>
    <t>Wajak</t>
  </si>
  <si>
    <t>'112.73389</t>
  </si>
  <si>
    <t>'-8.10442</t>
  </si>
  <si>
    <t>Panarukan</t>
  </si>
  <si>
    <t>Kepanjen</t>
  </si>
  <si>
    <t>'112.57647</t>
  </si>
  <si>
    <t>'-8.13500</t>
  </si>
  <si>
    <t>Donomulyo</t>
  </si>
  <si>
    <t>Dono Mulyo</t>
  </si>
  <si>
    <t>'112.43000</t>
  </si>
  <si>
    <t>'-8.25972</t>
  </si>
  <si>
    <t>Kalipare</t>
  </si>
  <si>
    <t>'112.450336</t>
  </si>
  <si>
    <t>'-8.200293</t>
  </si>
  <si>
    <t>Pagak</t>
  </si>
  <si>
    <t>'112.530717</t>
  </si>
  <si>
    <t>'-8.222664</t>
  </si>
  <si>
    <t>Kantor CD</t>
  </si>
  <si>
    <t>'112.56669</t>
  </si>
  <si>
    <t>'-8.13039</t>
  </si>
  <si>
    <t>Karangploso</t>
  </si>
  <si>
    <t>Girimoyo</t>
  </si>
  <si>
    <t>Karang Ploso</t>
  </si>
  <si>
    <t>'112.5892892</t>
  </si>
  <si>
    <t>'-7.8790836</t>
  </si>
  <si>
    <t>Singosari</t>
  </si>
  <si>
    <t>'112.66111</t>
  </si>
  <si>
    <t>'-7.89417</t>
  </si>
  <si>
    <t>Sbr. Pucung</t>
  </si>
  <si>
    <t>Karangkates</t>
  </si>
  <si>
    <t>Sumberpucung</t>
  </si>
  <si>
    <t>'112.483611111</t>
  </si>
  <si>
    <t>'-8.1537083</t>
  </si>
  <si>
    <t>Dau</t>
  </si>
  <si>
    <t>Petungsewu</t>
  </si>
  <si>
    <t>'112.55483766</t>
  </si>
  <si>
    <t>'-7.94693817</t>
  </si>
  <si>
    <t>Ngajum</t>
  </si>
  <si>
    <t>Ngajung</t>
  </si>
  <si>
    <t>'112.54258</t>
  </si>
  <si>
    <t>'-8.09717</t>
  </si>
  <si>
    <t>Wagir</t>
  </si>
  <si>
    <t>Parangargo</t>
  </si>
  <si>
    <t>'112.572006</t>
  </si>
  <si>
    <t>'-8.008503</t>
  </si>
  <si>
    <t>Tangkilsari</t>
  </si>
  <si>
    <t>'112.64581</t>
  </si>
  <si>
    <t>'-8.05969</t>
  </si>
  <si>
    <t>Bendogerit</t>
  </si>
  <si>
    <t>Sananwetan</t>
  </si>
  <si>
    <t>Kota Blitar</t>
  </si>
  <si>
    <t>'112.17933</t>
  </si>
  <si>
    <t>'-8.09503</t>
  </si>
  <si>
    <t>KepanjenLor</t>
  </si>
  <si>
    <t>Kepanjenlor</t>
  </si>
  <si>
    <t>Kepanjenkidul</t>
  </si>
  <si>
    <t>'112.18028</t>
  </si>
  <si>
    <t>'-8.08867</t>
  </si>
  <si>
    <t>'112.15164</t>
  </si>
  <si>
    <t>'-8.12286</t>
  </si>
  <si>
    <t>KD. Blitar</t>
  </si>
  <si>
    <t>Gedog</t>
  </si>
  <si>
    <t>'112.32333</t>
  </si>
  <si>
    <t>'-8.14889</t>
  </si>
  <si>
    <t>Ngadirejo</t>
  </si>
  <si>
    <t>'112.18133</t>
  </si>
  <si>
    <t>'-8.06425</t>
  </si>
  <si>
    <t>Sukun Malang</t>
  </si>
  <si>
    <t>Kota Malang</t>
  </si>
  <si>
    <t>'112.6213805</t>
  </si>
  <si>
    <t>'-7.99451209</t>
  </si>
  <si>
    <t>Blimbing</t>
  </si>
  <si>
    <t>Purwantoro</t>
  </si>
  <si>
    <t>'112.64275</t>
  </si>
  <si>
    <t>'-7.95222</t>
  </si>
  <si>
    <t>Kedungkandang</t>
  </si>
  <si>
    <t>'112.65556</t>
  </si>
  <si>
    <t>'-7.99306</t>
  </si>
  <si>
    <t>Batu</t>
  </si>
  <si>
    <t>Kota Batu</t>
  </si>
  <si>
    <t>'112.522184</t>
  </si>
  <si>
    <t>'-7.873583</t>
  </si>
  <si>
    <t>Temas</t>
  </si>
  <si>
    <t>'112.54394</t>
  </si>
  <si>
    <t>'-7.87637</t>
  </si>
  <si>
    <t>Tinjumoyo</t>
  </si>
  <si>
    <t>'112.52828</t>
  </si>
  <si>
    <t>'-7.84308</t>
  </si>
  <si>
    <t>Tlekung</t>
  </si>
  <si>
    <t>Junrejo</t>
  </si>
  <si>
    <t>'112.538333</t>
  </si>
  <si>
    <t>'-7.910556</t>
  </si>
  <si>
    <t>Ngujung</t>
  </si>
  <si>
    <t>Giripurno</t>
  </si>
  <si>
    <t>Bumiaji</t>
  </si>
  <si>
    <t>'112.54959393</t>
  </si>
  <si>
    <t>'-7.86325969</t>
  </si>
  <si>
    <t>Pendem</t>
  </si>
  <si>
    <t>'112.5807911</t>
  </si>
  <si>
    <t>'-7.90379989</t>
  </si>
  <si>
    <t>Sumbergondo</t>
  </si>
  <si>
    <t>'112.53019</t>
  </si>
  <si>
    <t>'-7.81171</t>
  </si>
  <si>
    <t>Bendungan</t>
  </si>
  <si>
    <t>PSDA di Kediri</t>
  </si>
  <si>
    <t>Dompyong</t>
  </si>
  <si>
    <t>Trenggalek</t>
  </si>
  <si>
    <t>'111.709444</t>
  </si>
  <si>
    <t>'-7.936667</t>
  </si>
  <si>
    <t>Bagong</t>
  </si>
  <si>
    <t>'111.707222</t>
  </si>
  <si>
    <t>'-8.04</t>
  </si>
  <si>
    <t>Tugu</t>
  </si>
  <si>
    <t>Duren</t>
  </si>
  <si>
    <t>'111.598611</t>
  </si>
  <si>
    <t>'-8.056944</t>
  </si>
  <si>
    <t>'111.668333</t>
  </si>
  <si>
    <t>'-8.020833</t>
  </si>
  <si>
    <t>Jati</t>
  </si>
  <si>
    <t>Karangan</t>
  </si>
  <si>
    <t>'111.651944</t>
  </si>
  <si>
    <t>'-8.093889</t>
  </si>
  <si>
    <t>Widoro</t>
  </si>
  <si>
    <t>'111.718611</t>
  </si>
  <si>
    <t>'-8.1225</t>
  </si>
  <si>
    <t>Watulimo</t>
  </si>
  <si>
    <t>Gemaharjo</t>
  </si>
  <si>
    <t>'111.704722</t>
  </si>
  <si>
    <t>'-8.239444</t>
  </si>
  <si>
    <t>Kampak</t>
  </si>
  <si>
    <t>Bendoagung</t>
  </si>
  <si>
    <t>'111.669722</t>
  </si>
  <si>
    <t>'-8.176111</t>
  </si>
  <si>
    <t>'111.561667</t>
  </si>
  <si>
    <t>Dongko</t>
  </si>
  <si>
    <t>'111.572222</t>
  </si>
  <si>
    <t>'-8.189444</t>
  </si>
  <si>
    <t>Munjungan</t>
  </si>
  <si>
    <t>Tawing</t>
  </si>
  <si>
    <t>'111.598889</t>
  </si>
  <si>
    <t>'-8.310556</t>
  </si>
  <si>
    <t>Panggul</t>
  </si>
  <si>
    <t>Wonocoyo</t>
  </si>
  <si>
    <t>'111.455</t>
  </si>
  <si>
    <t>'-8.249444</t>
  </si>
  <si>
    <t>Bendo TRGK</t>
  </si>
  <si>
    <t>Bendorejo</t>
  </si>
  <si>
    <t>Pogalan</t>
  </si>
  <si>
    <t>'111.756254</t>
  </si>
  <si>
    <t>'-8.098586</t>
  </si>
  <si>
    <t>Ngulan Wetan</t>
  </si>
  <si>
    <t>Gembleb</t>
  </si>
  <si>
    <t>'111.756944</t>
  </si>
  <si>
    <t>'-8.071667</t>
  </si>
  <si>
    <t>Damarwulan</t>
  </si>
  <si>
    <t>Kediri</t>
  </si>
  <si>
    <t>'112.27911</t>
  </si>
  <si>
    <t>'-7.75925</t>
  </si>
  <si>
    <t>Surowono</t>
  </si>
  <si>
    <t>Canggu</t>
  </si>
  <si>
    <t>Badas</t>
  </si>
  <si>
    <t>'112.21597</t>
  </si>
  <si>
    <t>'-7.75679</t>
  </si>
  <si>
    <t>Kencong</t>
  </si>
  <si>
    <t>Klampisan</t>
  </si>
  <si>
    <t>'112.23437</t>
  </si>
  <si>
    <t>'-7.76105</t>
  </si>
  <si>
    <t>Siman</t>
  </si>
  <si>
    <t>Kepung</t>
  </si>
  <si>
    <t>'112.30603</t>
  </si>
  <si>
    <t>'-7.82560</t>
  </si>
  <si>
    <t>Pehlandak</t>
  </si>
  <si>
    <t>'112.25286</t>
  </si>
  <si>
    <t>'-7.79375</t>
  </si>
  <si>
    <t>Ktr.Dinas Pare</t>
  </si>
  <si>
    <t>Pare</t>
  </si>
  <si>
    <t>'112.19206</t>
  </si>
  <si>
    <t>'-7.76514</t>
  </si>
  <si>
    <t>Mojolegi</t>
  </si>
  <si>
    <t>'112.15336</t>
  </si>
  <si>
    <t>'-7.75898</t>
  </si>
  <si>
    <t>Tegowangi</t>
  </si>
  <si>
    <t>Plemahan</t>
  </si>
  <si>
    <t>'112.16294</t>
  </si>
  <si>
    <t>'-7.75037</t>
  </si>
  <si>
    <t>'112.20940</t>
  </si>
  <si>
    <t>'-7.70369</t>
  </si>
  <si>
    <t>Tangkilan</t>
  </si>
  <si>
    <t>Kayen Kidul</t>
  </si>
  <si>
    <t>'112.117206</t>
  </si>
  <si>
    <t>'-7.738508</t>
  </si>
  <si>
    <t>Bogokidul</t>
  </si>
  <si>
    <t>Mejono</t>
  </si>
  <si>
    <t>'112.14084</t>
  </si>
  <si>
    <t>'-7.72526</t>
  </si>
  <si>
    <t>Papar</t>
  </si>
  <si>
    <t>'112.07637</t>
  </si>
  <si>
    <t>'-7.69493</t>
  </si>
  <si>
    <t>Balungjeruk</t>
  </si>
  <si>
    <t>Balongjeruk</t>
  </si>
  <si>
    <t>Kunjang</t>
  </si>
  <si>
    <t>'112.19024</t>
  </si>
  <si>
    <t>'-7.67226</t>
  </si>
  <si>
    <t>Woromarto</t>
  </si>
  <si>
    <t>Purwoasri</t>
  </si>
  <si>
    <t>'112.14394</t>
  </si>
  <si>
    <t>'-7.62565</t>
  </si>
  <si>
    <t>'112.28036</t>
  </si>
  <si>
    <t>'-7.75006</t>
  </si>
  <si>
    <t>Pengajaran</t>
  </si>
  <si>
    <t>Mlancu</t>
  </si>
  <si>
    <t>'112.32247</t>
  </si>
  <si>
    <t>'-7.76294</t>
  </si>
  <si>
    <t>K.Peng.Grogol</t>
  </si>
  <si>
    <t>'111.95802</t>
  </si>
  <si>
    <t>'-7.74144</t>
  </si>
  <si>
    <t>Gading Parang</t>
  </si>
  <si>
    <t>Tiron</t>
  </si>
  <si>
    <t>Banyakan</t>
  </si>
  <si>
    <t>'111.92065</t>
  </si>
  <si>
    <t>'-7.78079</t>
  </si>
  <si>
    <t>Kanyoran</t>
  </si>
  <si>
    <t>Kedak</t>
  </si>
  <si>
    <t>'111.94753</t>
  </si>
  <si>
    <t>'-7.82580</t>
  </si>
  <si>
    <t>Jugo</t>
  </si>
  <si>
    <t>Mojo</t>
  </si>
  <si>
    <t>'111.85735</t>
  </si>
  <si>
    <t>'-7.86273</t>
  </si>
  <si>
    <t>Kem.Mojo</t>
  </si>
  <si>
    <t>Surat</t>
  </si>
  <si>
    <t>'111.94709</t>
  </si>
  <si>
    <t>'-7.88162</t>
  </si>
  <si>
    <t>Kem.Pagu</t>
  </si>
  <si>
    <t>Pagu</t>
  </si>
  <si>
    <t>'112.08644</t>
  </si>
  <si>
    <t>'-7.76931</t>
  </si>
  <si>
    <t>Sidorejo</t>
  </si>
  <si>
    <t>'112.17886</t>
  </si>
  <si>
    <t>'-7.82367</t>
  </si>
  <si>
    <t>Kwarasan</t>
  </si>
  <si>
    <t>Gempolan</t>
  </si>
  <si>
    <t>Gurah</t>
  </si>
  <si>
    <t>'112.10053</t>
  </si>
  <si>
    <t>'-7.79964</t>
  </si>
  <si>
    <t>Sambirejo</t>
  </si>
  <si>
    <t>'112.14231</t>
  </si>
  <si>
    <t>'-7.77733</t>
  </si>
  <si>
    <t>Minggiran</t>
  </si>
  <si>
    <t>Baye</t>
  </si>
  <si>
    <t>'112.04069</t>
  </si>
  <si>
    <t>'-7.74451</t>
  </si>
  <si>
    <t>Menang</t>
  </si>
  <si>
    <t>'112.07302</t>
  </si>
  <si>
    <t>'-7.77544</t>
  </si>
  <si>
    <t>Turus</t>
  </si>
  <si>
    <t>Kranggan</t>
  </si>
  <si>
    <t>'112.04458</t>
  </si>
  <si>
    <t>'-7.77908</t>
  </si>
  <si>
    <t>Gurah Stasiun</t>
  </si>
  <si>
    <t>'112.09040</t>
  </si>
  <si>
    <t>'-7.80938</t>
  </si>
  <si>
    <t>Peng. Gurah</t>
  </si>
  <si>
    <t>Wonojoyo</t>
  </si>
  <si>
    <t>'112.08881</t>
  </si>
  <si>
    <t>'-7.81512</t>
  </si>
  <si>
    <t>Brenggolo</t>
  </si>
  <si>
    <t>Bangkok</t>
  </si>
  <si>
    <t>'112.10429</t>
  </si>
  <si>
    <t>'-7.83823</t>
  </si>
  <si>
    <t>Gampengrejo</t>
  </si>
  <si>
    <t>Karangrejo</t>
  </si>
  <si>
    <t>'112.03473</t>
  </si>
  <si>
    <t>'-7.80302</t>
  </si>
  <si>
    <t>Simbar</t>
  </si>
  <si>
    <t>Jarak</t>
  </si>
  <si>
    <t>Plosoklaten</t>
  </si>
  <si>
    <t>'112.18167</t>
  </si>
  <si>
    <t>'-7.89747</t>
  </si>
  <si>
    <t>Kalasan</t>
  </si>
  <si>
    <t>'112.13946</t>
  </si>
  <si>
    <t>'-7.86613</t>
  </si>
  <si>
    <t>Tawang</t>
  </si>
  <si>
    <t>'112.12556</t>
  </si>
  <si>
    <t>'-7.92542</t>
  </si>
  <si>
    <t>Tempurejo</t>
  </si>
  <si>
    <t>'112.15997</t>
  </si>
  <si>
    <t>'-7.88978</t>
  </si>
  <si>
    <t>'112.07383</t>
  </si>
  <si>
    <t>'-7.92298</t>
  </si>
  <si>
    <t>'112.08992</t>
  </si>
  <si>
    <t>'-7.86834</t>
  </si>
  <si>
    <t>Kwarasan Barat</t>
  </si>
  <si>
    <t>Jajar</t>
  </si>
  <si>
    <t>'112.12474</t>
  </si>
  <si>
    <t>'-7.90853</t>
  </si>
  <si>
    <t>Jengkol</t>
  </si>
  <si>
    <t>Ploso Kidul</t>
  </si>
  <si>
    <t>'112.14749</t>
  </si>
  <si>
    <t>'-7.86394</t>
  </si>
  <si>
    <t>Kentung</t>
  </si>
  <si>
    <t>Punjul</t>
  </si>
  <si>
    <t>'112.15914</t>
  </si>
  <si>
    <t>'-7.84667</t>
  </si>
  <si>
    <t>Selodono</t>
  </si>
  <si>
    <t>Ringinrejo</t>
  </si>
  <si>
    <t>'112.03416</t>
  </si>
  <si>
    <t>'-7.97353</t>
  </si>
  <si>
    <t>Kras</t>
  </si>
  <si>
    <t>Jambean</t>
  </si>
  <si>
    <t>'111.96025</t>
  </si>
  <si>
    <t>'-7.93572</t>
  </si>
  <si>
    <t>Kandat</t>
  </si>
  <si>
    <t>'112.04124</t>
  </si>
  <si>
    <t>'-7.92612</t>
  </si>
  <si>
    <t>Pakisaji</t>
  </si>
  <si>
    <t>Duwet</t>
  </si>
  <si>
    <t>'112.08847</t>
  </si>
  <si>
    <t>'-7.93792</t>
  </si>
  <si>
    <t>Susuhbango</t>
  </si>
  <si>
    <t>'112.03096</t>
  </si>
  <si>
    <t>'-7.97643</t>
  </si>
  <si>
    <t>Truneng</t>
  </si>
  <si>
    <t>'112.15098</t>
  </si>
  <si>
    <t>'-7.91017</t>
  </si>
  <si>
    <t>Pandantoyo</t>
  </si>
  <si>
    <t>Ngancar</t>
  </si>
  <si>
    <t>'112.16029</t>
  </si>
  <si>
    <t>'-7.93973</t>
  </si>
  <si>
    <t>Onggoboyo</t>
  </si>
  <si>
    <t>'112.18523</t>
  </si>
  <si>
    <t>'-7.92115</t>
  </si>
  <si>
    <t>PG.Ngadirejo</t>
  </si>
  <si>
    <t>'111.97422</t>
  </si>
  <si>
    <t>'-7.92883</t>
  </si>
  <si>
    <t>Sumberlumbu</t>
  </si>
  <si>
    <t>Margourip</t>
  </si>
  <si>
    <t>'112.15595</t>
  </si>
  <si>
    <t>'-7.95264</t>
  </si>
  <si>
    <t>Sumberdadi</t>
  </si>
  <si>
    <t>Krandang</t>
  </si>
  <si>
    <t>'111.99433</t>
  </si>
  <si>
    <t>'-7.94258</t>
  </si>
  <si>
    <t>Kutukan</t>
  </si>
  <si>
    <t>'112.13039</t>
  </si>
  <si>
    <t>'-7.94832</t>
  </si>
  <si>
    <t>Galuan</t>
  </si>
  <si>
    <t>'112.03200</t>
  </si>
  <si>
    <t>'-7.93409</t>
  </si>
  <si>
    <t>Gudo</t>
  </si>
  <si>
    <t>'112.229731</t>
  </si>
  <si>
    <t>'-7.639372</t>
  </si>
  <si>
    <t>Cukir</t>
  </si>
  <si>
    <t>Kayangan</t>
  </si>
  <si>
    <t>Diwek</t>
  </si>
  <si>
    <t>'112.238279</t>
  </si>
  <si>
    <t>'-7.623941</t>
  </si>
  <si>
    <t>Pg. Cukir</t>
  </si>
  <si>
    <t>'112.238889</t>
  </si>
  <si>
    <t>'-7.607778</t>
  </si>
  <si>
    <t>Ceweng</t>
  </si>
  <si>
    <t>'112.235923</t>
  </si>
  <si>
    <t>'-7.590450</t>
  </si>
  <si>
    <t>Denanyar</t>
  </si>
  <si>
    <t>'112.221391</t>
  </si>
  <si>
    <t>'-7.541367</t>
  </si>
  <si>
    <t>Pg Jombang  Br</t>
  </si>
  <si>
    <t>Pulolor</t>
  </si>
  <si>
    <t>'112.231175</t>
  </si>
  <si>
    <t>'-7.537560</t>
  </si>
  <si>
    <t>Keplaksari</t>
  </si>
  <si>
    <t>Peterongan</t>
  </si>
  <si>
    <t>'112.262475</t>
  </si>
  <si>
    <t>'-7.537686</t>
  </si>
  <si>
    <t>Perak Jombang</t>
  </si>
  <si>
    <t>'112.157598</t>
  </si>
  <si>
    <t>'-7.580001</t>
  </si>
  <si>
    <t>Tanggungan</t>
  </si>
  <si>
    <t>'112.185418</t>
  </si>
  <si>
    <t>'-7.59001</t>
  </si>
  <si>
    <t>Megaluh</t>
  </si>
  <si>
    <t>'112.221895</t>
  </si>
  <si>
    <t>'-7.465904</t>
  </si>
  <si>
    <t>Tapen</t>
  </si>
  <si>
    <t>Kudu</t>
  </si>
  <si>
    <t>'112.28539</t>
  </si>
  <si>
    <t>'-7.4337</t>
  </si>
  <si>
    <t>Kabuh</t>
  </si>
  <si>
    <t>'112.21400</t>
  </si>
  <si>
    <t>'-7.39383</t>
  </si>
  <si>
    <t>Tanjung</t>
  </si>
  <si>
    <t>Tanjungwadung</t>
  </si>
  <si>
    <t>'112.183498</t>
  </si>
  <si>
    <t>'-7.404362</t>
  </si>
  <si>
    <t>Ploso</t>
  </si>
  <si>
    <t>Rejoagung</t>
  </si>
  <si>
    <t>'112.22733</t>
  </si>
  <si>
    <t>'-7.4583</t>
  </si>
  <si>
    <t>W. Sempal</t>
  </si>
  <si>
    <t>Karangpakis</t>
  </si>
  <si>
    <t>'112.221203</t>
  </si>
  <si>
    <t>'-7.399115</t>
  </si>
  <si>
    <t>W. Mangunan</t>
  </si>
  <si>
    <t>'112.19478</t>
  </si>
  <si>
    <t>'-7.40195</t>
  </si>
  <si>
    <t>Cangakan</t>
  </si>
  <si>
    <t>Sidowarek</t>
  </si>
  <si>
    <t>Ngoro</t>
  </si>
  <si>
    <t>'112.237660</t>
  </si>
  <si>
    <t>'-7.660864</t>
  </si>
  <si>
    <t>'112.35587</t>
  </si>
  <si>
    <t>'-7.56972</t>
  </si>
  <si>
    <t>Mojowarno</t>
  </si>
  <si>
    <t>'112.314806</t>
  </si>
  <si>
    <t>'-7.598972</t>
  </si>
  <si>
    <t>Sumobito</t>
  </si>
  <si>
    <t>'112.342611</t>
  </si>
  <si>
    <t>'-7.520389</t>
  </si>
  <si>
    <t>Balongsono</t>
  </si>
  <si>
    <t>Talunkidul</t>
  </si>
  <si>
    <t>'112.349639</t>
  </si>
  <si>
    <t>'-7.511111</t>
  </si>
  <si>
    <t>Tenggor</t>
  </si>
  <si>
    <t>'112.342163</t>
  </si>
  <si>
    <t>'-7.505070</t>
  </si>
  <si>
    <t>Budug Sidorejo</t>
  </si>
  <si>
    <t>'112.376063</t>
  </si>
  <si>
    <t>'-7.495184</t>
  </si>
  <si>
    <t>Penanggalan</t>
  </si>
  <si>
    <t>Dukuhdimoro</t>
  </si>
  <si>
    <t>'112.363108</t>
  </si>
  <si>
    <t>'-7.562794</t>
  </si>
  <si>
    <t>'112.284692</t>
  </si>
  <si>
    <t>'-7.543615</t>
  </si>
  <si>
    <t>Sbr.Penganten</t>
  </si>
  <si>
    <t>Jogoroto</t>
  </si>
  <si>
    <t>'112.277611</t>
  </si>
  <si>
    <t>'-7.608361</t>
  </si>
  <si>
    <t>Mojowangi</t>
  </si>
  <si>
    <t>'112.303698</t>
  </si>
  <si>
    <t>'-7.630091</t>
  </si>
  <si>
    <t>Bareng JBG</t>
  </si>
  <si>
    <t>'112.30450</t>
  </si>
  <si>
    <t>'-7.6889</t>
  </si>
  <si>
    <t>Wonosalam</t>
  </si>
  <si>
    <t>'112.3661</t>
  </si>
  <si>
    <t>'-7.6997</t>
  </si>
  <si>
    <t>'112.276471</t>
  </si>
  <si>
    <t>'-7.711724</t>
  </si>
  <si>
    <t>Ponen</t>
  </si>
  <si>
    <t>Pulogedang</t>
  </si>
  <si>
    <t>Tembelang</t>
  </si>
  <si>
    <t>'112.228742</t>
  </si>
  <si>
    <t>'-7.460087</t>
  </si>
  <si>
    <t>'112.336701</t>
  </si>
  <si>
    <t>'-7.463632</t>
  </si>
  <si>
    <t>Jatisari</t>
  </si>
  <si>
    <t>Jatiwates</t>
  </si>
  <si>
    <t>'112.26250</t>
  </si>
  <si>
    <t>'-7.455556</t>
  </si>
  <si>
    <t>Sentulan</t>
  </si>
  <si>
    <t>Bongkot</t>
  </si>
  <si>
    <t>'112.275002</t>
  </si>
  <si>
    <t>'-7.508170</t>
  </si>
  <si>
    <t>Krandengan</t>
  </si>
  <si>
    <t>Ngrandulor</t>
  </si>
  <si>
    <t>'112.293622</t>
  </si>
  <si>
    <t>'-7.498037</t>
  </si>
  <si>
    <t>Kedungboto</t>
  </si>
  <si>
    <t>Kedungotok</t>
  </si>
  <si>
    <t>'112.25408</t>
  </si>
  <si>
    <t>'-7.486250</t>
  </si>
  <si>
    <t>Sapon</t>
  </si>
  <si>
    <t>Jombatan</t>
  </si>
  <si>
    <t>'112.298333</t>
  </si>
  <si>
    <t>'-7.470278</t>
  </si>
  <si>
    <t>Wuluh</t>
  </si>
  <si>
    <t>'112.357205</t>
  </si>
  <si>
    <t>'-7.460263</t>
  </si>
  <si>
    <t>Galengdowo</t>
  </si>
  <si>
    <t>'112.361394</t>
  </si>
  <si>
    <t>'-7.758892</t>
  </si>
  <si>
    <t>Gembyang</t>
  </si>
  <si>
    <t>Plabuhan</t>
  </si>
  <si>
    <t>Plandaan</t>
  </si>
  <si>
    <t>'112.156687</t>
  </si>
  <si>
    <t>'-7.458778</t>
  </si>
  <si>
    <t>Kedung Pingit</t>
  </si>
  <si>
    <t>Musir Lor</t>
  </si>
  <si>
    <t>Nganjuk</t>
  </si>
  <si>
    <t>'111.90417</t>
  </si>
  <si>
    <t>'-7.50772</t>
  </si>
  <si>
    <t>Kedung Maron</t>
  </si>
  <si>
    <t>Ngadiboyo</t>
  </si>
  <si>
    <t>'111.86378</t>
  </si>
  <si>
    <t>'-7.52967</t>
  </si>
  <si>
    <t>Tempuran</t>
  </si>
  <si>
    <t>Ngluyu</t>
  </si>
  <si>
    <t>'111.95903</t>
  </si>
  <si>
    <t>'-7.44721</t>
  </si>
  <si>
    <t>Matokan</t>
  </si>
  <si>
    <t>Wengkal</t>
  </si>
  <si>
    <t>'111.92561</t>
  </si>
  <si>
    <t>'-7.50408</t>
  </si>
  <si>
    <t>Bangle</t>
  </si>
  <si>
    <t>Ketandan</t>
  </si>
  <si>
    <t>'112.06194</t>
  </si>
  <si>
    <t>'-7.50936</t>
  </si>
  <si>
    <t>Sumber Kepuh</t>
  </si>
  <si>
    <t>Sumberkepuh</t>
  </si>
  <si>
    <t>'112.06314</t>
  </si>
  <si>
    <t>'-7.49561</t>
  </si>
  <si>
    <t>Tretes</t>
  </si>
  <si>
    <t>Sanggrahan</t>
  </si>
  <si>
    <t>'112.00335</t>
  </si>
  <si>
    <t>'-7.53221</t>
  </si>
  <si>
    <t>Senggowar</t>
  </si>
  <si>
    <t>'111.95654</t>
  </si>
  <si>
    <t>'-7.51595</t>
  </si>
  <si>
    <t>'111.90694</t>
  </si>
  <si>
    <t>'-7.52208</t>
  </si>
  <si>
    <t>Begadung</t>
  </si>
  <si>
    <t>'111.90466</t>
  </si>
  <si>
    <t>'-7.58700</t>
  </si>
  <si>
    <t>Tunglur</t>
  </si>
  <si>
    <t>Sudimoroharjo</t>
  </si>
  <si>
    <t>Wilangan</t>
  </si>
  <si>
    <t>'111.78813</t>
  </si>
  <si>
    <t>'-7.67129</t>
  </si>
  <si>
    <t>Loceret</t>
  </si>
  <si>
    <t>'111.89144</t>
  </si>
  <si>
    <t>'-7.64896</t>
  </si>
  <si>
    <t>Kacangan</t>
  </si>
  <si>
    <t>Berbek</t>
  </si>
  <si>
    <t>'111.86427</t>
  </si>
  <si>
    <t>'-7.66266</t>
  </si>
  <si>
    <t>Palu Ombo</t>
  </si>
  <si>
    <t>Siwalan</t>
  </si>
  <si>
    <t>Sawahan</t>
  </si>
  <si>
    <t>'111.80017</t>
  </si>
  <si>
    <t>'-7.69231</t>
  </si>
  <si>
    <t>'111.773347</t>
  </si>
  <si>
    <t>'-7.724575</t>
  </si>
  <si>
    <t>Klodan</t>
  </si>
  <si>
    <t>Blongko</t>
  </si>
  <si>
    <t>Ngetos</t>
  </si>
  <si>
    <t>'111.82886</t>
  </si>
  <si>
    <t>'-7.74286</t>
  </si>
  <si>
    <t>Sekar Pudak</t>
  </si>
  <si>
    <t>Pinggir</t>
  </si>
  <si>
    <t>'112.08242</t>
  </si>
  <si>
    <t>'-7.49545</t>
  </si>
  <si>
    <t>Gunug Krikil</t>
  </si>
  <si>
    <t>'112.08277</t>
  </si>
  <si>
    <t>'-7.49036</t>
  </si>
  <si>
    <t>Kedung Lumbung</t>
  </si>
  <si>
    <t>'112.08319</t>
  </si>
  <si>
    <t>'-7.50118</t>
  </si>
  <si>
    <t>Sumber Padas</t>
  </si>
  <si>
    <t>'112.08945</t>
  </si>
  <si>
    <t>'-7.50277</t>
  </si>
  <si>
    <t>Logawe</t>
  </si>
  <si>
    <t>'112.07896</t>
  </si>
  <si>
    <t>'-7.49894</t>
  </si>
  <si>
    <t>Sumber Sono</t>
  </si>
  <si>
    <t>'112.08814</t>
  </si>
  <si>
    <t>'-7.50329</t>
  </si>
  <si>
    <t>Lengkong Nganjuk</t>
  </si>
  <si>
    <t>'112.07607</t>
  </si>
  <si>
    <t>'-7.53519</t>
  </si>
  <si>
    <t>Ngudikan</t>
  </si>
  <si>
    <t>'111.834219</t>
  </si>
  <si>
    <t>'-7.545689</t>
  </si>
  <si>
    <t>Baron</t>
  </si>
  <si>
    <t>Tanjunganom</t>
  </si>
  <si>
    <t>'112.02469</t>
  </si>
  <si>
    <t>'-7.60367</t>
  </si>
  <si>
    <t>Kutorejo</t>
  </si>
  <si>
    <t>'112.10807</t>
  </si>
  <si>
    <t>'-7.59546</t>
  </si>
  <si>
    <t>Warujayeng</t>
  </si>
  <si>
    <t>Jogomerto</t>
  </si>
  <si>
    <t>'112.03913</t>
  </si>
  <si>
    <t>'-7.62684</t>
  </si>
  <si>
    <t>Tegaron</t>
  </si>
  <si>
    <t>'112.02285</t>
  </si>
  <si>
    <t>'-7.72639</t>
  </si>
  <si>
    <t>Dingin</t>
  </si>
  <si>
    <t>Klurahan</t>
  </si>
  <si>
    <t>Ngronggot</t>
  </si>
  <si>
    <t>'112.05634</t>
  </si>
  <si>
    <t>'-7.66312</t>
  </si>
  <si>
    <t>Prayungan</t>
  </si>
  <si>
    <t>'112.09765</t>
  </si>
  <si>
    <t>'-7.50663</t>
  </si>
  <si>
    <t>Perning</t>
  </si>
  <si>
    <t>Jatikalen</t>
  </si>
  <si>
    <t>'112.11249</t>
  </si>
  <si>
    <t>'-7.50961</t>
  </si>
  <si>
    <t>Sumber Kemiri</t>
  </si>
  <si>
    <t>Lumpangkuwik</t>
  </si>
  <si>
    <t>'-7.50589</t>
  </si>
  <si>
    <t>Sumbersoko</t>
  </si>
  <si>
    <t>Ngumpul</t>
  </si>
  <si>
    <t>Bagor</t>
  </si>
  <si>
    <t>'111.84243</t>
  </si>
  <si>
    <t>'-7.57949</t>
  </si>
  <si>
    <t>Pace</t>
  </si>
  <si>
    <t>'111.91663</t>
  </si>
  <si>
    <t>'-7.67753</t>
  </si>
  <si>
    <t>Mlilir</t>
  </si>
  <si>
    <t>Ngrawan</t>
  </si>
  <si>
    <t>'111.88261</t>
  </si>
  <si>
    <t>'-7.66142</t>
  </si>
  <si>
    <t>'111.83956</t>
  </si>
  <si>
    <t>'-7.55517</t>
  </si>
  <si>
    <t>Ngrambek</t>
  </si>
  <si>
    <t>Campur</t>
  </si>
  <si>
    <t>'111.95922</t>
  </si>
  <si>
    <t>'-7.54496</t>
  </si>
  <si>
    <t>Glatik</t>
  </si>
  <si>
    <t>Mancon</t>
  </si>
  <si>
    <t>'111.8272027</t>
  </si>
  <si>
    <t>'-7.54532777</t>
  </si>
  <si>
    <t>Kedungsoko</t>
  </si>
  <si>
    <t>Malangsari</t>
  </si>
  <si>
    <t>'111.96978</t>
  </si>
  <si>
    <t>'-7.65608</t>
  </si>
  <si>
    <t>Patihan</t>
  </si>
  <si>
    <t>'111.90298</t>
  </si>
  <si>
    <t>'-7.65026</t>
  </si>
  <si>
    <t>Badong NGK</t>
  </si>
  <si>
    <t>Mojoduwur</t>
  </si>
  <si>
    <t>'111.86089</t>
  </si>
  <si>
    <t>'-7.67081</t>
  </si>
  <si>
    <t>Banaran</t>
  </si>
  <si>
    <t>Kecubung</t>
  </si>
  <si>
    <t>'111.92236</t>
  </si>
  <si>
    <t>'-7.65464</t>
  </si>
  <si>
    <t>Genjeng</t>
  </si>
  <si>
    <t>Macanan</t>
  </si>
  <si>
    <t>'111.87918</t>
  </si>
  <si>
    <t>'-7.72188</t>
  </si>
  <si>
    <t>Tritik</t>
  </si>
  <si>
    <t>'111.8491</t>
  </si>
  <si>
    <t>'-7.47944</t>
  </si>
  <si>
    <t>Bandar Lor</t>
  </si>
  <si>
    <t>Mojoroto</t>
  </si>
  <si>
    <t>Kota Kediri</t>
  </si>
  <si>
    <t>'112.00664</t>
  </si>
  <si>
    <t>'-7.81429</t>
  </si>
  <si>
    <t>Kantor Kediri</t>
  </si>
  <si>
    <t>'112.004347</t>
  </si>
  <si>
    <t>'-7.805830</t>
  </si>
  <si>
    <t>PG. Pesantren</t>
  </si>
  <si>
    <t>Pesantren</t>
  </si>
  <si>
    <t>'112.05453</t>
  </si>
  <si>
    <t>'-7.83438</t>
  </si>
  <si>
    <t>Mrican</t>
  </si>
  <si>
    <t>'112.001587</t>
  </si>
  <si>
    <t>'-7.783871</t>
  </si>
  <si>
    <t>Pacitan</t>
  </si>
  <si>
    <t>PSDA di Madiun</t>
  </si>
  <si>
    <t>'111.106111</t>
  </si>
  <si>
    <t>'-8.193611</t>
  </si>
  <si>
    <t>'111.155556</t>
  </si>
  <si>
    <t>'-8.218889</t>
  </si>
  <si>
    <t>Arjosari</t>
  </si>
  <si>
    <t>'111.155523</t>
  </si>
  <si>
    <t>'-8.124747</t>
  </si>
  <si>
    <t>Kerti</t>
  </si>
  <si>
    <t>'111.15217</t>
  </si>
  <si>
    <t>'-8.14227</t>
  </si>
  <si>
    <t>Punung</t>
  </si>
  <si>
    <t>'111.032727</t>
  </si>
  <si>
    <t>'-8.149991</t>
  </si>
  <si>
    <t>Pringkuku</t>
  </si>
  <si>
    <t>'111.039787</t>
  </si>
  <si>
    <t>'-8.190432</t>
  </si>
  <si>
    <t>Donorojo</t>
  </si>
  <si>
    <t>'110.986415</t>
  </si>
  <si>
    <t>'-8.092747</t>
  </si>
  <si>
    <t>Ngadirojo</t>
  </si>
  <si>
    <t>Ngadorojo</t>
  </si>
  <si>
    <t>Lorog</t>
  </si>
  <si>
    <t>'111.329435</t>
  </si>
  <si>
    <t>'-8.205248</t>
  </si>
  <si>
    <t>Tulakan</t>
  </si>
  <si>
    <t>'111.274918</t>
  </si>
  <si>
    <t>'-8.170895</t>
  </si>
  <si>
    <t>Sudimoro</t>
  </si>
  <si>
    <t>'111.381457</t>
  </si>
  <si>
    <t>'-8.249062</t>
  </si>
  <si>
    <t>Tegalombo</t>
  </si>
  <si>
    <t>'111.301974</t>
  </si>
  <si>
    <t>'-8.064102</t>
  </si>
  <si>
    <t>Tahunan</t>
  </si>
  <si>
    <t>'111.333781</t>
  </si>
  <si>
    <t>'-8.017243</t>
  </si>
  <si>
    <t>Bandar</t>
  </si>
  <si>
    <t>'111.262858</t>
  </si>
  <si>
    <t>'-7.998199</t>
  </si>
  <si>
    <t>Nawangan</t>
  </si>
  <si>
    <t>'111.184703</t>
  </si>
  <si>
    <t>'-8.004193</t>
  </si>
  <si>
    <t>Tinatar</t>
  </si>
  <si>
    <t>'111.093686</t>
  </si>
  <si>
    <t>'-8.087283</t>
  </si>
  <si>
    <t>Ponorogo</t>
  </si>
  <si>
    <t>Bangunsari</t>
  </si>
  <si>
    <t>'111.474208</t>
  </si>
  <si>
    <t>'-7.870981</t>
  </si>
  <si>
    <t>Babadan PNG</t>
  </si>
  <si>
    <t>Pondok</t>
  </si>
  <si>
    <t>'111.500753</t>
  </si>
  <si>
    <t>'-7.813880</t>
  </si>
  <si>
    <t>Kesugihan</t>
  </si>
  <si>
    <t>Plunturan</t>
  </si>
  <si>
    <t>Pulung</t>
  </si>
  <si>
    <t>'111.61390</t>
  </si>
  <si>
    <t>'-7.843900</t>
  </si>
  <si>
    <t>'111.61890</t>
  </si>
  <si>
    <t>'-7.85830</t>
  </si>
  <si>
    <t>Pudak</t>
  </si>
  <si>
    <t>'111.71280</t>
  </si>
  <si>
    <t>'-7.871100</t>
  </si>
  <si>
    <t>'111.670114</t>
  </si>
  <si>
    <t>'-7.909158</t>
  </si>
  <si>
    <t>Sawoo</t>
  </si>
  <si>
    <t>'111.569200</t>
  </si>
  <si>
    <t>'-7.968900</t>
  </si>
  <si>
    <t>Kori</t>
  </si>
  <si>
    <t>Sambit</t>
  </si>
  <si>
    <t>'111.54530</t>
  </si>
  <si>
    <t>'-7.91371</t>
  </si>
  <si>
    <t>Sewatu</t>
  </si>
  <si>
    <t>Serangan</t>
  </si>
  <si>
    <t>Mlarak</t>
  </si>
  <si>
    <t>'111.58471</t>
  </si>
  <si>
    <t>'-7.90763</t>
  </si>
  <si>
    <t>Slahung</t>
  </si>
  <si>
    <t>'111.415300</t>
  </si>
  <si>
    <t>'-8.020800</t>
  </si>
  <si>
    <t>Sampung</t>
  </si>
  <si>
    <t>'111.32621</t>
  </si>
  <si>
    <t>'-7.86455</t>
  </si>
  <si>
    <t>Balong</t>
  </si>
  <si>
    <t>'111.42970</t>
  </si>
  <si>
    <t>'-7.95000</t>
  </si>
  <si>
    <t>Sungkur</t>
  </si>
  <si>
    <t>Blembem</t>
  </si>
  <si>
    <t>Badegan</t>
  </si>
  <si>
    <t>'111.37460</t>
  </si>
  <si>
    <t>'-7.87855</t>
  </si>
  <si>
    <t>'111.28161</t>
  </si>
  <si>
    <t>'-7.85224</t>
  </si>
  <si>
    <t>Ngebel</t>
  </si>
  <si>
    <t>Wagir Lor</t>
  </si>
  <si>
    <t>'111.63252</t>
  </si>
  <si>
    <t>'-7.80517</t>
  </si>
  <si>
    <t>Talun PNG</t>
  </si>
  <si>
    <t>'111.65622</t>
  </si>
  <si>
    <t>'-7.81714</t>
  </si>
  <si>
    <t>Bollu</t>
  </si>
  <si>
    <t>Jenangan</t>
  </si>
  <si>
    <t>'111.5439</t>
  </si>
  <si>
    <t>'-7.82080</t>
  </si>
  <si>
    <t>'111.52865</t>
  </si>
  <si>
    <t>'-7.95406</t>
  </si>
  <si>
    <t>Ngilo - ilo</t>
  </si>
  <si>
    <t>Ngilo-Ilo</t>
  </si>
  <si>
    <t>'111.40925</t>
  </si>
  <si>
    <t>'-7.97655</t>
  </si>
  <si>
    <t>Sumoroto</t>
  </si>
  <si>
    <t>'111.40484</t>
  </si>
  <si>
    <t>'-7.85474</t>
  </si>
  <si>
    <t>'111.33132</t>
  </si>
  <si>
    <t>'-7.87215</t>
  </si>
  <si>
    <t>Pohijo</t>
  </si>
  <si>
    <t>'111.34108</t>
  </si>
  <si>
    <t>'-7.80963</t>
  </si>
  <si>
    <t>Ngrayun</t>
  </si>
  <si>
    <t>'111.44670</t>
  </si>
  <si>
    <t>'-8.07280</t>
  </si>
  <si>
    <t>Kantor Madiun</t>
  </si>
  <si>
    <t>Kartoharjo</t>
  </si>
  <si>
    <t>Kota Madiun</t>
  </si>
  <si>
    <t>'111.52050</t>
  </si>
  <si>
    <t>'-7.624200</t>
  </si>
  <si>
    <t>Pilang Kenceng</t>
  </si>
  <si>
    <t>Tlagan</t>
  </si>
  <si>
    <t>Pilangkenceng</t>
  </si>
  <si>
    <t>Madiun</t>
  </si>
  <si>
    <t>'111.660026</t>
  </si>
  <si>
    <t>'-7.484419</t>
  </si>
  <si>
    <t>Tulung</t>
  </si>
  <si>
    <t>Saradan</t>
  </si>
  <si>
    <t>'111.70210</t>
  </si>
  <si>
    <t>'-7.50620</t>
  </si>
  <si>
    <t>'111.75030</t>
  </si>
  <si>
    <t>'-7.55330</t>
  </si>
  <si>
    <t>Kedung Banteng</t>
  </si>
  <si>
    <t>Kedungbanteng</t>
  </si>
  <si>
    <t>'111.631724</t>
  </si>
  <si>
    <t>'-7.47483</t>
  </si>
  <si>
    <t>Notopuro</t>
  </si>
  <si>
    <t>'111.69190</t>
  </si>
  <si>
    <t>'-7.48370</t>
  </si>
  <si>
    <t>Sumbersari</t>
  </si>
  <si>
    <t>'111.69130</t>
  </si>
  <si>
    <t>'-7.52310</t>
  </si>
  <si>
    <t>Kuwu</t>
  </si>
  <si>
    <t>Balerejo</t>
  </si>
  <si>
    <t>'111.616400</t>
  </si>
  <si>
    <t>'-7.518600</t>
  </si>
  <si>
    <t>Muneng Madiun</t>
  </si>
  <si>
    <t>'111.616281</t>
  </si>
  <si>
    <t>'-7.499085</t>
  </si>
  <si>
    <t>Sogo</t>
  </si>
  <si>
    <t>'111.595771</t>
  </si>
  <si>
    <t>'-7.536114</t>
  </si>
  <si>
    <t>Sumberbendo</t>
  </si>
  <si>
    <t>'111.741257</t>
  </si>
  <si>
    <t>'-7.490814</t>
  </si>
  <si>
    <t>Kedung Rejo</t>
  </si>
  <si>
    <t>'111.655600</t>
  </si>
  <si>
    <t>'-7.520000</t>
  </si>
  <si>
    <t>Gemarang</t>
  </si>
  <si>
    <t>'111.739113</t>
  </si>
  <si>
    <t>'-7.665254</t>
  </si>
  <si>
    <t>Sarangan</t>
  </si>
  <si>
    <t>Wonoasri</t>
  </si>
  <si>
    <t>'111.62580</t>
  </si>
  <si>
    <t>'-7.58980</t>
  </si>
  <si>
    <t>Caruban</t>
  </si>
  <si>
    <t>Krajan</t>
  </si>
  <si>
    <t>Mejayan</t>
  </si>
  <si>
    <t>'111.653470</t>
  </si>
  <si>
    <t>'-7.547690</t>
  </si>
  <si>
    <t>Wates_MDN</t>
  </si>
  <si>
    <t>'111.691190</t>
  </si>
  <si>
    <t>'-7.609710</t>
  </si>
  <si>
    <t>'111.604644</t>
  </si>
  <si>
    <t>'-7.553139</t>
  </si>
  <si>
    <t>Cermo</t>
  </si>
  <si>
    <t>Kare</t>
  </si>
  <si>
    <t>'111.70093</t>
  </si>
  <si>
    <t>'-7.69337</t>
  </si>
  <si>
    <t>'111.627662</t>
  </si>
  <si>
    <t>'-7.594896</t>
  </si>
  <si>
    <t>Babadan MDN</t>
  </si>
  <si>
    <t>'111.592339</t>
  </si>
  <si>
    <t>'-7.601461</t>
  </si>
  <si>
    <t>Cau</t>
  </si>
  <si>
    <t>Kuwiran</t>
  </si>
  <si>
    <t>'111.634900</t>
  </si>
  <si>
    <t>'-7.695600</t>
  </si>
  <si>
    <t>'111.69920</t>
  </si>
  <si>
    <t>'-7.75860</t>
  </si>
  <si>
    <t>Catur</t>
  </si>
  <si>
    <t>'111.68280</t>
  </si>
  <si>
    <t>'-7.73670</t>
  </si>
  <si>
    <t>Giringan</t>
  </si>
  <si>
    <t>'111.67420</t>
  </si>
  <si>
    <t>'-7.72110</t>
  </si>
  <si>
    <t>Dungus</t>
  </si>
  <si>
    <t>Wungu</t>
  </si>
  <si>
    <t>'111.61112</t>
  </si>
  <si>
    <t>'-7.686470</t>
  </si>
  <si>
    <t>Gondosuli</t>
  </si>
  <si>
    <t>'111.688600</t>
  </si>
  <si>
    <t>'-7.718900</t>
  </si>
  <si>
    <t>Pg. Rejoagung</t>
  </si>
  <si>
    <t>Manguharjo</t>
  </si>
  <si>
    <t>'111.52890</t>
  </si>
  <si>
    <t>'-7.608400</t>
  </si>
  <si>
    <t>Pg.Kanigoro</t>
  </si>
  <si>
    <t>Geger</t>
  </si>
  <si>
    <t>'111.53610</t>
  </si>
  <si>
    <t>'-7.65970</t>
  </si>
  <si>
    <t>Kertobanyon</t>
  </si>
  <si>
    <t>'111.531717</t>
  </si>
  <si>
    <t>'-7.672231</t>
  </si>
  <si>
    <t>'111.531766</t>
  </si>
  <si>
    <t>'-7.625089</t>
  </si>
  <si>
    <t>Pg.Pagotan</t>
  </si>
  <si>
    <t>Pagotan</t>
  </si>
  <si>
    <t>'111.53690</t>
  </si>
  <si>
    <t>'-7.70280</t>
  </si>
  <si>
    <t>Gombal</t>
  </si>
  <si>
    <t>Dolopo</t>
  </si>
  <si>
    <t>'111.521043</t>
  </si>
  <si>
    <t>'-7.798504</t>
  </si>
  <si>
    <t>Sareng</t>
  </si>
  <si>
    <t>'111.554317</t>
  </si>
  <si>
    <t>'-7.746804</t>
  </si>
  <si>
    <t>'111.528969</t>
  </si>
  <si>
    <t>'-7.751308</t>
  </si>
  <si>
    <t>Karanganyar</t>
  </si>
  <si>
    <t>Kajang</t>
  </si>
  <si>
    <t>'111.525933</t>
  </si>
  <si>
    <t>'-7.576931</t>
  </si>
  <si>
    <t>Krangkeng</t>
  </si>
  <si>
    <t>'111.547560</t>
  </si>
  <si>
    <t>'-7.678367</t>
  </si>
  <si>
    <t>Kantor Barat</t>
  </si>
  <si>
    <t>Karangsono</t>
  </si>
  <si>
    <t>Barat</t>
  </si>
  <si>
    <t>Magetan</t>
  </si>
  <si>
    <t>'111.44980</t>
  </si>
  <si>
    <t>'-7.56220</t>
  </si>
  <si>
    <t>Karangmojo</t>
  </si>
  <si>
    <t>'111.46205</t>
  </si>
  <si>
    <t>'-7.523389</t>
  </si>
  <si>
    <t>Taji</t>
  </si>
  <si>
    <t>'111.368389</t>
  </si>
  <si>
    <t>'-7.582472</t>
  </si>
  <si>
    <t>Purwodadi</t>
  </si>
  <si>
    <t>Pelem</t>
  </si>
  <si>
    <t>'111.425972</t>
  </si>
  <si>
    <t>'-7.558694</t>
  </si>
  <si>
    <t>Jungke</t>
  </si>
  <si>
    <t>Geplak</t>
  </si>
  <si>
    <t>'111.404175</t>
  </si>
  <si>
    <t>'-7.568958</t>
  </si>
  <si>
    <t>Tinap</t>
  </si>
  <si>
    <t>Maospati</t>
  </si>
  <si>
    <t>'111.413450</t>
  </si>
  <si>
    <t>'-7.604150</t>
  </si>
  <si>
    <t>Bendo MGT</t>
  </si>
  <si>
    <t>'111.429575</t>
  </si>
  <si>
    <t>'-7.637028</t>
  </si>
  <si>
    <t>Gandongkerik</t>
  </si>
  <si>
    <t>'111.457806</t>
  </si>
  <si>
    <t>'-7.659889</t>
  </si>
  <si>
    <t>Jejeruk</t>
  </si>
  <si>
    <t>Ringinagung</t>
  </si>
  <si>
    <t>'111.315222</t>
  </si>
  <si>
    <t>'-7.662361</t>
  </si>
  <si>
    <t>Sumberdodol</t>
  </si>
  <si>
    <t>Panekan</t>
  </si>
  <si>
    <t>'111.283398</t>
  </si>
  <si>
    <t>'-7.630775</t>
  </si>
  <si>
    <t>Sarangan_MGT</t>
  </si>
  <si>
    <t>Plaosan</t>
  </si>
  <si>
    <t>'111.21640</t>
  </si>
  <si>
    <t>'-7.679600</t>
  </si>
  <si>
    <t>Nitikan</t>
  </si>
  <si>
    <t>'111.29662</t>
  </si>
  <si>
    <t>'-7.675010</t>
  </si>
  <si>
    <t>Slagreng</t>
  </si>
  <si>
    <t>'111.278161</t>
  </si>
  <si>
    <t>'-7.658408</t>
  </si>
  <si>
    <t>Gorang - gareng</t>
  </si>
  <si>
    <t>'111.459847</t>
  </si>
  <si>
    <t>'-7.755469</t>
  </si>
  <si>
    <t>Kawedanan</t>
  </si>
  <si>
    <t>'111.417806</t>
  </si>
  <si>
    <t>'-7.695417</t>
  </si>
  <si>
    <t>Bogem Rejosari</t>
  </si>
  <si>
    <t>Rejosari</t>
  </si>
  <si>
    <t>'111.413167</t>
  </si>
  <si>
    <t>'-7.680028</t>
  </si>
  <si>
    <t>Lembeyan</t>
  </si>
  <si>
    <t>'111.40300</t>
  </si>
  <si>
    <t>'-7.76166</t>
  </si>
  <si>
    <t>Parang</t>
  </si>
  <si>
    <t>'111.31342</t>
  </si>
  <si>
    <t>'-7.741110</t>
  </si>
  <si>
    <t>Poncol</t>
  </si>
  <si>
    <t>'111.265583</t>
  </si>
  <si>
    <t>'-7.730647</t>
  </si>
  <si>
    <t>Lemi</t>
  </si>
  <si>
    <t>'111.486917</t>
  </si>
  <si>
    <t>'-7.525528</t>
  </si>
  <si>
    <t>Mantingan</t>
  </si>
  <si>
    <t>Ngawi</t>
  </si>
  <si>
    <t>'111.149977</t>
  </si>
  <si>
    <t>'-7.385899</t>
  </si>
  <si>
    <t>Kab.Ngawi</t>
  </si>
  <si>
    <t>'111.446200</t>
  </si>
  <si>
    <t>'-7.404700</t>
  </si>
  <si>
    <t>Ngrambe</t>
  </si>
  <si>
    <t>'111.205921</t>
  </si>
  <si>
    <t>'-7.5148688</t>
  </si>
  <si>
    <t>Kedung Urung-urung</t>
  </si>
  <si>
    <t>Ked. Urung-urung</t>
  </si>
  <si>
    <t>'111.164633</t>
  </si>
  <si>
    <t>'-7.510233</t>
  </si>
  <si>
    <t>Tretes Ngawi</t>
  </si>
  <si>
    <t>Sine</t>
  </si>
  <si>
    <t>'111.171889</t>
  </si>
  <si>
    <t>'-7.453846</t>
  </si>
  <si>
    <t>Walikukun / Widodaren</t>
  </si>
  <si>
    <t>Widodaren</t>
  </si>
  <si>
    <t>'111.223161</t>
  </si>
  <si>
    <t>'-7.402047</t>
  </si>
  <si>
    <t>Jogorogo</t>
  </si>
  <si>
    <t>'111.26060</t>
  </si>
  <si>
    <t>'-7.499200</t>
  </si>
  <si>
    <t>Kendal</t>
  </si>
  <si>
    <t>'111.288719</t>
  </si>
  <si>
    <t>'-7.56055</t>
  </si>
  <si>
    <t>Kedung Galar</t>
  </si>
  <si>
    <t>Kedunggalar</t>
  </si>
  <si>
    <t>'111.31240</t>
  </si>
  <si>
    <t>'-7.41650</t>
  </si>
  <si>
    <t>Kedung Bendo</t>
  </si>
  <si>
    <t>Padas</t>
  </si>
  <si>
    <t>'111.54260</t>
  </si>
  <si>
    <t>'-7.38720</t>
  </si>
  <si>
    <t>Paron</t>
  </si>
  <si>
    <t>'111.39570</t>
  </si>
  <si>
    <t>'-7.437400</t>
  </si>
  <si>
    <t>Mardiasri</t>
  </si>
  <si>
    <t>'111.405600</t>
  </si>
  <si>
    <t>'-7.428100</t>
  </si>
  <si>
    <t>Ngale</t>
  </si>
  <si>
    <t>'111.3715677</t>
  </si>
  <si>
    <t>'-7.408989</t>
  </si>
  <si>
    <t>'111.50450</t>
  </si>
  <si>
    <t>'-7.420147</t>
  </si>
  <si>
    <t>Karangjati</t>
  </si>
  <si>
    <t>'111.61310</t>
  </si>
  <si>
    <t>'-7.46080</t>
  </si>
  <si>
    <t>Sambiroto Ngawi</t>
  </si>
  <si>
    <t>'111.55480</t>
  </si>
  <si>
    <t>'-7.44540</t>
  </si>
  <si>
    <t>Babadan Ngawi</t>
  </si>
  <si>
    <t>'111.2200</t>
  </si>
  <si>
    <t>'-7.50440</t>
  </si>
  <si>
    <t>Begal</t>
  </si>
  <si>
    <t>'111.270850</t>
  </si>
  <si>
    <t>'-7.469650</t>
  </si>
  <si>
    <t>Bekoh</t>
  </si>
  <si>
    <t>Gentong</t>
  </si>
  <si>
    <t>'111.301261</t>
  </si>
  <si>
    <t>'-7.500386</t>
  </si>
  <si>
    <t>Papungan</t>
  </si>
  <si>
    <t>'111.3692</t>
  </si>
  <si>
    <t>'-7.38330</t>
  </si>
  <si>
    <t>Kricak</t>
  </si>
  <si>
    <t>'111.34430</t>
  </si>
  <si>
    <t>'-7.394556</t>
  </si>
  <si>
    <t>Guyung</t>
  </si>
  <si>
    <t>Geneng</t>
  </si>
  <si>
    <t>'111.41030</t>
  </si>
  <si>
    <t>'-7.50600</t>
  </si>
  <si>
    <t>Sudhono</t>
  </si>
  <si>
    <t>Tepas</t>
  </si>
  <si>
    <t>'111.42150</t>
  </si>
  <si>
    <t>'-7.49510</t>
  </si>
  <si>
    <t>Soko / Ngadirejo</t>
  </si>
  <si>
    <t>'111.36600</t>
  </si>
  <si>
    <t>'-7.39660</t>
  </si>
  <si>
    <t>Buduk / Kwadungan</t>
  </si>
  <si>
    <t>Budug</t>
  </si>
  <si>
    <t>Kwadungan</t>
  </si>
  <si>
    <t>'111.53560</t>
  </si>
  <si>
    <t>'-7.54440</t>
  </si>
  <si>
    <t>Tejo</t>
  </si>
  <si>
    <t>Gerih</t>
  </si>
  <si>
    <t>'111.40470</t>
  </si>
  <si>
    <t>'-7.545740</t>
  </si>
  <si>
    <t>Alas Buluh</t>
  </si>
  <si>
    <t>PSDA di Bondowoso</t>
  </si>
  <si>
    <t>Alas Bulu</t>
  </si>
  <si>
    <t>Wongsorejo</t>
  </si>
  <si>
    <t>Banyuwangi</t>
  </si>
  <si>
    <t>'114.40690</t>
  </si>
  <si>
    <t>'-8.00980</t>
  </si>
  <si>
    <t>Baru Bajulmati</t>
  </si>
  <si>
    <t>Alas Malang BWI</t>
  </si>
  <si>
    <t>Alasmalang</t>
  </si>
  <si>
    <t>Singojuruh</t>
  </si>
  <si>
    <t>'114.251100</t>
  </si>
  <si>
    <t>'-8.320600</t>
  </si>
  <si>
    <t>Bajulmati</t>
  </si>
  <si>
    <t>'114.38630000000</t>
  </si>
  <si>
    <t>'-7.92660000000</t>
  </si>
  <si>
    <t>Blambangan BWI</t>
  </si>
  <si>
    <t>Muncar</t>
  </si>
  <si>
    <t>'114.283508</t>
  </si>
  <si>
    <t>'-8.414039</t>
  </si>
  <si>
    <t>Cab.Din. Banyuwangi</t>
  </si>
  <si>
    <t>Penganjuran</t>
  </si>
  <si>
    <t>'114.362222</t>
  </si>
  <si>
    <t>'-8.217806</t>
  </si>
  <si>
    <t>Cluring</t>
  </si>
  <si>
    <t>'114.200222</t>
  </si>
  <si>
    <t>'-8.437778</t>
  </si>
  <si>
    <t>Dadapan</t>
  </si>
  <si>
    <t>Kabat</t>
  </si>
  <si>
    <t>'114.337722</t>
  </si>
  <si>
    <t>'-8.258028</t>
  </si>
  <si>
    <t>Gambor</t>
  </si>
  <si>
    <t>'114.2431</t>
  </si>
  <si>
    <t>'-8.3367</t>
  </si>
  <si>
    <t>Genteng I</t>
  </si>
  <si>
    <t>Gentengkulon</t>
  </si>
  <si>
    <t>'114.1458</t>
  </si>
  <si>
    <t>'-8.3625</t>
  </si>
  <si>
    <t>Genteng II</t>
  </si>
  <si>
    <t>'114.1456</t>
  </si>
  <si>
    <t>'-8.3481</t>
  </si>
  <si>
    <t>Glagah BWI</t>
  </si>
  <si>
    <t>'114.3186</t>
  </si>
  <si>
    <t>'-8.2045</t>
  </si>
  <si>
    <t>Glenfaloch</t>
  </si>
  <si>
    <t>PSDA di Lumajang</t>
  </si>
  <si>
    <t>Tegalharjo</t>
  </si>
  <si>
    <t>Glenmore</t>
  </si>
  <si>
    <t>'114.020006</t>
  </si>
  <si>
    <t>'-8.307286</t>
  </si>
  <si>
    <t>Grajagan</t>
  </si>
  <si>
    <t>Purwoharjo</t>
  </si>
  <si>
    <t>'114.250222</t>
  </si>
  <si>
    <t>'-8.552056</t>
  </si>
  <si>
    <t>Jambewangi</t>
  </si>
  <si>
    <t>Sempu</t>
  </si>
  <si>
    <t>'114.1358</t>
  </si>
  <si>
    <t>'-8.2989</t>
  </si>
  <si>
    <t>Jatirono</t>
  </si>
  <si>
    <t>Karangharjo</t>
  </si>
  <si>
    <t>Kalibaru</t>
  </si>
  <si>
    <t>'114.008511</t>
  </si>
  <si>
    <t>'-8.275278</t>
  </si>
  <si>
    <t>Kabat / Macan Putih</t>
  </si>
  <si>
    <t>Macanputih</t>
  </si>
  <si>
    <t>'114.290861</t>
  </si>
  <si>
    <t>'-8.273944</t>
  </si>
  <si>
    <t>Kalibarukulon</t>
  </si>
  <si>
    <t>'113.9708</t>
  </si>
  <si>
    <t>'-8.2889</t>
  </si>
  <si>
    <t>Kalipuro</t>
  </si>
  <si>
    <t>'114.359972</t>
  </si>
  <si>
    <t>'-8.155472</t>
  </si>
  <si>
    <t>Kali Sepanjang</t>
  </si>
  <si>
    <t>Sepanjang</t>
  </si>
  <si>
    <t>'114.0771</t>
  </si>
  <si>
    <t>'-8.2992</t>
  </si>
  <si>
    <t>Karang Harjo</t>
  </si>
  <si>
    <t>'114.05234</t>
  </si>
  <si>
    <t>'-8.30925</t>
  </si>
  <si>
    <t>Karangdoro</t>
  </si>
  <si>
    <t>Tegalsari</t>
  </si>
  <si>
    <t>'114.100894</t>
  </si>
  <si>
    <t>'-8.439514</t>
  </si>
  <si>
    <t>Karang Tambak</t>
  </si>
  <si>
    <t>Pesanggaran</t>
  </si>
  <si>
    <t>'113.986639</t>
  </si>
  <si>
    <t>'-8.505944</t>
  </si>
  <si>
    <t>Kawah Ijen</t>
  </si>
  <si>
    <t>Tamansari</t>
  </si>
  <si>
    <t>'114.237056</t>
  </si>
  <si>
    <t>'-8.065056</t>
  </si>
  <si>
    <t>Kebondalem</t>
  </si>
  <si>
    <t>Bangorejo</t>
  </si>
  <si>
    <t>'114.1345</t>
  </si>
  <si>
    <t>'-8.4565</t>
  </si>
  <si>
    <t>Kesilir BWI</t>
  </si>
  <si>
    <t>Kesilir</t>
  </si>
  <si>
    <t>Siliragung</t>
  </si>
  <si>
    <t>'114.128722</t>
  </si>
  <si>
    <t>'-8.525167</t>
  </si>
  <si>
    <t>Licin</t>
  </si>
  <si>
    <t>'114.267861</t>
  </si>
  <si>
    <t>'-8.198167</t>
  </si>
  <si>
    <t>Maelang</t>
  </si>
  <si>
    <t>Watukebo</t>
  </si>
  <si>
    <t>'114.33220</t>
  </si>
  <si>
    <t>'-7.95890</t>
  </si>
  <si>
    <t>'113.983067</t>
  </si>
  <si>
    <t>'-8.376225</t>
  </si>
  <si>
    <t>Pasewaran</t>
  </si>
  <si>
    <t>'114.24190</t>
  </si>
  <si>
    <t>'-7.98020</t>
  </si>
  <si>
    <t>'114.100444</t>
  </si>
  <si>
    <t>'-8.561611</t>
  </si>
  <si>
    <t>Plosorejo</t>
  </si>
  <si>
    <t>Tampo</t>
  </si>
  <si>
    <t>'114.259222</t>
  </si>
  <si>
    <t>'-8.452778</t>
  </si>
  <si>
    <t>'114.2369</t>
  </si>
  <si>
    <t>'-8.4936</t>
  </si>
  <si>
    <t>Rogojampi</t>
  </si>
  <si>
    <t>Lemahbangdewo</t>
  </si>
  <si>
    <t>'114.281083</t>
  </si>
  <si>
    <t>'-8.312250</t>
  </si>
  <si>
    <t>Selogiri</t>
  </si>
  <si>
    <t>Giri</t>
  </si>
  <si>
    <t>'114.353583</t>
  </si>
  <si>
    <t>'-8.092750</t>
  </si>
  <si>
    <t>Sidomulyo BWI</t>
  </si>
  <si>
    <t>'114.40000</t>
  </si>
  <si>
    <t>'-8.017200</t>
  </si>
  <si>
    <t>Songgon</t>
  </si>
  <si>
    <t>'114.1914</t>
  </si>
  <si>
    <t>'-8.2286</t>
  </si>
  <si>
    <t>Sukonatar</t>
  </si>
  <si>
    <t>Srono</t>
  </si>
  <si>
    <t>'114.276528</t>
  </si>
  <si>
    <t>'-8.387139</t>
  </si>
  <si>
    <t>Sumber Beras</t>
  </si>
  <si>
    <t>'114.302028</t>
  </si>
  <si>
    <t>'-8.477833</t>
  </si>
  <si>
    <t>Tambong</t>
  </si>
  <si>
    <t>'114.297667</t>
  </si>
  <si>
    <t>'-8.258972</t>
  </si>
  <si>
    <t>Tegal dlimo</t>
  </si>
  <si>
    <t>Tegaldlimo</t>
  </si>
  <si>
    <t>'114.276694</t>
  </si>
  <si>
    <t>'-8.508806</t>
  </si>
  <si>
    <t>Temuguruh</t>
  </si>
  <si>
    <t>Temuasri</t>
  </si>
  <si>
    <t>'114.165972</t>
  </si>
  <si>
    <t>'-8.279194</t>
  </si>
  <si>
    <t>Kemiri</t>
  </si>
  <si>
    <t>'114.201889</t>
  </si>
  <si>
    <t>'-8.284667</t>
  </si>
  <si>
    <t>'114.40160</t>
  </si>
  <si>
    <t>'-7.99240</t>
  </si>
  <si>
    <t>Mangir</t>
  </si>
  <si>
    <t>'114.28750</t>
  </si>
  <si>
    <t>'-8.35417</t>
  </si>
  <si>
    <t>Bayu Lor</t>
  </si>
  <si>
    <t>Bayu</t>
  </si>
  <si>
    <t>'114.185787</t>
  </si>
  <si>
    <t>'-8.188463</t>
  </si>
  <si>
    <t>Ancar</t>
  </si>
  <si>
    <t>Jetis</t>
  </si>
  <si>
    <t>Curahdami</t>
  </si>
  <si>
    <t>Bondowoso</t>
  </si>
  <si>
    <t>'113.79128</t>
  </si>
  <si>
    <t>'-7.95058</t>
  </si>
  <si>
    <t>Petung</t>
  </si>
  <si>
    <t>Pakem</t>
  </si>
  <si>
    <t>'113.73141</t>
  </si>
  <si>
    <t>'-7.85606</t>
  </si>
  <si>
    <t>Bluncong</t>
  </si>
  <si>
    <t>Pandak</t>
  </si>
  <si>
    <t>Klabang</t>
  </si>
  <si>
    <t>'113.94608</t>
  </si>
  <si>
    <t>'-7.81709</t>
  </si>
  <si>
    <t>Cerme BDWS</t>
  </si>
  <si>
    <t>Cermee</t>
  </si>
  <si>
    <t>'114.05231</t>
  </si>
  <si>
    <t>'-7.77721</t>
  </si>
  <si>
    <t>Clangap</t>
  </si>
  <si>
    <t>Alas Sumur</t>
  </si>
  <si>
    <t>Pujer</t>
  </si>
  <si>
    <t>'113.87505</t>
  </si>
  <si>
    <t>'-8.00583</t>
  </si>
  <si>
    <t>Glendengan</t>
  </si>
  <si>
    <t>Botolinggo</t>
  </si>
  <si>
    <t>'113.97695</t>
  </si>
  <si>
    <t>'-7.82848</t>
  </si>
  <si>
    <t>Grujugan</t>
  </si>
  <si>
    <t>Grujugan Lor</t>
  </si>
  <si>
    <t>Jambe Sari Darus Sho</t>
  </si>
  <si>
    <t>'113.82877</t>
  </si>
  <si>
    <t>'-7.95611</t>
  </si>
  <si>
    <t>Jero</t>
  </si>
  <si>
    <t>Kalitapen</t>
  </si>
  <si>
    <t>'113.9152722</t>
  </si>
  <si>
    <t>'-7.86213611</t>
  </si>
  <si>
    <t>'113.87491</t>
  </si>
  <si>
    <t>'-7.96008</t>
  </si>
  <si>
    <t>Kesemek</t>
  </si>
  <si>
    <t>Tenggarang</t>
  </si>
  <si>
    <t>'113.87233</t>
  </si>
  <si>
    <t>'-7.96270</t>
  </si>
  <si>
    <t>Tegalampel</t>
  </si>
  <si>
    <t>'113.82025781</t>
  </si>
  <si>
    <t>'-7.87031171</t>
  </si>
  <si>
    <t>Kolpoh</t>
  </si>
  <si>
    <t>Sempol</t>
  </si>
  <si>
    <t>Prajekan</t>
  </si>
  <si>
    <t>'114.00470</t>
  </si>
  <si>
    <t>'-7.79641</t>
  </si>
  <si>
    <t>Maesan</t>
  </si>
  <si>
    <t>'113.77743</t>
  </si>
  <si>
    <t>'-8.02097</t>
  </si>
  <si>
    <t>Maskuning</t>
  </si>
  <si>
    <t>Maskuning Wetan</t>
  </si>
  <si>
    <t>'113.90635</t>
  </si>
  <si>
    <t>'-7.98614</t>
  </si>
  <si>
    <t>Pakisan</t>
  </si>
  <si>
    <t>Tlogosari</t>
  </si>
  <si>
    <t>'113.92199</t>
  </si>
  <si>
    <t>'-7.98934</t>
  </si>
  <si>
    <t>Suling Wetan</t>
  </si>
  <si>
    <t>'114.04252</t>
  </si>
  <si>
    <t>'-7.79426</t>
  </si>
  <si>
    <t>Pinang pait</t>
  </si>
  <si>
    <t>Pecalongan</t>
  </si>
  <si>
    <t>'113.93783</t>
  </si>
  <si>
    <t>'-7.95203</t>
  </si>
  <si>
    <t>Walidono</t>
  </si>
  <si>
    <t>'113.97685</t>
  </si>
  <si>
    <t>'-7.80240</t>
  </si>
  <si>
    <t>Pringduri</t>
  </si>
  <si>
    <t>'113.96003</t>
  </si>
  <si>
    <t>'-7.82740</t>
  </si>
  <si>
    <t>Ramban Wet</t>
  </si>
  <si>
    <t>Ramban Kulon</t>
  </si>
  <si>
    <t>'114.03000</t>
  </si>
  <si>
    <t>'-7.80823</t>
  </si>
  <si>
    <t>SB.16</t>
  </si>
  <si>
    <t>Bercak</t>
  </si>
  <si>
    <t>'114.07760</t>
  </si>
  <si>
    <t>'-7.78970</t>
  </si>
  <si>
    <t>Sbr.Dumpyong</t>
  </si>
  <si>
    <t>Sumberdumpyong</t>
  </si>
  <si>
    <t>'113.74631</t>
  </si>
  <si>
    <t>'-7.88113</t>
  </si>
  <si>
    <t>Sbr.Gading</t>
  </si>
  <si>
    <t>Sumber Gading</t>
  </si>
  <si>
    <t>Sumberwringin</t>
  </si>
  <si>
    <t>'113.98749</t>
  </si>
  <si>
    <t>'-7.96885</t>
  </si>
  <si>
    <t>Selolembu</t>
  </si>
  <si>
    <t>Jeruksoksok</t>
  </si>
  <si>
    <t>Binakal</t>
  </si>
  <si>
    <t>'113.79662</t>
  </si>
  <si>
    <t>'-7.89685</t>
  </si>
  <si>
    <t>Sentral</t>
  </si>
  <si>
    <t>Badean</t>
  </si>
  <si>
    <t>'113.817597</t>
  </si>
  <si>
    <t>'-7.921663</t>
  </si>
  <si>
    <t>Sukokerto</t>
  </si>
  <si>
    <t>'113.89830</t>
  </si>
  <si>
    <t>'-7.98914</t>
  </si>
  <si>
    <t>'114.04582</t>
  </si>
  <si>
    <t>'-7.79968</t>
  </si>
  <si>
    <t>Taal</t>
  </si>
  <si>
    <t>'113.95073</t>
  </si>
  <si>
    <t>'-7.86261</t>
  </si>
  <si>
    <t>Talep</t>
  </si>
  <si>
    <t>'113.97729</t>
  </si>
  <si>
    <t>'-7.79188</t>
  </si>
  <si>
    <t>Tamanan</t>
  </si>
  <si>
    <t>'113.82802</t>
  </si>
  <si>
    <t>'-8.01390</t>
  </si>
  <si>
    <t>Tlogo</t>
  </si>
  <si>
    <t>'113.93613</t>
  </si>
  <si>
    <t>'-7.99645</t>
  </si>
  <si>
    <t>Wonoboyo</t>
  </si>
  <si>
    <t>Leprak</t>
  </si>
  <si>
    <t>'113.93639</t>
  </si>
  <si>
    <t>'-7.80306</t>
  </si>
  <si>
    <t>'113.89387</t>
  </si>
  <si>
    <t>'-7.88309</t>
  </si>
  <si>
    <t>Wonosari II</t>
  </si>
  <si>
    <t>'113.77285</t>
  </si>
  <si>
    <t>'-7.97468</t>
  </si>
  <si>
    <t>Wonosroyo</t>
  </si>
  <si>
    <t>Tumpeng</t>
  </si>
  <si>
    <t>'113.88266</t>
  </si>
  <si>
    <t>'-7.93349</t>
  </si>
  <si>
    <t>Wringin</t>
  </si>
  <si>
    <t>'113.7648858</t>
  </si>
  <si>
    <t>'-7.8361952</t>
  </si>
  <si>
    <t>Alas malang</t>
  </si>
  <si>
    <t>Situbondo</t>
  </si>
  <si>
    <t>'113.9822</t>
  </si>
  <si>
    <t>'-7.6769</t>
  </si>
  <si>
    <t>Arjasa</t>
  </si>
  <si>
    <t>'114.1209440</t>
  </si>
  <si>
    <t>'-7.7249720</t>
  </si>
  <si>
    <t>Besuki (BT.6)</t>
  </si>
  <si>
    <t>'113.703808</t>
  </si>
  <si>
    <t>'-7.732745</t>
  </si>
  <si>
    <t>Biting (BT.3)</t>
  </si>
  <si>
    <t>'113.71889</t>
  </si>
  <si>
    <t>'-7.75528</t>
  </si>
  <si>
    <t>Bungatan</t>
  </si>
  <si>
    <t>'113.798667</t>
  </si>
  <si>
    <t>'-7.738444</t>
  </si>
  <si>
    <t>Cab. Buduan</t>
  </si>
  <si>
    <t>Buduan</t>
  </si>
  <si>
    <t>Suboh</t>
  </si>
  <si>
    <t>'113.72750</t>
  </si>
  <si>
    <t>'-7.7413610</t>
  </si>
  <si>
    <t>D. Dawuhan</t>
  </si>
  <si>
    <t>'113.71845400000</t>
  </si>
  <si>
    <t>'-7.76238800000</t>
  </si>
  <si>
    <t>Dam Liwung / Banyuputih</t>
  </si>
  <si>
    <t>Bantal</t>
  </si>
  <si>
    <t>Asembagus</t>
  </si>
  <si>
    <t>'114.23786900000</t>
  </si>
  <si>
    <t>'-7.80867800000</t>
  </si>
  <si>
    <t>D. Nangger</t>
  </si>
  <si>
    <t>'113.73170000000</t>
  </si>
  <si>
    <t>'-7.78970000000</t>
  </si>
  <si>
    <t>D. Nogosromo</t>
  </si>
  <si>
    <t>'113.69390000000</t>
  </si>
  <si>
    <t>'-7.78170000000</t>
  </si>
  <si>
    <t>D. Setimbo</t>
  </si>
  <si>
    <t>Jatibanteng</t>
  </si>
  <si>
    <t>'113.68420000000</t>
  </si>
  <si>
    <t>'-7.77560000000</t>
  </si>
  <si>
    <t>D. Sluis</t>
  </si>
  <si>
    <t>'114.0078426</t>
  </si>
  <si>
    <t>'-7.7114539</t>
  </si>
  <si>
    <t>D. Wringin Anom</t>
  </si>
  <si>
    <t>'113.672167</t>
  </si>
  <si>
    <t>'-7.791914</t>
  </si>
  <si>
    <t>D.Baderan</t>
  </si>
  <si>
    <t>Baderan</t>
  </si>
  <si>
    <t>Sumbermalang</t>
  </si>
  <si>
    <t>'113.70250000000</t>
  </si>
  <si>
    <t>'-7.86220000000</t>
  </si>
  <si>
    <t>D.Curah Suri</t>
  </si>
  <si>
    <t>Lubawang</t>
  </si>
  <si>
    <t>Banyuglugur</t>
  </si>
  <si>
    <t>'113.67832200000</t>
  </si>
  <si>
    <t>'-7.76436000000</t>
  </si>
  <si>
    <t>D.Sampean lama</t>
  </si>
  <si>
    <t>Kotakan</t>
  </si>
  <si>
    <t>'114.01373200000</t>
  </si>
  <si>
    <t>'-7.72151200000</t>
  </si>
  <si>
    <t>D.Tunjang</t>
  </si>
  <si>
    <t>Widoropayung</t>
  </si>
  <si>
    <t>'113.70890000000</t>
  </si>
  <si>
    <t>'-7.78720000000</t>
  </si>
  <si>
    <t>Gebangan</t>
  </si>
  <si>
    <t>Kapongan</t>
  </si>
  <si>
    <t>'114.056876</t>
  </si>
  <si>
    <t>'-7.6746797</t>
  </si>
  <si>
    <t>Kalorkoran</t>
  </si>
  <si>
    <t>Sumberwaru</t>
  </si>
  <si>
    <t>Banyuputih</t>
  </si>
  <si>
    <t>'114.308444</t>
  </si>
  <si>
    <t>'-7.781821</t>
  </si>
  <si>
    <t>'114.06080</t>
  </si>
  <si>
    <t>'-7.69560</t>
  </si>
  <si>
    <t>KBA. 2 (Trigonco)</t>
  </si>
  <si>
    <t>'114.2172110</t>
  </si>
  <si>
    <t>'-7.7519410</t>
  </si>
  <si>
    <t>Kedungdowoo</t>
  </si>
  <si>
    <t>Kedungdowo</t>
  </si>
  <si>
    <t>'114.160623</t>
  </si>
  <si>
    <t>'-7.790359</t>
  </si>
  <si>
    <t>Kedungloo</t>
  </si>
  <si>
    <t>Kedunglo</t>
  </si>
  <si>
    <t>'114.19792800000</t>
  </si>
  <si>
    <t>'-7.79477400000</t>
  </si>
  <si>
    <t>Kendit</t>
  </si>
  <si>
    <t>'113.92640000000</t>
  </si>
  <si>
    <t>'-7.73440000000</t>
  </si>
  <si>
    <t>Kesambi rampak</t>
  </si>
  <si>
    <t>Kesambirampak</t>
  </si>
  <si>
    <t>'114.0464</t>
  </si>
  <si>
    <t>'-7.6906</t>
  </si>
  <si>
    <t>KG.2</t>
  </si>
  <si>
    <t>'114.23222</t>
  </si>
  <si>
    <t>'-7.76389</t>
  </si>
  <si>
    <t>Kg.aI</t>
  </si>
  <si>
    <t>'114.203353</t>
  </si>
  <si>
    <t>'-7.750452</t>
  </si>
  <si>
    <t>KP.2</t>
  </si>
  <si>
    <t>'114.220840</t>
  </si>
  <si>
    <t>'-7.778657</t>
  </si>
  <si>
    <t>'114.12921600000</t>
  </si>
  <si>
    <t>'-7.78603300000</t>
  </si>
  <si>
    <t>Mlandingan</t>
  </si>
  <si>
    <t>Mlandingan Kulon</t>
  </si>
  <si>
    <t>'113.771851</t>
  </si>
  <si>
    <t>'-7.7642420</t>
  </si>
  <si>
    <t>Olean</t>
  </si>
  <si>
    <t>'114.0110330</t>
  </si>
  <si>
    <t>'-7.6741130</t>
  </si>
  <si>
    <t>Panji lor</t>
  </si>
  <si>
    <t>Panji Lor</t>
  </si>
  <si>
    <t>Panji</t>
  </si>
  <si>
    <t>'114.04420</t>
  </si>
  <si>
    <t>'-7.70310</t>
  </si>
  <si>
    <t>Pesanggrahan</t>
  </si>
  <si>
    <t>Sopet</t>
  </si>
  <si>
    <t>Jangkar</t>
  </si>
  <si>
    <t>'114.16140000000</t>
  </si>
  <si>
    <t>'-7.74140000000</t>
  </si>
  <si>
    <t>Poka'an</t>
  </si>
  <si>
    <t>Pokaan</t>
  </si>
  <si>
    <t>'114.0594330</t>
  </si>
  <si>
    <t>'-7.6638750</t>
  </si>
  <si>
    <t>'114.16830</t>
  </si>
  <si>
    <t>'-7.791700</t>
  </si>
  <si>
    <t>Sumber anyar</t>
  </si>
  <si>
    <t>Sumberanyar</t>
  </si>
  <si>
    <t>'114.286322</t>
  </si>
  <si>
    <t>'-7.777388</t>
  </si>
  <si>
    <t>Sumber rejo</t>
  </si>
  <si>
    <t>'114.24262700000</t>
  </si>
  <si>
    <t>'-7.78947900000</t>
  </si>
  <si>
    <t>Sumberkolak</t>
  </si>
  <si>
    <t>'113.994441</t>
  </si>
  <si>
    <t>'-7.7133490</t>
  </si>
  <si>
    <t>Tanjung Banon</t>
  </si>
  <si>
    <t>Tanjung Kamal</t>
  </si>
  <si>
    <t>Mangaran</t>
  </si>
  <si>
    <t>'114.0648345</t>
  </si>
  <si>
    <t>'-7.66069113</t>
  </si>
  <si>
    <t>'114.06518523</t>
  </si>
  <si>
    <t>'-7.6649336</t>
  </si>
  <si>
    <t>Tanjung Pecinan</t>
  </si>
  <si>
    <t>Tanjung Pecitan</t>
  </si>
  <si>
    <t>'114.03560</t>
  </si>
  <si>
    <t>'-7.64330</t>
  </si>
  <si>
    <t>Tanjung Sari</t>
  </si>
  <si>
    <t>'114.05022000000</t>
  </si>
  <si>
    <t>'-7.66202500000</t>
  </si>
  <si>
    <t>Tenggir</t>
  </si>
  <si>
    <t>'114.038940</t>
  </si>
  <si>
    <t>'-7.6702360</t>
  </si>
  <si>
    <t>Tol-tol</t>
  </si>
  <si>
    <t>'114.1273055</t>
  </si>
  <si>
    <t>'-7.8092222</t>
  </si>
  <si>
    <t>Trebungan</t>
  </si>
  <si>
    <t>'114.01791500000</t>
  </si>
  <si>
    <t>'-7.64814300000</t>
  </si>
  <si>
    <t>Wonokoyo</t>
  </si>
  <si>
    <t>'114.0810950</t>
  </si>
  <si>
    <t>'-7.7211220</t>
  </si>
  <si>
    <t>Patemon</t>
  </si>
  <si>
    <t>'113.85156200000</t>
  </si>
  <si>
    <t>'-7.75162100000</t>
  </si>
  <si>
    <t>Campoan</t>
  </si>
  <si>
    <t>'113.837489</t>
  </si>
  <si>
    <t>'-7.786713</t>
  </si>
  <si>
    <t>Wringinanom SIT</t>
  </si>
  <si>
    <t>'113.976516</t>
  </si>
  <si>
    <t>'-7.70363</t>
  </si>
  <si>
    <t>Lebakharjo</t>
  </si>
  <si>
    <t>Ampelgading</t>
  </si>
  <si>
    <t>'112.91222</t>
  </si>
  <si>
    <t>'-8.30111</t>
  </si>
  <si>
    <t>Bondoyudo Bedadung</t>
  </si>
  <si>
    <t>Argoyuwono</t>
  </si>
  <si>
    <t>'112.890134</t>
  </si>
  <si>
    <t>'-8.198598</t>
  </si>
  <si>
    <t>Banyuputih Kidul</t>
  </si>
  <si>
    <t>Dawuan Wetan</t>
  </si>
  <si>
    <t>Rowokangkung</t>
  </si>
  <si>
    <t>Lumajang</t>
  </si>
  <si>
    <t>'113.27727</t>
  </si>
  <si>
    <t>'-8.11048</t>
  </si>
  <si>
    <t>Bendo LMJ</t>
  </si>
  <si>
    <t>Pasrujambe</t>
  </si>
  <si>
    <t>'113.05064</t>
  </si>
  <si>
    <t>'-8.12275</t>
  </si>
  <si>
    <t>Besuk (Tmp)</t>
  </si>
  <si>
    <t>Tempeh</t>
  </si>
  <si>
    <t>'113.18436</t>
  </si>
  <si>
    <t>'-8.17321</t>
  </si>
  <si>
    <t>Besuksat</t>
  </si>
  <si>
    <t>'113.01813</t>
  </si>
  <si>
    <t>'-8.11045</t>
  </si>
  <si>
    <t>'113.317174</t>
  </si>
  <si>
    <t>'-8.187402</t>
  </si>
  <si>
    <t>Blukon</t>
  </si>
  <si>
    <t>'113.30705</t>
  </si>
  <si>
    <t>'-8.18364</t>
  </si>
  <si>
    <t>Bodang</t>
  </si>
  <si>
    <t>Padang</t>
  </si>
  <si>
    <t>'113.13333</t>
  </si>
  <si>
    <t>'-8.09416</t>
  </si>
  <si>
    <t>Candipuro</t>
  </si>
  <si>
    <t>'113.07496</t>
  </si>
  <si>
    <t>'-8.18304</t>
  </si>
  <si>
    <t>Curah Koboan</t>
  </si>
  <si>
    <t>Supit Urang</t>
  </si>
  <si>
    <t>Pronojiwo</t>
  </si>
  <si>
    <t>'113.00424</t>
  </si>
  <si>
    <t>'-8.17204</t>
  </si>
  <si>
    <t>Dawuhan Lor</t>
  </si>
  <si>
    <t>Klanting</t>
  </si>
  <si>
    <t>'113.20419</t>
  </si>
  <si>
    <t>'-8.11799</t>
  </si>
  <si>
    <t>Gedang Mas</t>
  </si>
  <si>
    <t>Kalidilem</t>
  </si>
  <si>
    <t>Randuagung</t>
  </si>
  <si>
    <t>'113.31431</t>
  </si>
  <si>
    <t>'-8.08672</t>
  </si>
  <si>
    <t>Gucialit</t>
  </si>
  <si>
    <t>'113.15296</t>
  </si>
  <si>
    <t>'-8.06575</t>
  </si>
  <si>
    <t>Gunung Ringgit</t>
  </si>
  <si>
    <t>Jeruk</t>
  </si>
  <si>
    <t>'113.16937</t>
  </si>
  <si>
    <t>'-7.99440</t>
  </si>
  <si>
    <t>Gunung Sawur</t>
  </si>
  <si>
    <t>Ledoktempuro</t>
  </si>
  <si>
    <t>'113.018727</t>
  </si>
  <si>
    <t>'-8.1473484</t>
  </si>
  <si>
    <t>Jokarto</t>
  </si>
  <si>
    <t>'113.14874</t>
  </si>
  <si>
    <t>'-8.16349</t>
  </si>
  <si>
    <t>Kaliboto (JTR)</t>
  </si>
  <si>
    <t>Jatiroto</t>
  </si>
  <si>
    <t>'113.36663</t>
  </si>
  <si>
    <t>'-8.10894</t>
  </si>
  <si>
    <t>Kalipancing</t>
  </si>
  <si>
    <t>Tambah Rejo</t>
  </si>
  <si>
    <t>'113.05425</t>
  </si>
  <si>
    <t>'-8.15171</t>
  </si>
  <si>
    <t>Kalipenggung</t>
  </si>
  <si>
    <t>'113.3485170</t>
  </si>
  <si>
    <t>'-8.0831110</t>
  </si>
  <si>
    <t>Kebonsari (SKO)</t>
  </si>
  <si>
    <t>Sumbersuko</t>
  </si>
  <si>
    <t>'113.2083890</t>
  </si>
  <si>
    <t>'-8.1618640</t>
  </si>
  <si>
    <t>Kec.Pasirian</t>
  </si>
  <si>
    <t>Kalibendo</t>
  </si>
  <si>
    <t>Pasirian</t>
  </si>
  <si>
    <t>'113.09717</t>
  </si>
  <si>
    <t>'-8.23451</t>
  </si>
  <si>
    <t>Kedungjajang</t>
  </si>
  <si>
    <t>Kunir</t>
  </si>
  <si>
    <t>'113.24423</t>
  </si>
  <si>
    <t>'-8.07981</t>
  </si>
  <si>
    <t>Kedungsangku</t>
  </si>
  <si>
    <t>Banjarwaru</t>
  </si>
  <si>
    <t>'113.187745</t>
  </si>
  <si>
    <t>'-8.128936</t>
  </si>
  <si>
    <t>Kedungwringin</t>
  </si>
  <si>
    <t>Nguter</t>
  </si>
  <si>
    <t>'113.1275970</t>
  </si>
  <si>
    <t>'-8.1704310</t>
  </si>
  <si>
    <t>Kertosari</t>
  </si>
  <si>
    <t>'113.08381</t>
  </si>
  <si>
    <t>'-8.141308</t>
  </si>
  <si>
    <t>'113.221908</t>
  </si>
  <si>
    <t>'-8.221236</t>
  </si>
  <si>
    <t>Labruk Lor</t>
  </si>
  <si>
    <t>Lubruk Lor</t>
  </si>
  <si>
    <t>'113.206198</t>
  </si>
  <si>
    <t>'-8.1421160</t>
  </si>
  <si>
    <t>Maleman</t>
  </si>
  <si>
    <t>Yosowilangun</t>
  </si>
  <si>
    <t>'113.294711</t>
  </si>
  <si>
    <t>'-8.2330470</t>
  </si>
  <si>
    <t>Munggir</t>
  </si>
  <si>
    <t>'113.0415810</t>
  </si>
  <si>
    <t>'-8.1205110</t>
  </si>
  <si>
    <t>Nogosari</t>
  </si>
  <si>
    <t>'113.295633</t>
  </si>
  <si>
    <t>'-8.200522</t>
  </si>
  <si>
    <t>Bandaran</t>
  </si>
  <si>
    <t>'113.196280</t>
  </si>
  <si>
    <t>'-8.0038150</t>
  </si>
  <si>
    <t>'113.190201</t>
  </si>
  <si>
    <t>'-8.088934</t>
  </si>
  <si>
    <t>Pagowan</t>
  </si>
  <si>
    <t>Karanganom</t>
  </si>
  <si>
    <t>'113.1309530</t>
  </si>
  <si>
    <t>'-8.14654700</t>
  </si>
  <si>
    <t>Paleran</t>
  </si>
  <si>
    <t>Banyuputih Lor</t>
  </si>
  <si>
    <t>'113.286452</t>
  </si>
  <si>
    <t>'-8.088840</t>
  </si>
  <si>
    <t>Pasirian (Pas)</t>
  </si>
  <si>
    <t>'113.114214</t>
  </si>
  <si>
    <t>'-8.206486</t>
  </si>
  <si>
    <t>'113.058875</t>
  </si>
  <si>
    <t>'-8.1214110</t>
  </si>
  <si>
    <t>Tamanayu</t>
  </si>
  <si>
    <t>'112.952733</t>
  </si>
  <si>
    <t>'-8.240292</t>
  </si>
  <si>
    <t>Randu Agung</t>
  </si>
  <si>
    <t>'113.287014</t>
  </si>
  <si>
    <t>'-8.048325</t>
  </si>
  <si>
    <t>Ranu Klakah</t>
  </si>
  <si>
    <t>Tegalrandu</t>
  </si>
  <si>
    <t>Klakah</t>
  </si>
  <si>
    <t>'113.268342</t>
  </si>
  <si>
    <t>'-7.986317</t>
  </si>
  <si>
    <t>Ranu Pakis</t>
  </si>
  <si>
    <t>Ranupakis</t>
  </si>
  <si>
    <t>'113.267456</t>
  </si>
  <si>
    <t>'-8.001514</t>
  </si>
  <si>
    <t>Ranuyoso</t>
  </si>
  <si>
    <t>Ranubedali</t>
  </si>
  <si>
    <t>'113.269553</t>
  </si>
  <si>
    <t>'-7.954186</t>
  </si>
  <si>
    <t>Rojopolo</t>
  </si>
  <si>
    <t>'113.327100</t>
  </si>
  <si>
    <t>'-8.128162</t>
  </si>
  <si>
    <t>Sememu</t>
  </si>
  <si>
    <t>'113.132585</t>
  </si>
  <si>
    <t>'-8.197622</t>
  </si>
  <si>
    <t>Senduro</t>
  </si>
  <si>
    <t>'113.091561</t>
  </si>
  <si>
    <t>'-8.1022140</t>
  </si>
  <si>
    <t>Sukodono (Skd)</t>
  </si>
  <si>
    <t>Kutorenon</t>
  </si>
  <si>
    <t>'113.228558</t>
  </si>
  <si>
    <t>'-8.102989</t>
  </si>
  <si>
    <t>Sumber Pandan</t>
  </si>
  <si>
    <t>Sawaran Kulon</t>
  </si>
  <si>
    <t>'113.203456</t>
  </si>
  <si>
    <t>'-8.001085</t>
  </si>
  <si>
    <t>'112.997028</t>
  </si>
  <si>
    <t>'-8.180425</t>
  </si>
  <si>
    <t>Tekung</t>
  </si>
  <si>
    <t>'113.286636</t>
  </si>
  <si>
    <t>'-8.1786470</t>
  </si>
  <si>
    <t>Tempeh Kidul</t>
  </si>
  <si>
    <t>'113.178350</t>
  </si>
  <si>
    <t>'-8.2231022</t>
  </si>
  <si>
    <t>Tempeh Lor</t>
  </si>
  <si>
    <t>'113.178067</t>
  </si>
  <si>
    <t>'-8.194206</t>
  </si>
  <si>
    <t>Tempursari / Rawaan</t>
  </si>
  <si>
    <t>Tempursari</t>
  </si>
  <si>
    <t>'112.976775</t>
  </si>
  <si>
    <t>'-8.286503</t>
  </si>
  <si>
    <t>Umbul</t>
  </si>
  <si>
    <t>'113.26278300000</t>
  </si>
  <si>
    <t>'-8.09443100000</t>
  </si>
  <si>
    <t>Wonokerto (Yosowil)</t>
  </si>
  <si>
    <t>Wonokerto</t>
  </si>
  <si>
    <t>'113.2589080</t>
  </si>
  <si>
    <t>'-8.1600830</t>
  </si>
  <si>
    <t>Yosowilangun Lor / Cakru</t>
  </si>
  <si>
    <t>Tunjungrejo</t>
  </si>
  <si>
    <t>'113.311119</t>
  </si>
  <si>
    <t>'-8.279003</t>
  </si>
  <si>
    <t>Ajung</t>
  </si>
  <si>
    <t>Kalisat</t>
  </si>
  <si>
    <t>Jember</t>
  </si>
  <si>
    <t>'113.82150</t>
  </si>
  <si>
    <t>'-8.132967</t>
  </si>
  <si>
    <t>Ampel</t>
  </si>
  <si>
    <t>Wuluhan</t>
  </si>
  <si>
    <t>'113.5286830</t>
  </si>
  <si>
    <t>'-8.3532670</t>
  </si>
  <si>
    <t>Bedodo</t>
  </si>
  <si>
    <t>Gumukmas</t>
  </si>
  <si>
    <t>'113.382866</t>
  </si>
  <si>
    <t>'-8.338183</t>
  </si>
  <si>
    <t>Bintoro</t>
  </si>
  <si>
    <t>Patrang</t>
  </si>
  <si>
    <t>'113.70280</t>
  </si>
  <si>
    <t>'-8.125350</t>
  </si>
  <si>
    <t>Bagorejo</t>
  </si>
  <si>
    <t>'113.445350</t>
  </si>
  <si>
    <t>'-8.303350</t>
  </si>
  <si>
    <t>Balung</t>
  </si>
  <si>
    <t>Balunglor</t>
  </si>
  <si>
    <t>'113.53158300000</t>
  </si>
  <si>
    <t>'-8.28071700000</t>
  </si>
  <si>
    <t>Cumedak</t>
  </si>
  <si>
    <t>Sumberjambe</t>
  </si>
  <si>
    <t>'113.8924330</t>
  </si>
  <si>
    <t>'-8.097650</t>
  </si>
  <si>
    <t>Curahmalang</t>
  </si>
  <si>
    <t>Rambipuji</t>
  </si>
  <si>
    <t>'113.5674</t>
  </si>
  <si>
    <t>'-8.241550</t>
  </si>
  <si>
    <t>Dam  Arjasa</t>
  </si>
  <si>
    <t>'113.747517</t>
  </si>
  <si>
    <t>'-8.121767</t>
  </si>
  <si>
    <t>Dam  Karanganom</t>
  </si>
  <si>
    <t>Serut</t>
  </si>
  <si>
    <t>Panti</t>
  </si>
  <si>
    <t>'113.632267</t>
  </si>
  <si>
    <t>'-8.140567</t>
  </si>
  <si>
    <t>Dam  Klatakan</t>
  </si>
  <si>
    <t>Pakis</t>
  </si>
  <si>
    <t>'113.59385</t>
  </si>
  <si>
    <t>'-8.121717</t>
  </si>
  <si>
    <t>Dam  Makam</t>
  </si>
  <si>
    <t>Rambigundam</t>
  </si>
  <si>
    <t>'113.619050</t>
  </si>
  <si>
    <t>'-8.1943170</t>
  </si>
  <si>
    <t>Dam Manggis</t>
  </si>
  <si>
    <t>Sukorambi</t>
  </si>
  <si>
    <t>'113.650624</t>
  </si>
  <si>
    <t>'-8.1299593</t>
  </si>
  <si>
    <t>Dam Pono</t>
  </si>
  <si>
    <t>'113.6392830</t>
  </si>
  <si>
    <t>'-8.1519830</t>
  </si>
  <si>
    <t>Dam  Pecoro</t>
  </si>
  <si>
    <t>Pecoro</t>
  </si>
  <si>
    <t>'113.58595</t>
  </si>
  <si>
    <t>'-8.214550</t>
  </si>
  <si>
    <t>Dam  Semangir</t>
  </si>
  <si>
    <t>Mangli</t>
  </si>
  <si>
    <t>Kaliwates</t>
  </si>
  <si>
    <t>'113.652950</t>
  </si>
  <si>
    <t>'-8.1811670</t>
  </si>
  <si>
    <t>Dam  Sembah</t>
  </si>
  <si>
    <t>Gebang</t>
  </si>
  <si>
    <t>'113.69210</t>
  </si>
  <si>
    <t>'-8.156550</t>
  </si>
  <si>
    <t>Dam Talang</t>
  </si>
  <si>
    <t>Jenggawah</t>
  </si>
  <si>
    <t>'113.6940</t>
  </si>
  <si>
    <t>'-8.2630330</t>
  </si>
  <si>
    <t>Dam  Tegal  Batu</t>
  </si>
  <si>
    <t>Panduman</t>
  </si>
  <si>
    <t>Jelbuk</t>
  </si>
  <si>
    <t>'113.749683</t>
  </si>
  <si>
    <t>'-8.07536700</t>
  </si>
  <si>
    <t>Dam Tugusari</t>
  </si>
  <si>
    <t>Tugusari</t>
  </si>
  <si>
    <t>Bangsalsari</t>
  </si>
  <si>
    <t>'113.54490</t>
  </si>
  <si>
    <t>'-8.1678670</t>
  </si>
  <si>
    <t>Dam Kijingan</t>
  </si>
  <si>
    <t>Tisnogambar</t>
  </si>
  <si>
    <t>'113.567750</t>
  </si>
  <si>
    <t>'-8.195333</t>
  </si>
  <si>
    <t>Dam Langkap</t>
  </si>
  <si>
    <t>Langkap</t>
  </si>
  <si>
    <t>'113.543150</t>
  </si>
  <si>
    <t>'-8.201300</t>
  </si>
  <si>
    <t>Darungan</t>
  </si>
  <si>
    <t>'113.4763888</t>
  </si>
  <si>
    <t>'-8.1483333</t>
  </si>
  <si>
    <t>Grenden</t>
  </si>
  <si>
    <t>Puger</t>
  </si>
  <si>
    <t>'113.4709830</t>
  </si>
  <si>
    <t>'-8.3450830</t>
  </si>
  <si>
    <t>Glundengan</t>
  </si>
  <si>
    <t>'113.561083</t>
  </si>
  <si>
    <t>'-8.299083</t>
  </si>
  <si>
    <t>Gumelar  Timur</t>
  </si>
  <si>
    <t>Gumelar</t>
  </si>
  <si>
    <t>'113.5651330</t>
  </si>
  <si>
    <t>'-8.248750</t>
  </si>
  <si>
    <t>Gumukmas ( BT )</t>
  </si>
  <si>
    <t>'113.40490</t>
  </si>
  <si>
    <t>'-8.2834830</t>
  </si>
  <si>
    <t>Gumukmas ( KT )</t>
  </si>
  <si>
    <t>'113.398133</t>
  </si>
  <si>
    <t>'-8.30205</t>
  </si>
  <si>
    <t>Jatian</t>
  </si>
  <si>
    <t>Pakusari</t>
  </si>
  <si>
    <t>'113.796233</t>
  </si>
  <si>
    <t>'-8.1498170</t>
  </si>
  <si>
    <t>Cangkring</t>
  </si>
  <si>
    <t>'113.674099</t>
  </si>
  <si>
    <t>'-8.299449</t>
  </si>
  <si>
    <t>'113.707633</t>
  </si>
  <si>
    <t>'-8.195233</t>
  </si>
  <si>
    <t>Jambearum</t>
  </si>
  <si>
    <t>'113.5111330</t>
  </si>
  <si>
    <t>'-8.2944670</t>
  </si>
  <si>
    <t>'113.650633</t>
  </si>
  <si>
    <t>'-8.254100</t>
  </si>
  <si>
    <t>'113.5878</t>
  </si>
  <si>
    <t>'-8.354199</t>
  </si>
  <si>
    <t>Kopang</t>
  </si>
  <si>
    <t>Darsono</t>
  </si>
  <si>
    <t>'113.719233</t>
  </si>
  <si>
    <t>'-8.1049170</t>
  </si>
  <si>
    <t>Kottok</t>
  </si>
  <si>
    <t>Bedadung</t>
  </si>
  <si>
    <t>'113.771083</t>
  </si>
  <si>
    <t>'-8.121600</t>
  </si>
  <si>
    <t>Karang Anyar</t>
  </si>
  <si>
    <t>Ambulu</t>
  </si>
  <si>
    <t>'113.60835</t>
  </si>
  <si>
    <t>'-8.3428833</t>
  </si>
  <si>
    <t>Karangduren</t>
  </si>
  <si>
    <t>'113.48980</t>
  </si>
  <si>
    <t>'-8.2718170</t>
  </si>
  <si>
    <t>Kemuningsari</t>
  </si>
  <si>
    <t>Kemuningsarikidul</t>
  </si>
  <si>
    <t>'113.615266</t>
  </si>
  <si>
    <t>'-8.287283</t>
  </si>
  <si>
    <t>Kencong (28K)</t>
  </si>
  <si>
    <t>'113.37196</t>
  </si>
  <si>
    <t>'-8.270000</t>
  </si>
  <si>
    <t>'113.368383</t>
  </si>
  <si>
    <t>'-8.273116</t>
  </si>
  <si>
    <t>Karang Kedawung</t>
  </si>
  <si>
    <t>Mumbulsari</t>
  </si>
  <si>
    <t>'113.755050</t>
  </si>
  <si>
    <t>'-8.233917</t>
  </si>
  <si>
    <t>Lojejer</t>
  </si>
  <si>
    <t>'113.5076830</t>
  </si>
  <si>
    <t>'-8.3490000</t>
  </si>
  <si>
    <t>Ledokombo</t>
  </si>
  <si>
    <t>'113.870233</t>
  </si>
  <si>
    <t>'-8.141189</t>
  </si>
  <si>
    <t>'113.787250</t>
  </si>
  <si>
    <t>'-8.1773500</t>
  </si>
  <si>
    <t>'113.49960</t>
  </si>
  <si>
    <t>'-8.3346330</t>
  </si>
  <si>
    <t>Umbulsari</t>
  </si>
  <si>
    <t>'113.477767</t>
  </si>
  <si>
    <t>'-8.229917</t>
  </si>
  <si>
    <t>Pladingan</t>
  </si>
  <si>
    <t>Ngampelrejo</t>
  </si>
  <si>
    <t>'113.35175000000</t>
  </si>
  <si>
    <t>'-8.22798300000</t>
  </si>
  <si>
    <t>Pondokjoyo</t>
  </si>
  <si>
    <t>Semboro</t>
  </si>
  <si>
    <t>'113.42885</t>
  </si>
  <si>
    <t>'-8.1500166</t>
  </si>
  <si>
    <t>Pondokwaluh</t>
  </si>
  <si>
    <t>Wringinagung</t>
  </si>
  <si>
    <t>'113.3891999</t>
  </si>
  <si>
    <t>'-8.221866</t>
  </si>
  <si>
    <t>'113.6110330</t>
  </si>
  <si>
    <t>'-8.2070670</t>
  </si>
  <si>
    <t>Rawatamtu</t>
  </si>
  <si>
    <t>Rowotamtu</t>
  </si>
  <si>
    <t>'113.584233</t>
  </si>
  <si>
    <t>'-8.229750</t>
  </si>
  <si>
    <t>Renes (Ajung)</t>
  </si>
  <si>
    <t>'113.66950</t>
  </si>
  <si>
    <t>'-8.213733</t>
  </si>
  <si>
    <t>Silo</t>
  </si>
  <si>
    <t>'113.8669170</t>
  </si>
  <si>
    <t>'-8.1953000</t>
  </si>
  <si>
    <t>Suren</t>
  </si>
  <si>
    <t>'113.8490670</t>
  </si>
  <si>
    <t>'-8.163900</t>
  </si>
  <si>
    <t>Sabrang  DM. 4</t>
  </si>
  <si>
    <t>Sabrang</t>
  </si>
  <si>
    <t>'113.5424</t>
  </si>
  <si>
    <t>'-8.3889670</t>
  </si>
  <si>
    <t>Sabrang  SB. 1</t>
  </si>
  <si>
    <t>'113.596916</t>
  </si>
  <si>
    <t>'-8.3751999</t>
  </si>
  <si>
    <t>Sanenrejo</t>
  </si>
  <si>
    <t>'113.7858166</t>
  </si>
  <si>
    <t>'-8.36286</t>
  </si>
  <si>
    <t>Sbr.  Jambe</t>
  </si>
  <si>
    <t>'113.899433</t>
  </si>
  <si>
    <t>'-8.065367</t>
  </si>
  <si>
    <t>Sbr.  Kalong</t>
  </si>
  <si>
    <t>Sumberkalong</t>
  </si>
  <si>
    <t>'113.822033</t>
  </si>
  <si>
    <t>'-8.083233</t>
  </si>
  <si>
    <t>'113.4477170</t>
  </si>
  <si>
    <t>'-8.209500</t>
  </si>
  <si>
    <t>Seputih</t>
  </si>
  <si>
    <t>Mayang</t>
  </si>
  <si>
    <t>'113.791517</t>
  </si>
  <si>
    <t>'-8.195300</t>
  </si>
  <si>
    <t>Sukowono</t>
  </si>
  <si>
    <t>'113.837516</t>
  </si>
  <si>
    <t>'-8.087673</t>
  </si>
  <si>
    <t>'113.530233</t>
  </si>
  <si>
    <t>'-8.221750</t>
  </si>
  <si>
    <t>'113.834817</t>
  </si>
  <si>
    <t>'-8.051133</t>
  </si>
  <si>
    <t>Sumber Jati</t>
  </si>
  <si>
    <t>Sumberjati</t>
  </si>
  <si>
    <t>'113.885083</t>
  </si>
  <si>
    <t>'-8.191933</t>
  </si>
  <si>
    <t>'113.59395</t>
  </si>
  <si>
    <t>'-8.4009170</t>
  </si>
  <si>
    <t>'113.5470330</t>
  </si>
  <si>
    <t>'-8.3012170</t>
  </si>
  <si>
    <t>Tanggul JBR</t>
  </si>
  <si>
    <t>Tanggulkulon</t>
  </si>
  <si>
    <t>'113.44995</t>
  </si>
  <si>
    <t>'-8.162966</t>
  </si>
  <si>
    <t>Tanjungrejo</t>
  </si>
  <si>
    <t>'113.567617</t>
  </si>
  <si>
    <t>'-8.327350</t>
  </si>
  <si>
    <t>'113.691749</t>
  </si>
  <si>
    <t>'-8.290350</t>
  </si>
  <si>
    <t>Watuurip</t>
  </si>
  <si>
    <t>Pringgowirawan</t>
  </si>
  <si>
    <t>Sumberbaru</t>
  </si>
  <si>
    <t>'113.416483</t>
  </si>
  <si>
    <t>'-8.121950</t>
  </si>
  <si>
    <t>Wirolegi</t>
  </si>
  <si>
    <t>'113.7391670</t>
  </si>
  <si>
    <t>'-8.194417</t>
  </si>
  <si>
    <t>Wonorejo JMBR</t>
  </si>
  <si>
    <t>'113.40385</t>
  </si>
  <si>
    <t>'-8.269000</t>
  </si>
  <si>
    <t>Wringin Agung</t>
  </si>
  <si>
    <t>'113.407166</t>
  </si>
  <si>
    <t>'-8.190766</t>
  </si>
  <si>
    <t>Menampu</t>
  </si>
  <si>
    <t>'113.412433</t>
  </si>
  <si>
    <t>'-8.326533</t>
  </si>
  <si>
    <t>Karang Bayat</t>
  </si>
  <si>
    <t>Karangbayat</t>
  </si>
  <si>
    <t>'113.432274</t>
  </si>
  <si>
    <t>'-8.077748</t>
  </si>
  <si>
    <t>Jamintoro</t>
  </si>
  <si>
    <t>'113.359393</t>
  </si>
  <si>
    <t>'-8.061226</t>
  </si>
  <si>
    <t>Gunung Pasang</t>
  </si>
  <si>
    <t>'113.637653</t>
  </si>
  <si>
    <t>'-8.101043</t>
  </si>
  <si>
    <t>Karangpring</t>
  </si>
  <si>
    <t>'113.662197</t>
  </si>
  <si>
    <t>'-8.094567</t>
  </si>
  <si>
    <t>Kemuning Lor</t>
  </si>
  <si>
    <t>Kemuninglor</t>
  </si>
  <si>
    <t>'113.6940822</t>
  </si>
  <si>
    <t>'-8.0887820</t>
  </si>
  <si>
    <t>Burneh Dam Tunjung</t>
  </si>
  <si>
    <t>PSDA di Pamekasan</t>
  </si>
  <si>
    <t>Burneh</t>
  </si>
  <si>
    <t>Bangkalan</t>
  </si>
  <si>
    <t>'112.78610</t>
  </si>
  <si>
    <t>'-7.047326</t>
  </si>
  <si>
    <t>Madura Bawean</t>
  </si>
  <si>
    <t>Kokop</t>
  </si>
  <si>
    <t>'113.030014</t>
  </si>
  <si>
    <t>'-6.942599</t>
  </si>
  <si>
    <t>Galis Bangkalan</t>
  </si>
  <si>
    <t>Galis</t>
  </si>
  <si>
    <t>'112.962505</t>
  </si>
  <si>
    <t>'-7.112833</t>
  </si>
  <si>
    <t>'112.887887</t>
  </si>
  <si>
    <t>'-6.974319</t>
  </si>
  <si>
    <t>Kamal</t>
  </si>
  <si>
    <t>'112.716308</t>
  </si>
  <si>
    <t>'-7.153075</t>
  </si>
  <si>
    <t>Klampis Bangkalan</t>
  </si>
  <si>
    <t>Klampis</t>
  </si>
  <si>
    <t>'112.903600</t>
  </si>
  <si>
    <t>'-6.894600</t>
  </si>
  <si>
    <t>Konang</t>
  </si>
  <si>
    <t>'113.08852900000</t>
  </si>
  <si>
    <t>'-7.07547000000</t>
  </si>
  <si>
    <t>Kwanyar</t>
  </si>
  <si>
    <t>'112.859227</t>
  </si>
  <si>
    <t>'-7.155317</t>
  </si>
  <si>
    <t>Modung</t>
  </si>
  <si>
    <t>'113.031532</t>
  </si>
  <si>
    <t>'-7.210957</t>
  </si>
  <si>
    <t>Sepulu</t>
  </si>
  <si>
    <t>'112.956677</t>
  </si>
  <si>
    <t>'-6.896522</t>
  </si>
  <si>
    <t>Socah</t>
  </si>
  <si>
    <t>'112.709131</t>
  </si>
  <si>
    <t>'-7.088266</t>
  </si>
  <si>
    <t>Sukolelo</t>
  </si>
  <si>
    <t>'112.80058100000</t>
  </si>
  <si>
    <t>'-7.15121100000</t>
  </si>
  <si>
    <t>Tanah merah</t>
  </si>
  <si>
    <t>Tanah Merah</t>
  </si>
  <si>
    <t>'112.889487</t>
  </si>
  <si>
    <t>'-7.091893</t>
  </si>
  <si>
    <t>Tanjung bumi</t>
  </si>
  <si>
    <t>Tanjung Bumi</t>
  </si>
  <si>
    <t>'113.07450000000</t>
  </si>
  <si>
    <t>'-6.89090000000</t>
  </si>
  <si>
    <t>Tragah</t>
  </si>
  <si>
    <t>'112.830321</t>
  </si>
  <si>
    <t>'-7.102538</t>
  </si>
  <si>
    <t>Tellok</t>
  </si>
  <si>
    <t>'112.99309300000</t>
  </si>
  <si>
    <t>'-7.08974000000</t>
  </si>
  <si>
    <t>Arosbaya</t>
  </si>
  <si>
    <t>'112.841233</t>
  </si>
  <si>
    <t>'-6.947663</t>
  </si>
  <si>
    <t>'112.75030000000</t>
  </si>
  <si>
    <t>'-7.02960000000</t>
  </si>
  <si>
    <t>Blega</t>
  </si>
  <si>
    <t>'113.061441</t>
  </si>
  <si>
    <t>'-7.128933</t>
  </si>
  <si>
    <t>Banyuates</t>
  </si>
  <si>
    <t>Sampang</t>
  </si>
  <si>
    <t>'113.143882</t>
  </si>
  <si>
    <t>'-6.920352</t>
  </si>
  <si>
    <t>Camplong</t>
  </si>
  <si>
    <t>'113.322252</t>
  </si>
  <si>
    <t>'-7.215322</t>
  </si>
  <si>
    <t>Jrengik</t>
  </si>
  <si>
    <t>'113.143296</t>
  </si>
  <si>
    <t>'-7.125683</t>
  </si>
  <si>
    <t>Kedungdung</t>
  </si>
  <si>
    <t>'113.24226800000</t>
  </si>
  <si>
    <t>'-7.10851600000</t>
  </si>
  <si>
    <t>Ketapang</t>
  </si>
  <si>
    <t>'113.26883300000</t>
  </si>
  <si>
    <t>'-6.89882600000</t>
  </si>
  <si>
    <t>Karang penang</t>
  </si>
  <si>
    <t>Karangpenang</t>
  </si>
  <si>
    <t>'113.375660</t>
  </si>
  <si>
    <t>'-7.014600</t>
  </si>
  <si>
    <t>Nipah / Tebanah</t>
  </si>
  <si>
    <t>Tebanah</t>
  </si>
  <si>
    <t>'113.19362000000</t>
  </si>
  <si>
    <t>'-6.93440800000</t>
  </si>
  <si>
    <t>Omben</t>
  </si>
  <si>
    <t>'113.332528</t>
  </si>
  <si>
    <t>'-7.117583</t>
  </si>
  <si>
    <t>Robatal</t>
  </si>
  <si>
    <t>'113.278109</t>
  </si>
  <si>
    <t>'-7.001916</t>
  </si>
  <si>
    <t>'113.238121</t>
  </si>
  <si>
    <t>'-7.183127</t>
  </si>
  <si>
    <t>Sokobanah</t>
  </si>
  <si>
    <t>'113.427316</t>
  </si>
  <si>
    <t>'-6.889115</t>
  </si>
  <si>
    <t>Tambelengan</t>
  </si>
  <si>
    <t>Tambelangan</t>
  </si>
  <si>
    <t>'113.164700</t>
  </si>
  <si>
    <t>'-7.065600</t>
  </si>
  <si>
    <t>Torjun</t>
  </si>
  <si>
    <t>'113.19390000000</t>
  </si>
  <si>
    <t>'-7.15140000000</t>
  </si>
  <si>
    <t>Waduk Klampis</t>
  </si>
  <si>
    <t>Kramat</t>
  </si>
  <si>
    <t>'113.22194</t>
  </si>
  <si>
    <t>'-7.1075</t>
  </si>
  <si>
    <t>Proppo</t>
  </si>
  <si>
    <t>Pamekasan</t>
  </si>
  <si>
    <t>'113.410100</t>
  </si>
  <si>
    <t>'-7.124000</t>
  </si>
  <si>
    <t>Toronan</t>
  </si>
  <si>
    <t>'113.48611800000</t>
  </si>
  <si>
    <t>'-7.13509900000</t>
  </si>
  <si>
    <t>Klampar</t>
  </si>
  <si>
    <t>'113.460612</t>
  </si>
  <si>
    <t>'-7.141758</t>
  </si>
  <si>
    <t>Tlanakan</t>
  </si>
  <si>
    <t>Ceguk</t>
  </si>
  <si>
    <t>'113.457120</t>
  </si>
  <si>
    <t>'-7.214702</t>
  </si>
  <si>
    <t>Pademawu</t>
  </si>
  <si>
    <t>Mongging</t>
  </si>
  <si>
    <t>'113.531361</t>
  </si>
  <si>
    <t>'-7.203861</t>
  </si>
  <si>
    <t>Panempan</t>
  </si>
  <si>
    <t>'113.479954</t>
  </si>
  <si>
    <t>'-7.178844</t>
  </si>
  <si>
    <t>Kec.Larangan</t>
  </si>
  <si>
    <t>Larangan Luar</t>
  </si>
  <si>
    <t>Larangan</t>
  </si>
  <si>
    <t>'113.547891</t>
  </si>
  <si>
    <t>'-7.129786</t>
  </si>
  <si>
    <t>'113.548362</t>
  </si>
  <si>
    <t>'-7.143039</t>
  </si>
  <si>
    <t>Palengaan</t>
  </si>
  <si>
    <t>Palenggaan</t>
  </si>
  <si>
    <t>'113.430887</t>
  </si>
  <si>
    <t>'-7.062895</t>
  </si>
  <si>
    <t>Pegantenan</t>
  </si>
  <si>
    <t>'113.482529</t>
  </si>
  <si>
    <t>'-7.046297</t>
  </si>
  <si>
    <t>Waru</t>
  </si>
  <si>
    <t>'113.550398</t>
  </si>
  <si>
    <t>'-6.942035</t>
  </si>
  <si>
    <t>Pakong</t>
  </si>
  <si>
    <t>'113.547706</t>
  </si>
  <si>
    <t>'-7.031256</t>
  </si>
  <si>
    <t>kadur</t>
  </si>
  <si>
    <t>Kadur</t>
  </si>
  <si>
    <t>'113.556607</t>
  </si>
  <si>
    <t>'-7.100429</t>
  </si>
  <si>
    <t>Pasean</t>
  </si>
  <si>
    <t>'113.586502</t>
  </si>
  <si>
    <t>'-6.890288</t>
  </si>
  <si>
    <t>Lawangan Daya</t>
  </si>
  <si>
    <t>'113.497719</t>
  </si>
  <si>
    <t>'-7.153863</t>
  </si>
  <si>
    <t>Samiran</t>
  </si>
  <si>
    <t>'113.442397</t>
  </si>
  <si>
    <t>'-7.149404</t>
  </si>
  <si>
    <t>Pasongsongan</t>
  </si>
  <si>
    <t>Sumenep</t>
  </si>
  <si>
    <t>'113.65890000000</t>
  </si>
  <si>
    <t>'-6.89030000000</t>
  </si>
  <si>
    <t>Ambunten</t>
  </si>
  <si>
    <t>'113.74250000000</t>
  </si>
  <si>
    <t>'-6.89280000000</t>
  </si>
  <si>
    <t>Dasuk</t>
  </si>
  <si>
    <t>'113.80690000000</t>
  </si>
  <si>
    <t>'-6.89690000000</t>
  </si>
  <si>
    <t>Rubaru</t>
  </si>
  <si>
    <t>'113.7519366</t>
  </si>
  <si>
    <t>'-6.9571833</t>
  </si>
  <si>
    <t>Kebonagung SUM</t>
  </si>
  <si>
    <t>Kebonagong</t>
  </si>
  <si>
    <t>'113.8483</t>
  </si>
  <si>
    <t>'-7.0039</t>
  </si>
  <si>
    <t>Dam Jepun</t>
  </si>
  <si>
    <t>Lenteng Timur</t>
  </si>
  <si>
    <t>Lenteng</t>
  </si>
  <si>
    <t>'113.77610000000</t>
  </si>
  <si>
    <t>'-7.03890000000</t>
  </si>
  <si>
    <t>Guluk guluk</t>
  </si>
  <si>
    <t>Guluk-Guluk</t>
  </si>
  <si>
    <t>'113.67620000000</t>
  </si>
  <si>
    <t>'-7.05450000000</t>
  </si>
  <si>
    <t>Pragaan</t>
  </si>
  <si>
    <t>'-7.11080000000</t>
  </si>
  <si>
    <t>Ganding</t>
  </si>
  <si>
    <t>'113.69000000000</t>
  </si>
  <si>
    <t>'-7.04110000000</t>
  </si>
  <si>
    <t>Batu putih</t>
  </si>
  <si>
    <t>Batu Putih</t>
  </si>
  <si>
    <t>'113.91780000000</t>
  </si>
  <si>
    <t>'-6.93060000000</t>
  </si>
  <si>
    <t>Manding</t>
  </si>
  <si>
    <t>'113.87190000000</t>
  </si>
  <si>
    <t>'-6.95080000000</t>
  </si>
  <si>
    <t>Parsanga</t>
  </si>
  <si>
    <t>'113.88080000000</t>
  </si>
  <si>
    <t>'-7.00310000000</t>
  </si>
  <si>
    <t>PU SDA Sumenep</t>
  </si>
  <si>
    <t>Pangarangan</t>
  </si>
  <si>
    <t>'113.86860</t>
  </si>
  <si>
    <t>'-7.008600</t>
  </si>
  <si>
    <t>Gapura</t>
  </si>
  <si>
    <t>'113.95890000000</t>
  </si>
  <si>
    <t>'-6.99750000000</t>
  </si>
  <si>
    <t>Bluto</t>
  </si>
  <si>
    <t>'113.81140000000</t>
  </si>
  <si>
    <t>'-7.10500000000</t>
  </si>
  <si>
    <t>Saronggi</t>
  </si>
  <si>
    <t>'113.82860000000</t>
  </si>
  <si>
    <t>'-7.08280000000</t>
  </si>
  <si>
    <t>Batang batang</t>
  </si>
  <si>
    <t>Batang Batang</t>
  </si>
  <si>
    <t>'113.99780000000</t>
  </si>
  <si>
    <t>'-6.94670000000</t>
  </si>
  <si>
    <t>Dungkek</t>
  </si>
  <si>
    <t>'114.09250000000</t>
  </si>
  <si>
    <t>'-6.97780000000</t>
  </si>
  <si>
    <t>'113.784834</t>
  </si>
  <si>
    <t>'-7.028005</t>
  </si>
  <si>
    <t>Talango</t>
  </si>
  <si>
    <t>'113.952045</t>
  </si>
  <si>
    <t>'-7.063621</t>
  </si>
  <si>
    <t>Daftar Pos Hujan WS Madura Bawean</t>
  </si>
  <si>
    <t>No</t>
  </si>
  <si>
    <t>Bulanan dan Rerata Tahunan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</si>
  <si>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</si>
  <si>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</si>
  <si>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</si>
  <si>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</si>
  <si>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</si>
  <si>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</si>
  <si>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</si>
  <si>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</si>
  <si>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</si>
  <si>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</si>
  <si>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</si>
  <si>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</si>
  <si>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Rata-rata Tahunan</t>
  </si>
  <si>
    <t>RATA - RATA BULANAN</t>
  </si>
  <si>
    <t>MAX</t>
  </si>
  <si>
    <t>TAHUN</t>
  </si>
  <si>
    <t>Hujan</t>
  </si>
  <si>
    <t>Rata - Rata Bulanan</t>
  </si>
  <si>
    <t>Maksimum Harian</t>
  </si>
  <si>
    <t>DATA  CURAH  HUJAN HARIAN</t>
  </si>
  <si>
    <t>Nama Stasiun</t>
  </si>
  <si>
    <t>Desa/Kelurahan</t>
  </si>
  <si>
    <t xml:space="preserve">Kode Database </t>
  </si>
  <si>
    <t xml:space="preserve">Kode Sta.    </t>
  </si>
  <si>
    <t>AWAL</t>
  </si>
  <si>
    <t xml:space="preserve">Lintang Selatan </t>
  </si>
  <si>
    <t>Kab./Kota</t>
  </si>
  <si>
    <t xml:space="preserve">Tipe Alat  </t>
  </si>
  <si>
    <t xml:space="preserve">Bujur Timur  </t>
  </si>
  <si>
    <t xml:space="preserve">Pengelola  </t>
  </si>
  <si>
    <t>AKHIR</t>
  </si>
  <si>
    <t>m dpl</t>
  </si>
  <si>
    <t>TANGGAL</t>
  </si>
  <si>
    <t>B U L A N (mm)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</si>
  <si>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</si>
  <si>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</si>
  <si>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</si>
  <si>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</si>
  <si>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</si>
  <si>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</si>
  <si>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</si>
  <si>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</si>
  <si>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</si>
  <si>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</si>
  <si>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</si>
  <si>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</si>
  <si>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BULANAN</t>
  </si>
  <si>
    <t>Periode 1</t>
  </si>
  <si>
    <t>Periode 2</t>
  </si>
  <si>
    <t>Periode 3</t>
  </si>
  <si>
    <t>Hari Hujan</t>
  </si>
  <si>
    <t>Hujan Maks</t>
  </si>
  <si>
    <t>ARGOYUWONO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</si>
</sst>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"/>
    <numFmt numFmtId="167" formatCode="@* &quot;:&quot;"/>
  </numFmts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1"/>
      <color theme="4"/>
      <name val="Times New Roman"/>
      <family val="1"/>
    </font>
    <font>
      <sz val="10"/>
      <color theme="4"/>
      <name val="Times New Roman"/>
      <family val="1"/>
    </font>
    <font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u/>
      <sz val="12"/>
      <name val="Arial Narrow"/>
      <family val="2"/>
    </font>
    <font>
      <u/>
      <sz val="12"/>
      <name val="Copperplate Gothic Bold"/>
      <family val="2"/>
    </font>
    <font>
      <b/>
      <sz val="12"/>
      <name val="Arial Narrow"/>
      <family val="2"/>
    </font>
    <font>
      <sz val="10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8"/>
      <name val="Arial Narrow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6E761"/>
        <bgColor rgb="FF96E761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22" fillId="0" borderId="0"/>
  </cellStyleXfs>
  <cellXfs count="152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3" fillId="3" borderId="0" xfId="1" applyFill="1"/>
    <xf numFmtId="0" fontId="3" fillId="0" borderId="1" xfId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165" fontId="3" fillId="0" borderId="1" xfId="2" applyNumberFormat="1" applyBorder="1" applyAlignment="1">
      <alignment horizontal="center" vertical="center"/>
    </xf>
    <xf numFmtId="2" fontId="3" fillId="0" borderId="1" xfId="2" applyNumberFormat="1" applyBorder="1" applyAlignment="1">
      <alignment horizontal="center" vertical="center"/>
    </xf>
    <xf numFmtId="165" fontId="3" fillId="0" borderId="0" xfId="1" applyNumberFormat="1"/>
    <xf numFmtId="0" fontId="5" fillId="0" borderId="1" xfId="1" applyFont="1" applyBorder="1" applyAlignment="1">
      <alignment horizontal="center"/>
    </xf>
    <xf numFmtId="165" fontId="5" fillId="0" borderId="1" xfId="2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165" fontId="3" fillId="3" borderId="0" xfId="1" applyNumberFormat="1" applyFill="1"/>
    <xf numFmtId="0" fontId="6" fillId="0" borderId="1" xfId="2" applyFont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center" vertical="center"/>
    </xf>
    <xf numFmtId="2" fontId="6" fillId="3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8" fillId="0" borderId="1" xfId="2" applyNumberFormat="1" applyFont="1" applyBorder="1" applyAlignment="1">
      <alignment horizontal="center" vertical="center"/>
    </xf>
    <xf numFmtId="165" fontId="3" fillId="0" borderId="0" xfId="1" applyNumberFormat="1" applyAlignment="1">
      <alignment horizontal="center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166" fontId="10" fillId="0" borderId="1" xfId="1" applyNumberFormat="1" applyFont="1" applyBorder="1" applyAlignment="1">
      <alignment horizontal="center" vertical="center"/>
    </xf>
    <xf numFmtId="1" fontId="11" fillId="0" borderId="0" xfId="1" applyNumberFormat="1" applyFont="1"/>
    <xf numFmtId="0" fontId="8" fillId="0" borderId="0" xfId="1" applyFont="1"/>
    <xf numFmtId="0" fontId="8" fillId="0" borderId="0" xfId="1" applyFont="1" applyAlignment="1">
      <alignment horizontal="center"/>
    </xf>
    <xf numFmtId="0" fontId="11" fillId="0" borderId="0" xfId="1" applyFont="1"/>
    <xf numFmtId="0" fontId="11" fillId="0" borderId="0" xfId="1" applyFont="1" applyAlignment="1">
      <alignment horizontal="center"/>
    </xf>
    <xf numFmtId="0" fontId="11" fillId="4" borderId="2" xfId="1" applyFont="1" applyFill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1" fontId="12" fillId="0" borderId="3" xfId="1" applyNumberFormat="1" applyFont="1" applyBorder="1" applyAlignment="1">
      <alignment horizontal="center"/>
    </xf>
    <xf numFmtId="2" fontId="12" fillId="0" borderId="1" xfId="1" applyNumberFormat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2" fontId="12" fillId="0" borderId="0" xfId="1" applyNumberFormat="1" applyFont="1" applyAlignment="1">
      <alignment horizontal="center"/>
    </xf>
    <xf numFmtId="0" fontId="8" fillId="5" borderId="5" xfId="1" applyFont="1" applyFill="1" applyBorder="1" applyAlignment="1">
      <alignment horizontal="left"/>
    </xf>
    <xf numFmtId="0" fontId="8" fillId="5" borderId="6" xfId="1" applyFont="1" applyFill="1" applyBorder="1"/>
    <xf numFmtId="1" fontId="8" fillId="5" borderId="1" xfId="1" applyNumberFormat="1" applyFont="1" applyFill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8" fillId="0" borderId="7" xfId="1" applyFont="1" applyBorder="1"/>
    <xf numFmtId="1" fontId="8" fillId="0" borderId="7" xfId="1" applyNumberFormat="1" applyFont="1" applyBorder="1" applyAlignment="1">
      <alignment horizontal="center"/>
    </xf>
    <xf numFmtId="0" fontId="8" fillId="0" borderId="0" xfId="1" applyFont="1" applyAlignment="1">
      <alignment horizontal="left"/>
    </xf>
    <xf numFmtId="1" fontId="8" fillId="0" borderId="0" xfId="1" applyNumberFormat="1" applyFont="1" applyAlignment="1">
      <alignment horizontal="center"/>
    </xf>
    <xf numFmtId="1" fontId="12" fillId="3" borderId="3" xfId="1" applyNumberFormat="1" applyFont="1" applyFill="1" applyBorder="1" applyAlignment="1">
      <alignment horizontal="center"/>
    </xf>
    <xf numFmtId="0" fontId="15" fillId="0" borderId="0" xfId="1" applyFont="1" applyAlignment="1">
      <alignment horizontal="centerContinuous"/>
    </xf>
    <xf numFmtId="0" fontId="16" fillId="0" borderId="0" xfId="1" applyFont="1" applyAlignment="1">
      <alignment horizontal="center"/>
    </xf>
    <xf numFmtId="0" fontId="16" fillId="6" borderId="0" xfId="1" applyFont="1" applyFill="1" applyAlignment="1" applyProtection="1">
      <alignment horizontal="center"/>
      <protection locked="0"/>
    </xf>
    <xf numFmtId="0" fontId="17" fillId="0" borderId="0" xfId="1" applyFont="1"/>
    <xf numFmtId="0" fontId="18" fillId="0" borderId="0" xfId="1" applyFont="1" applyAlignment="1">
      <alignment horizontal="center"/>
    </xf>
    <xf numFmtId="167" fontId="10" fillId="0" borderId="8" xfId="1" applyNumberFormat="1" applyFont="1" applyBorder="1" applyAlignment="1">
      <alignment vertical="center"/>
    </xf>
    <xf numFmtId="0" fontId="9" fillId="0" borderId="7" xfId="1" applyFont="1" applyBorder="1" applyAlignment="1">
      <alignment horizontal="left"/>
    </xf>
    <xf numFmtId="0" fontId="9" fillId="0" borderId="7" xfId="1" applyFont="1" applyBorder="1" applyAlignment="1">
      <alignment horizontal="left" vertical="center"/>
    </xf>
    <xf numFmtId="0" fontId="9" fillId="0" borderId="9" xfId="1" applyFont="1" applyBorder="1" applyAlignment="1">
      <alignment horizontal="centerContinuous" vertical="center"/>
    </xf>
    <xf numFmtId="0" fontId="10" fillId="0" borderId="0" xfId="1" applyFont="1"/>
    <xf numFmtId="0" fontId="10" fillId="0" borderId="7" xfId="1" applyFont="1" applyBorder="1" applyAlignment="1">
      <alignment horizontal="left"/>
    </xf>
    <xf numFmtId="0" fontId="10" fillId="0" borderId="9" xfId="1" applyFont="1" applyBorder="1"/>
    <xf numFmtId="0" fontId="10" fillId="0" borderId="9" xfId="1" applyFont="1" applyBorder="1" applyAlignment="1">
      <alignment horizontal="left" vertical="center"/>
    </xf>
    <xf numFmtId="167" fontId="10" fillId="0" borderId="10" xfId="1" applyNumberFormat="1" applyFont="1" applyBorder="1" applyAlignment="1">
      <alignment vertical="center"/>
    </xf>
    <xf numFmtId="0" fontId="10" fillId="0" borderId="0" xfId="1" applyFont="1" applyAlignment="1">
      <alignment horizontal="left"/>
    </xf>
    <xf numFmtId="0" fontId="10" fillId="0" borderId="0" xfId="1" applyFont="1" applyAlignment="1">
      <alignment horizontal="left" vertical="center"/>
    </xf>
    <xf numFmtId="0" fontId="10" fillId="0" borderId="11" xfId="1" applyFont="1" applyBorder="1" applyAlignment="1">
      <alignment horizontal="centerContinuous" vertical="center"/>
    </xf>
    <xf numFmtId="0" fontId="10" fillId="0" borderId="11" xfId="1" applyFont="1" applyBorder="1" applyAlignment="1" applyProtection="1">
      <alignment horizontal="center"/>
      <protection locked="0"/>
    </xf>
    <xf numFmtId="0" fontId="10" fillId="0" borderId="11" xfId="1" applyFont="1" applyBorder="1"/>
    <xf numFmtId="0" fontId="19" fillId="0" borderId="0" xfId="1" applyFont="1" applyAlignment="1">
      <alignment horizontal="centerContinuous" vertical="center"/>
    </xf>
    <xf numFmtId="167" fontId="10" fillId="0" borderId="10" xfId="1" applyNumberFormat="1" applyFont="1" applyBorder="1" applyAlignment="1">
      <alignment horizontal="left" vertical="center"/>
    </xf>
    <xf numFmtId="0" fontId="20" fillId="0" borderId="0" xfId="1" applyFont="1" applyAlignment="1" applyProtection="1">
      <alignment horizontal="center"/>
      <protection locked="0"/>
    </xf>
    <xf numFmtId="167" fontId="10" fillId="0" borderId="12" xfId="1" applyNumberFormat="1" applyFont="1" applyBorder="1"/>
    <xf numFmtId="0" fontId="10" fillId="0" borderId="13" xfId="1" applyFont="1" applyBorder="1" applyAlignment="1">
      <alignment horizontal="left"/>
    </xf>
    <xf numFmtId="0" fontId="10" fillId="0" borderId="13" xfId="1" applyFont="1" applyBorder="1" applyAlignment="1">
      <alignment horizontal="left" vertical="center"/>
    </xf>
    <xf numFmtId="0" fontId="10" fillId="0" borderId="14" xfId="1" applyFont="1" applyBorder="1"/>
    <xf numFmtId="0" fontId="10" fillId="0" borderId="12" xfId="1" applyFont="1" applyBorder="1"/>
    <xf numFmtId="0" fontId="10" fillId="0" borderId="13" xfId="1" applyFont="1" applyBorder="1"/>
    <xf numFmtId="0" fontId="21" fillId="7" borderId="16" xfId="1" applyFont="1" applyFill="1" applyBorder="1" applyAlignment="1">
      <alignment horizontal="centerContinuous" vertical="center"/>
    </xf>
    <xf numFmtId="0" fontId="21" fillId="7" borderId="17" xfId="1" applyFont="1" applyFill="1" applyBorder="1" applyAlignment="1">
      <alignment horizontal="centerContinuous" vertical="center"/>
    </xf>
    <xf numFmtId="0" fontId="21" fillId="7" borderId="19" xfId="1" applyFont="1" applyFill="1" applyBorder="1" applyAlignment="1">
      <alignment horizontal="center" vertical="center"/>
    </xf>
    <xf numFmtId="0" fontId="21" fillId="7" borderId="20" xfId="1" applyFont="1" applyFill="1" applyBorder="1" applyAlignment="1">
      <alignment horizontal="center" vertical="center"/>
    </xf>
    <xf numFmtId="0" fontId="21" fillId="7" borderId="21" xfId="1" applyFont="1" applyFill="1" applyBorder="1" applyAlignment="1">
      <alignment horizontal="center" vertical="center"/>
    </xf>
    <xf numFmtId="0" fontId="8" fillId="0" borderId="22" xfId="1" applyFont="1" applyBorder="1" applyAlignment="1">
      <alignment horizontal="center"/>
    </xf>
    <xf numFmtId="0" fontId="12" fillId="0" borderId="23" xfId="1" applyFont="1" applyBorder="1" applyAlignment="1">
      <alignment horizontal="center"/>
    </xf>
    <xf numFmtId="0" fontId="12" fillId="0" borderId="24" xfId="1" applyFont="1" applyBorder="1" applyAlignment="1">
      <alignment horizontal="center"/>
    </xf>
    <xf numFmtId="14" fontId="3" fillId="0" borderId="0" xfId="1" applyNumberFormat="1"/>
    <xf numFmtId="0" fontId="8" fillId="0" borderId="25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8" fillId="0" borderId="28" xfId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0" borderId="31" xfId="1" applyFont="1" applyBorder="1" applyAlignment="1">
      <alignment horizontal="center"/>
    </xf>
    <xf numFmtId="0" fontId="8" fillId="8" borderId="31" xfId="1" applyFont="1" applyFill="1" applyBorder="1" applyAlignment="1">
      <alignment horizontal="center"/>
    </xf>
    <xf numFmtId="0" fontId="12" fillId="8" borderId="32" xfId="1" applyFont="1" applyFill="1" applyBorder="1" applyAlignment="1">
      <alignment horizontal="center"/>
    </xf>
    <xf numFmtId="0" fontId="8" fillId="0" borderId="33" xfId="1" applyFont="1" applyBorder="1" applyAlignment="1">
      <alignment horizontal="center"/>
    </xf>
    <xf numFmtId="0" fontId="8" fillId="0" borderId="34" xfId="1" applyFont="1" applyBorder="1" applyAlignment="1">
      <alignment horizontal="left"/>
    </xf>
    <xf numFmtId="1" fontId="8" fillId="0" borderId="35" xfId="1" applyNumberFormat="1" applyFont="1" applyBorder="1" applyAlignment="1">
      <alignment horizontal="center"/>
    </xf>
    <xf numFmtId="1" fontId="8" fillId="0" borderId="36" xfId="1" applyNumberFormat="1" applyFont="1" applyBorder="1" applyAlignment="1">
      <alignment horizontal="center"/>
    </xf>
    <xf numFmtId="0" fontId="8" fillId="0" borderId="37" xfId="1" applyFont="1" applyBorder="1" applyAlignment="1">
      <alignment horizontal="left"/>
    </xf>
    <xf numFmtId="1" fontId="8" fillId="0" borderId="38" xfId="1" applyNumberFormat="1" applyFont="1" applyBorder="1" applyAlignment="1">
      <alignment horizontal="center"/>
    </xf>
    <xf numFmtId="1" fontId="8" fillId="0" borderId="39" xfId="1" applyNumberFormat="1" applyFont="1" applyBorder="1" applyAlignment="1">
      <alignment horizontal="center"/>
    </xf>
    <xf numFmtId="1" fontId="8" fillId="0" borderId="40" xfId="1" applyNumberFormat="1" applyFont="1" applyBorder="1" applyAlignment="1">
      <alignment horizontal="center"/>
    </xf>
    <xf numFmtId="1" fontId="17" fillId="0" borderId="0" xfId="1" applyNumberFormat="1" applyFont="1" applyAlignment="1">
      <alignment horizontal="center"/>
    </xf>
    <xf numFmtId="0" fontId="8" fillId="0" borderId="41" xfId="1" applyFont="1" applyBorder="1" applyAlignment="1">
      <alignment horizontal="left"/>
    </xf>
    <xf numFmtId="1" fontId="8" fillId="0" borderId="42" xfId="1" applyNumberFormat="1" applyFont="1" applyBorder="1" applyAlignment="1">
      <alignment horizontal="center"/>
    </xf>
    <xf numFmtId="1" fontId="8" fillId="0" borderId="43" xfId="1" applyNumberFormat="1" applyFont="1" applyBorder="1" applyAlignment="1">
      <alignment horizontal="center"/>
    </xf>
    <xf numFmtId="1" fontId="8" fillId="0" borderId="44" xfId="1" applyNumberFormat="1" applyFont="1" applyBorder="1" applyAlignment="1">
      <alignment horizontal="center"/>
    </xf>
    <xf numFmtId="0" fontId="8" fillId="0" borderId="45" xfId="1" applyFont="1" applyBorder="1" applyAlignment="1">
      <alignment horizontal="left"/>
    </xf>
    <xf numFmtId="1" fontId="8" fillId="0" borderId="46" xfId="1" applyNumberFormat="1" applyFont="1" applyBorder="1" applyAlignment="1">
      <alignment horizontal="center"/>
    </xf>
    <xf numFmtId="1" fontId="8" fillId="0" borderId="47" xfId="1" applyNumberFormat="1" applyFont="1" applyBorder="1" applyAlignment="1">
      <alignment horizontal="center"/>
    </xf>
    <xf numFmtId="1" fontId="8" fillId="0" borderId="48" xfId="1" applyNumberFormat="1" applyFont="1" applyBorder="1" applyAlignment="1">
      <alignment horizontal="center"/>
    </xf>
    <xf numFmtId="1" fontId="8" fillId="0" borderId="3" xfId="1" applyNumberFormat="1" applyFont="1" applyBorder="1" applyAlignment="1">
      <alignment horizontal="center"/>
    </xf>
    <xf numFmtId="1" fontId="8" fillId="0" borderId="49" xfId="1" applyNumberFormat="1" applyFont="1" applyBorder="1" applyAlignment="1">
      <alignment horizontal="center"/>
    </xf>
    <xf numFmtId="0" fontId="8" fillId="0" borderId="50" xfId="1" applyFont="1" applyBorder="1" applyAlignment="1">
      <alignment horizontal="left"/>
    </xf>
    <xf numFmtId="1" fontId="8" fillId="0" borderId="51" xfId="1" applyNumberFormat="1" applyFont="1" applyBorder="1" applyAlignment="1">
      <alignment horizontal="center"/>
    </xf>
    <xf numFmtId="1" fontId="8" fillId="0" borderId="52" xfId="1" applyNumberFormat="1" applyFont="1" applyBorder="1" applyAlignment="1">
      <alignment horizontal="center"/>
    </xf>
    <xf numFmtId="1" fontId="8" fillId="0" borderId="53" xfId="1" applyNumberFormat="1" applyFont="1" applyBorder="1" applyAlignment="1">
      <alignment horizontal="center"/>
    </xf>
    <xf numFmtId="1" fontId="8" fillId="0" borderId="54" xfId="1" applyNumberFormat="1" applyFont="1" applyBorder="1" applyAlignment="1">
      <alignment horizontal="left"/>
    </xf>
    <xf numFmtId="1" fontId="8" fillId="0" borderId="55" xfId="1" applyNumberFormat="1" applyFont="1" applyBorder="1" applyAlignment="1">
      <alignment horizontal="left"/>
    </xf>
    <xf numFmtId="1" fontId="8" fillId="0" borderId="56" xfId="1" applyNumberFormat="1" applyFont="1" applyBorder="1" applyAlignment="1">
      <alignment horizontal="center"/>
    </xf>
    <xf numFmtId="1" fontId="8" fillId="0" borderId="57" xfId="1" applyNumberFormat="1" applyFont="1" applyBorder="1" applyAlignment="1">
      <alignment horizontal="left"/>
    </xf>
    <xf numFmtId="1" fontId="8" fillId="0" borderId="58" xfId="1" applyNumberFormat="1" applyFont="1" applyBorder="1" applyAlignment="1">
      <alignment horizontal="center"/>
    </xf>
    <xf numFmtId="0" fontId="22" fillId="0" borderId="0" xfId="4"/>
    <xf numFmtId="0" fontId="22" fillId="0" borderId="0" xfId="4" applyAlignment="1">
      <alignment horizontal="center" vertical="center"/>
    </xf>
    <xf numFmtId="0" fontId="22" fillId="0" borderId="0" xfId="4" applyAlignment="1">
      <alignment horizontal="left" vertical="center"/>
    </xf>
    <xf numFmtId="0" fontId="2" fillId="0" borderId="0" xfId="4" applyFont="1" applyAlignment="1">
      <alignment horizontal="center" vertical="center"/>
    </xf>
    <xf numFmtId="167" fontId="10" fillId="0" borderId="10" xfId="1" applyNumberFormat="1" applyFont="1" applyBorder="1" applyAlignment="1">
      <alignment horizontal="center"/>
    </xf>
    <xf numFmtId="167" fontId="10" fillId="0" borderId="0" xfId="1" applyNumberFormat="1" applyFont="1" applyAlignment="1">
      <alignment horizontal="center"/>
    </xf>
    <xf numFmtId="0" fontId="14" fillId="0" borderId="0" xfId="1" applyFont="1" applyAlignment="1">
      <alignment horizontal="center"/>
    </xf>
    <xf numFmtId="167" fontId="10" fillId="0" borderId="8" xfId="1" applyNumberFormat="1" applyFont="1" applyBorder="1" applyAlignment="1">
      <alignment horizontal="center"/>
    </xf>
    <xf numFmtId="167" fontId="10" fillId="0" borderId="7" xfId="1" applyNumberFormat="1" applyFont="1" applyBorder="1" applyAlignment="1">
      <alignment horizontal="center"/>
    </xf>
    <xf numFmtId="0" fontId="10" fillId="0" borderId="0" xfId="1" applyFont="1" applyAlignment="1">
      <alignment horizontal="left" vertical="top" wrapText="1"/>
    </xf>
    <xf numFmtId="0" fontId="10" fillId="0" borderId="11" xfId="1" applyFont="1" applyBorder="1" applyAlignment="1">
      <alignment horizontal="left" vertical="top" wrapText="1"/>
    </xf>
    <xf numFmtId="0" fontId="10" fillId="0" borderId="13" xfId="1" applyFont="1" applyBorder="1" applyAlignment="1">
      <alignment horizontal="left" vertical="top" wrapText="1"/>
    </xf>
    <xf numFmtId="0" fontId="10" fillId="0" borderId="14" xfId="1" applyFont="1" applyBorder="1" applyAlignment="1">
      <alignment horizontal="left" vertical="top" wrapText="1"/>
    </xf>
    <xf numFmtId="0" fontId="21" fillId="7" borderId="15" xfId="1" applyFont="1" applyFill="1" applyBorder="1" applyAlignment="1">
      <alignment horizontal="center" vertical="center"/>
    </xf>
    <xf numFmtId="0" fontId="21" fillId="7" borderId="18" xfId="1" applyFont="1" applyFill="1" applyBorder="1" applyAlignment="1">
      <alignment horizontal="center" vertical="center"/>
    </xf>
    <xf numFmtId="0" fontId="22" fillId="0" borderId="0" xfId="4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22" fillId="0" borderId="0" xfId="4" applyAlignment="1">
      <alignment horizontal="center" vertical="center"/>
    </xf>
    <xf numFmtId="0" fontId="22" fillId="2" borderId="0" xfId="4" applyFill="1" applyAlignment="1">
      <alignment horizontal="left" vertical="center"/>
    </xf>
  </cellXfs>
  <cellStyles count="5">
    <cellStyle name="Normal" xfId="0" builtinId="0"/>
    <cellStyle name="Normal 2" xfId="1" xr:uid="{AC4BF281-28FF-430A-86DB-86387C82D126}"/>
    <cellStyle name="Normal 3" xfId="4" xr:uid="{77296629-527B-442E-B118-3C217B8AC105}"/>
    <cellStyle name="Normal 5" xfId="2" xr:uid="{418A8F2C-2BF4-4250-99C5-C97FEEC60F0A}"/>
    <cellStyle name="Normal 7" xfId="3" xr:uid="{376B0AEE-0288-4CD9-932A-B95F5C390A8D}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ID" sz="1000" b="1"/>
              <a:t>Curah Hujan Rata</a:t>
            </a:r>
            <a:r>
              <a:rPr lang="en-ID" sz="1000" b="1" baseline="0"/>
              <a:t> - Rata</a:t>
            </a:r>
            <a:r>
              <a:rPr lang="en-ID" sz="1000" b="1"/>
              <a:t> Bulanan</a:t>
            </a:r>
          </a:p>
        </c:rich>
      </c:tx>
      <c:layout>
        <c:manualLayout>
          <c:xMode val="edge"/>
          <c:yMode val="edge"/>
          <c:x val="0.35928701824372"/>
          <c:y val="2.9148200737202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5873712733803E-2"/>
          <c:y val="0.11565376052623105"/>
          <c:w val="0.90017420956801641"/>
          <c:h val="0.66107297496085682"/>
        </c:manualLayout>
      </c:layout>
      <c:barChart>
        <c:barDir val="col"/>
        <c:grouping val="clustered"/>
        <c:varyColors val="0"/>
        <c:ser>
          <c:idx val="1"/>
          <c:order val="0"/>
          <c:tx>
            <c:v>Rerata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[17]bulanan!$B$11:$M$11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AGS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'Rekap Bulanan'!$E$232:$P$232</c:f>
              <c:numCache>
                <c:formatCode>0</c:formatCode>
                <c:ptCount val="12"/>
                <c:pt idx="0">
                  <c:v>273.84543859649125</c:v>
                </c:pt>
                <c:pt idx="1">
                  <c:v>238.38771929824566</c:v>
                </c:pt>
                <c:pt idx="2">
                  <c:v>319.23201754385968</c:v>
                </c:pt>
                <c:pt idx="3">
                  <c:v>192.0552631578947</c:v>
                </c:pt>
                <c:pt idx="4">
                  <c:v>167.89956140350876</c:v>
                </c:pt>
                <c:pt idx="5">
                  <c:v>142.86798245614034</c:v>
                </c:pt>
                <c:pt idx="6">
                  <c:v>46.401754385964921</c:v>
                </c:pt>
                <c:pt idx="7">
                  <c:v>54.469298245614034</c:v>
                </c:pt>
                <c:pt idx="8">
                  <c:v>58.208333333333336</c:v>
                </c:pt>
                <c:pt idx="9">
                  <c:v>323.47039473684208</c:v>
                </c:pt>
                <c:pt idx="10">
                  <c:v>365.75131578947361</c:v>
                </c:pt>
                <c:pt idx="11">
                  <c:v>248.50175438596489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6-4B6D-BC57-FBE7F3880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4471856"/>
        <c:axId val="1"/>
      </c:barChart>
      <c:catAx>
        <c:axId val="86447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Curah Hujan (mm )</a:t>
                </a:r>
              </a:p>
            </c:rich>
          </c:tx>
          <c:layout>
            <c:manualLayout>
              <c:xMode val="edge"/>
              <c:yMode val="edge"/>
              <c:x val="7.9241024239999746E-3"/>
              <c:y val="0.326872382477614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864471856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4367297953926768"/>
          <c:y val="0.90750192242918792"/>
          <c:w val="0.34987640950085697"/>
          <c:h val="7.2500047663533573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Narrow" panose="020B0606020202030204" pitchFamily="34" charset="0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ID" sz="1000" b="1"/>
              <a:t>Curah Hujan Rata</a:t>
            </a:r>
            <a:r>
              <a:rPr lang="en-ID" sz="1000" b="1" baseline="0"/>
              <a:t> - Rata</a:t>
            </a:r>
            <a:r>
              <a:rPr lang="en-ID" sz="1000" b="1"/>
              <a:t> Bulanan</a:t>
            </a:r>
          </a:p>
        </c:rich>
      </c:tx>
      <c:layout>
        <c:manualLayout>
          <c:xMode val="edge"/>
          <c:yMode val="edge"/>
          <c:x val="0.35928701824372"/>
          <c:y val="2.9148200737202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5873712733803E-2"/>
          <c:y val="0.11565376052623105"/>
          <c:w val="0.90017420956801641"/>
          <c:h val="0.66107297496085682"/>
        </c:manualLayout>
      </c:layout>
      <c:barChart>
        <c:barDir val="col"/>
        <c:grouping val="clustered"/>
        <c:varyColors val="0"/>
        <c:ser>
          <c:idx val="1"/>
          <c:order val="0"/>
          <c:tx>
            <c:v>Rerata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[17]bulanan!$B$11:$M$11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AGS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'Rekap Max'!$E$232:$P$232</c:f>
              <c:numCache>
                <c:formatCode>0</c:formatCode>
                <c:ptCount val="12"/>
                <c:pt idx="0">
                  <c:v>137</c:v>
                </c:pt>
                <c:pt idx="1">
                  <c:v>155</c:v>
                </c:pt>
                <c:pt idx="2">
                  <c:v>152</c:v>
                </c:pt>
                <c:pt idx="3">
                  <c:v>157</c:v>
                </c:pt>
                <c:pt idx="4">
                  <c:v>145</c:v>
                </c:pt>
                <c:pt idx="5">
                  <c:v>157</c:v>
                </c:pt>
                <c:pt idx="6">
                  <c:v>179</c:v>
                </c:pt>
                <c:pt idx="7">
                  <c:v>158</c:v>
                </c:pt>
                <c:pt idx="8">
                  <c:v>200</c:v>
                </c:pt>
                <c:pt idx="9">
                  <c:v>201</c:v>
                </c:pt>
                <c:pt idx="10">
                  <c:v>211</c:v>
                </c:pt>
                <c:pt idx="1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4-4671-8978-28A862541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4471856"/>
        <c:axId val="1"/>
      </c:barChart>
      <c:catAx>
        <c:axId val="86447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Curah Hujan (mm )</a:t>
                </a:r>
              </a:p>
            </c:rich>
          </c:tx>
          <c:layout>
            <c:manualLayout>
              <c:xMode val="edge"/>
              <c:yMode val="edge"/>
              <c:x val="7.9241024239999746E-3"/>
              <c:y val="0.326872382477614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864471856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4367297953926768"/>
          <c:y val="0.90750192242918792"/>
          <c:w val="0.34987640950085697"/>
          <c:h val="7.2500047663533573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Narrow" panose="020B0606020202030204" pitchFamily="34" charset="0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ID" sz="1000" b="1"/>
              <a:t>Curah Hujan </a:t>
            </a:r>
          </a:p>
        </c:rich>
      </c:tx>
      <c:layout>
        <c:manualLayout>
          <c:xMode val="edge"/>
          <c:yMode val="edge"/>
          <c:x val="0.46095631330275866"/>
          <c:y val="3.38165955943625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5873712733803E-2"/>
          <c:y val="0.11565376052623105"/>
          <c:w val="0.90017420956801641"/>
          <c:h val="0.66107297496085682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Rekap!$C$4</c:f>
              <c:strCache>
                <c:ptCount val="1"/>
                <c:pt idx="0">
                  <c:v>Rata - Rata Bulanan</c:v>
                </c:pt>
              </c:strCache>
            </c:strRef>
          </c:tx>
          <c:invertIfNegative val="0"/>
          <c:val>
            <c:numRef>
              <c:f>Rekap!$D$4:$O$4</c:f>
              <c:numCache>
                <c:formatCode>0</c:formatCode>
                <c:ptCount val="12"/>
                <c:pt idx="0">
                  <c:v>273.84543859649125</c:v>
                </c:pt>
                <c:pt idx="1">
                  <c:v>238.38771929824566</c:v>
                </c:pt>
                <c:pt idx="2">
                  <c:v>319.23201754385968</c:v>
                </c:pt>
                <c:pt idx="3">
                  <c:v>192.0552631578947</c:v>
                </c:pt>
                <c:pt idx="4">
                  <c:v>167.89956140350876</c:v>
                </c:pt>
                <c:pt idx="5">
                  <c:v>142.86798245614034</c:v>
                </c:pt>
                <c:pt idx="6">
                  <c:v>46.401754385964921</c:v>
                </c:pt>
                <c:pt idx="7">
                  <c:v>54.469298245614034</c:v>
                </c:pt>
                <c:pt idx="8">
                  <c:v>58.208333333333336</c:v>
                </c:pt>
                <c:pt idx="9">
                  <c:v>323.47039473684208</c:v>
                </c:pt>
                <c:pt idx="10">
                  <c:v>365.75131578947361</c:v>
                </c:pt>
                <c:pt idx="11">
                  <c:v>248.50175438596489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C-424C-A482-04A1DA21D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4471856"/>
        <c:axId val="1"/>
      </c:barChart>
      <c:lineChart>
        <c:grouping val="standard"/>
        <c:varyColors val="0"/>
        <c:ser>
          <c:idx val="1"/>
          <c:order val="0"/>
          <c:tx>
            <c:strRef>
              <c:f>Rekap!$C$5</c:f>
              <c:strCache>
                <c:ptCount val="1"/>
                <c:pt idx="0">
                  <c:v>Maksimum Harian</c:v>
                </c:pt>
              </c:strCache>
            </c:strRef>
          </c:tx>
          <c:spPr>
            <a:ln w="19050">
              <a:solidFill>
                <a:srgbClr val="000000"/>
              </a:solidFill>
              <a:prstDash val="dash"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2"/>
              <c:pt idx="0">
                <c:v>JAN</c:v>
              </c:pt>
              <c:pt idx="1">
                <c:v>PEB</c:v>
              </c:pt>
              <c:pt idx="2">
                <c:v>MAR</c:v>
              </c:pt>
              <c:pt idx="3">
                <c:v>APR</c:v>
              </c:pt>
              <c:pt idx="4">
                <c:v>MEI</c:v>
              </c:pt>
              <c:pt idx="5">
                <c:v>JUN</c:v>
              </c:pt>
              <c:pt idx="6">
                <c:v>JUL</c:v>
              </c:pt>
              <c:pt idx="7">
                <c:v>AGS</c:v>
              </c:pt>
              <c:pt idx="8">
                <c:v>SEP</c:v>
              </c:pt>
              <c:pt idx="9">
                <c:v>OKT</c:v>
              </c:pt>
              <c:pt idx="10">
                <c:v>NOP</c:v>
              </c:pt>
              <c:pt idx="11">
                <c:v>DES</c:v>
              </c:pt>
            </c:strLit>
          </c:cat>
          <c:val>
            <c:numRef>
              <c:f>Rekap!$D$5:$O$5</c:f>
              <c:numCache>
                <c:formatCode>0</c:formatCode>
                <c:ptCount val="12"/>
                <c:pt idx="0">
                  <c:v>137</c:v>
                </c:pt>
                <c:pt idx="1">
                  <c:v>155</c:v>
                </c:pt>
                <c:pt idx="2">
                  <c:v>152</c:v>
                </c:pt>
                <c:pt idx="3">
                  <c:v>157</c:v>
                </c:pt>
                <c:pt idx="4">
                  <c:v>145</c:v>
                </c:pt>
                <c:pt idx="5">
                  <c:v>157</c:v>
                </c:pt>
                <c:pt idx="6">
                  <c:v>179</c:v>
                </c:pt>
                <c:pt idx="7">
                  <c:v>158</c:v>
                </c:pt>
                <c:pt idx="8">
                  <c:v>200</c:v>
                </c:pt>
                <c:pt idx="9">
                  <c:v>201</c:v>
                </c:pt>
                <c:pt idx="10">
                  <c:v>211</c:v>
                </c:pt>
                <c:pt idx="11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9C-424C-A482-04A1DA21D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471856"/>
        <c:axId val="1"/>
      </c:lineChart>
      <c:catAx>
        <c:axId val="86447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Curah Hujan (mm )</a:t>
                </a:r>
              </a:p>
            </c:rich>
          </c:tx>
          <c:layout>
            <c:manualLayout>
              <c:xMode val="edge"/>
              <c:yMode val="edge"/>
              <c:x val="7.9241024239999746E-3"/>
              <c:y val="0.326872382477614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864471856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3222781064633277"/>
          <c:y val="0.88984986671662547"/>
          <c:w val="0.60211759707000312"/>
          <c:h val="9.2461453598874588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Narrow" panose="020B0606020202030204" pitchFamily="34" charset="0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73444720720008"/>
          <c:y val="5.4662379421221936E-2"/>
          <c:w val="0.70629418862966331"/>
          <c:h val="0.82958199356913254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Print!$A$44</c:f>
              <c:strCache>
                <c:ptCount val="1"/>
                <c:pt idx="0">
                  <c:v>Periode 1</c:v>
                </c:pt>
              </c:strCache>
            </c:strRef>
          </c:tx>
          <c:spPr>
            <a:pattFill prst="pct80">
              <a:fgClr>
                <a:srgbClr val="00FFFF"/>
              </a:fgClr>
              <a:bgClr>
                <a:srgbClr val="339966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Print!$B$11:$M$11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AGS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Print!$B$44:$M$44</c:f>
              <c:numCache>
                <c:formatCode>0</c:formatCode>
                <c:ptCount val="12"/>
                <c:pt idx="0">
                  <c:v>57.2</c:v>
                </c:pt>
                <c:pt idx="1">
                  <c:v>189</c:v>
                </c:pt>
                <c:pt idx="2">
                  <c:v>172</c:v>
                </c:pt>
                <c:pt idx="3">
                  <c:v>226</c:v>
                </c:pt>
                <c:pt idx="4">
                  <c:v>85</c:v>
                </c:pt>
                <c:pt idx="5">
                  <c:v>65</c:v>
                </c:pt>
                <c:pt idx="6">
                  <c:v>77</c:v>
                </c:pt>
                <c:pt idx="7">
                  <c:v>0</c:v>
                </c:pt>
                <c:pt idx="8">
                  <c:v>18</c:v>
                </c:pt>
                <c:pt idx="9">
                  <c:v>215</c:v>
                </c:pt>
                <c:pt idx="10">
                  <c:v>210</c:v>
                </c:pt>
                <c:pt idx="11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E-4C19-9D68-E2B3EA34C42E}"/>
            </c:ext>
          </c:extLst>
        </c:ser>
        <c:ser>
          <c:idx val="2"/>
          <c:order val="1"/>
          <c:tx>
            <c:strRef>
              <c:f>Print!$A$45</c:f>
              <c:strCache>
                <c:ptCount val="1"/>
                <c:pt idx="0">
                  <c:v>Periode 2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Print!$B$11:$M$11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AGS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Print!$B$45:$M$45</c:f>
              <c:numCache>
                <c:formatCode>0</c:formatCode>
                <c:ptCount val="12"/>
                <c:pt idx="0">
                  <c:v>176</c:v>
                </c:pt>
                <c:pt idx="1">
                  <c:v>90</c:v>
                </c:pt>
                <c:pt idx="2">
                  <c:v>175</c:v>
                </c:pt>
                <c:pt idx="3">
                  <c:v>138</c:v>
                </c:pt>
                <c:pt idx="4">
                  <c:v>98</c:v>
                </c:pt>
                <c:pt idx="5">
                  <c:v>199</c:v>
                </c:pt>
                <c:pt idx="6">
                  <c:v>26</c:v>
                </c:pt>
                <c:pt idx="7">
                  <c:v>34</c:v>
                </c:pt>
                <c:pt idx="8">
                  <c:v>0</c:v>
                </c:pt>
                <c:pt idx="9">
                  <c:v>102</c:v>
                </c:pt>
                <c:pt idx="10">
                  <c:v>156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E-4C19-9D68-E2B3EA34C42E}"/>
            </c:ext>
          </c:extLst>
        </c:ser>
        <c:ser>
          <c:idx val="1"/>
          <c:order val="2"/>
          <c:tx>
            <c:strRef>
              <c:f>Print!$A$46</c:f>
              <c:strCache>
                <c:ptCount val="1"/>
                <c:pt idx="0">
                  <c:v>Periode 3</c:v>
                </c:pt>
              </c:strCache>
            </c:strRef>
          </c:tx>
          <c:spPr>
            <a:pattFill prst="ltUpDiag">
              <a:fgClr>
                <a:srgbClr val="FFCC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Print!$B$11:$M$11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AGS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Print!$B$46:$M$46</c:f>
              <c:numCache>
                <c:formatCode>0</c:formatCode>
                <c:ptCount val="12"/>
                <c:pt idx="0">
                  <c:v>212</c:v>
                </c:pt>
                <c:pt idx="1">
                  <c:v>45</c:v>
                </c:pt>
                <c:pt idx="2">
                  <c:v>237</c:v>
                </c:pt>
                <c:pt idx="3">
                  <c:v>113</c:v>
                </c:pt>
                <c:pt idx="4">
                  <c:v>154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160</c:v>
                </c:pt>
                <c:pt idx="10">
                  <c:v>224</c:v>
                </c:pt>
                <c:pt idx="11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E-4C19-9D68-E2B3EA34C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09004960"/>
        <c:axId val="509010448"/>
      </c:barChart>
      <c:catAx>
        <c:axId val="50900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09010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090104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090049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482566768290455"/>
          <c:y val="8.0385971171079346E-2"/>
          <c:w val="0.11608404798982297"/>
          <c:h val="0.218649610546254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paperSize="9" orientation="landscape" horizontalDpi="360" verticalDpi="360" copies="0"/>
  </c:printSettings>
</c:chartSpace>
</file>

<file path=xl/ctrlProps/ctrlProp1.xml><?xml version="1.0" encoding="utf-8"?>
<formControlPr xmlns="http://schemas.microsoft.com/office/spreadsheetml/2009/9/main" objectType="Spin" dx="35" fmlaLink="$O$2" max="30000" min="1" page="10"/>
</file>

<file path=xl/ctrlProps/ctrlProp2.xml><?xml version="1.0" encoding="utf-8"?>
<formControlPr xmlns="http://schemas.microsoft.com/office/spreadsheetml/2009/9/main" objectType="Drop" dropStyle="combo" dx="35" fmlaLink="$O$2" fmlaRange="[4]jan!$B$8:$B$235" noThreeD="1" sel="0" val="0"/>
</file>

<file path=xl/ctrlProps/ctrlProp3.xml><?xml version="1.0" encoding="utf-8"?>
<formControlPr xmlns="http://schemas.microsoft.com/office/spreadsheetml/2009/9/main" objectType="Drop" dropStyle="combo" dx="35" fmlaLink="$P$5" fmlaRange="[4]jan!$B$8:$B$235" noThreeD="1" sel="0" val="0"/>
</file>

<file path=xl/ctrlProps/ctrlProp4.xml><?xml version="1.0" encoding="utf-8"?>
<formControlPr xmlns="http://schemas.microsoft.com/office/spreadsheetml/2009/9/main" objectType="Drop" dropStyle="combo" dx="35" fmlaLink="$P$7" fmlaRange="[4]jan!$B$8:$B$235" noThreeD="1" sel="0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233</xdr:row>
      <xdr:rowOff>71717</xdr:rowOff>
    </xdr:from>
    <xdr:to>
      <xdr:col>16</xdr:col>
      <xdr:colOff>591670</xdr:colOff>
      <xdr:row>248</xdr:row>
      <xdr:rowOff>171226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233</xdr:row>
      <xdr:rowOff>71717</xdr:rowOff>
    </xdr:from>
    <xdr:to>
      <xdr:col>16</xdr:col>
      <xdr:colOff>591670</xdr:colOff>
      <xdr:row>248</xdr:row>
      <xdr:rowOff>171226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4791</xdr:colOff>
      <xdr:row>6</xdr:row>
      <xdr:rowOff>85980</xdr:rowOff>
    </xdr:from>
    <xdr:to>
      <xdr:col>15</xdr:col>
      <xdr:colOff>578532</xdr:colOff>
      <xdr:row>23</xdr:row>
      <xdr:rowOff>30592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49</xdr:row>
      <xdr:rowOff>47625</xdr:rowOff>
    </xdr:from>
    <xdr:to>
      <xdr:col>12</xdr:col>
      <xdr:colOff>485775</xdr:colOff>
      <xdr:row>67</xdr:row>
      <xdr:rowOff>28575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161925</xdr:colOff>
          <xdr:row>1</xdr:row>
          <xdr:rowOff>9525</xdr:rowOff>
        </xdr:from>
        <xdr:to>
          <xdr:col>15</xdr:col>
          <xdr:colOff>485775</xdr:colOff>
          <xdr:row>3</xdr:row>
          <xdr:rowOff>47625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0</xdr:row>
          <xdr:rowOff>190500</xdr:rowOff>
        </xdr:from>
        <xdr:to>
          <xdr:col>19</xdr:col>
          <xdr:colOff>0</xdr:colOff>
          <xdr:row>2</xdr:row>
          <xdr:rowOff>9525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</xdr:row>
          <xdr:rowOff>161925</xdr:rowOff>
        </xdr:from>
        <xdr:to>
          <xdr:col>19</xdr:col>
          <xdr:colOff>28575</xdr:colOff>
          <xdr:row>5</xdr:row>
          <xdr:rowOff>47625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6</xdr:row>
          <xdr:rowOff>9525</xdr:rowOff>
        </xdr:from>
        <xdr:to>
          <xdr:col>19</xdr:col>
          <xdr:colOff>28575</xdr:colOff>
          <xdr:row>7</xdr:row>
          <xdr:rowOff>28575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28575</xdr:colOff>
          <xdr:row>8</xdr:row>
          <xdr:rowOff>66675</xdr:rowOff>
        </xdr:from>
        <xdr:to>
          <xdr:col>18</xdr:col>
          <xdr:colOff>95250</xdr:colOff>
          <xdr:row>11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PREVIEW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47625</xdr:colOff>
          <xdr:row>12</xdr:row>
          <xdr:rowOff>9525</xdr:rowOff>
        </xdr:from>
        <xdr:to>
          <xdr:col>18</xdr:col>
          <xdr:colOff>95250</xdr:colOff>
          <xdr:row>15</xdr:row>
          <xdr:rowOff>9525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KASERVER\dataproyek\FS%20BENG\d-dien\02-hidrologi\02-01-hujan%20rancangan\CH_RANC_GONGGANG-1X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mus2\HIDEXC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HKA\2022\ANALISA%20DATA\Hujan\Hujan%20WS%20Baru%20Bajulmati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ublikasi%20Data%20HKA%202022\Hujan\Hujan%20WS%20Bengawan%20Solo\Hujan%20WS%20Bengawan%20Solo%2020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ina/Irigasi%20awang%20makmur/perhitungan/DATA/datahujanEF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d3\DATA%20(D)\EDD\Project\BWRM%202008\File%20Model%20Alokasi%20Air\lumajang\Model%20alokasi%20air\DPS_Bo_RT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IS-Database/DBASE_AD/ALOKASI/Andalan/DPS_Bon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acuan/mockkur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kaserver\h\DD%20Kd%20Brubus\d-kd%20brubus\d-01-hidrologi\01-01-hujan\d-ch-sumberbend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KA\2020\TMA%20DEBIT\UPT%20PASURUAN\Kali%20Gembong%20-%20Pohjentrek%2020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tri%20Retnowati/AppData/Local/Temp/Temp0299efb8-b88f-45d5-8724-cb1e68e573ac_MUKA%20AIR%20MADURA%202022(1).zip/K%20Semajid%20-%20Sumedangan%2020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5\1.%20Jelai%20Kendawangan%20Tahap%201\2.%20Analisa\Hidrologi\01.%20Jakon%202011\Pola%20NTT-2011\Kumpulan%20Data\data%20embung%20&amp;%20irigasi\DATABASE%20-%20DAERAH%20IRIGASI-NTT\Kewenangan%20Kabupate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RIS\PROJEC~3\KETERS~2\MOCKBO~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Ketek/Tugas%20Besar%20Mas%20wahyu%20bar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d01\D\VIRAMA\DI-SEWU\S-PLAN\CWR\N-CWR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ka_3\data\DATA\SANGIRAN\data%20hidrologi\Madiun\Tabel%20Cs%20Log%20Pearson%20II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KA\DATABASE%20HUJAN\MOJOKERTO\Pandan\Pandan%2000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ngamatan"/>
      <sheetName val="sintetis-pengamatan"/>
      <sheetName val="theissen"/>
      <sheetName val="rasio 6jam"/>
      <sheetName val="CH-RANC"/>
      <sheetName val="iwai"/>
      <sheetName val="pmp"/>
      <sheetName val="distribusi frekuensi"/>
      <sheetName val="Tbl Pearson"/>
      <sheetName val="uji abnormal"/>
      <sheetName val="Tbl Gumbel-Iwai"/>
      <sheetName val="rasio"/>
      <sheetName val="sintetis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55">
          <cell r="C155">
            <v>41.7</v>
          </cell>
          <cell r="M155">
            <v>-0.6904494239233202</v>
          </cell>
        </row>
        <row r="156">
          <cell r="C156">
            <v>47.550000000000004</v>
          </cell>
          <cell r="M156">
            <v>-0.56703090186114791</v>
          </cell>
        </row>
        <row r="157">
          <cell r="C157">
            <v>49.300000000000004</v>
          </cell>
          <cell r="M157">
            <v>-0.53011083115878865</v>
          </cell>
        </row>
        <row r="158">
          <cell r="C158">
            <v>51.75</v>
          </cell>
          <cell r="M158">
            <v>-0.47842273217548587</v>
          </cell>
        </row>
        <row r="159">
          <cell r="C159">
            <v>56.900000000000006</v>
          </cell>
          <cell r="M159">
            <v>-0.36977223839425716</v>
          </cell>
        </row>
        <row r="160">
          <cell r="C160">
            <v>57.750000000000007</v>
          </cell>
          <cell r="M160">
            <v>-0.35183963262453977</v>
          </cell>
        </row>
        <row r="161">
          <cell r="C161">
            <v>58.100000000000009</v>
          </cell>
          <cell r="M161">
            <v>-0.34445561848406792</v>
          </cell>
        </row>
        <row r="162">
          <cell r="C162">
            <v>60.75</v>
          </cell>
          <cell r="M162">
            <v>-0.28854808284906697</v>
          </cell>
        </row>
        <row r="163">
          <cell r="C163">
            <v>64.599999999999994</v>
          </cell>
          <cell r="M163">
            <v>-0.20732392730387678</v>
          </cell>
        </row>
        <row r="164">
          <cell r="C164">
            <v>65.55</v>
          </cell>
          <cell r="M164">
            <v>-0.18728160320831028</v>
          </cell>
        </row>
        <row r="165">
          <cell r="C165">
            <v>65.900000000000006</v>
          </cell>
          <cell r="M165">
            <v>-0.17989758906783826</v>
          </cell>
        </row>
        <row r="166">
          <cell r="C166">
            <v>66.150000000000006</v>
          </cell>
          <cell r="M166">
            <v>-0.17462329325321552</v>
          </cell>
        </row>
        <row r="167">
          <cell r="C167">
            <v>69.850000000000009</v>
          </cell>
          <cell r="M167">
            <v>-9.6563715196798794E-2</v>
          </cell>
        </row>
        <row r="168">
          <cell r="C168">
            <v>70.050000000000011</v>
          </cell>
          <cell r="M168">
            <v>-9.2344278545100536E-2</v>
          </cell>
        </row>
        <row r="169">
          <cell r="C169">
            <v>77.7</v>
          </cell>
          <cell r="M169">
            <v>6.9049173382355333E-2</v>
          </cell>
        </row>
        <row r="170">
          <cell r="C170">
            <v>81</v>
          </cell>
          <cell r="M170">
            <v>0.13866987813537554</v>
          </cell>
        </row>
        <row r="171">
          <cell r="C171">
            <v>88.300000000000011</v>
          </cell>
          <cell r="M171">
            <v>0.29267931592235996</v>
          </cell>
        </row>
        <row r="172">
          <cell r="C172">
            <v>90</v>
          </cell>
          <cell r="M172">
            <v>0.32854452746179441</v>
          </cell>
        </row>
        <row r="173">
          <cell r="C173">
            <v>91.1</v>
          </cell>
          <cell r="M173">
            <v>0.35175142904613438</v>
          </cell>
        </row>
        <row r="174">
          <cell r="C174">
            <v>99</v>
          </cell>
          <cell r="M174">
            <v>0.51841917678821337</v>
          </cell>
        </row>
        <row r="175">
          <cell r="C175">
            <v>103.85000000000001</v>
          </cell>
          <cell r="M175">
            <v>0.6207405155918948</v>
          </cell>
        </row>
        <row r="176">
          <cell r="C176">
            <v>108.10000000000001</v>
          </cell>
          <cell r="M176">
            <v>0.71040354444048148</v>
          </cell>
        </row>
        <row r="177">
          <cell r="C177">
            <v>109.8</v>
          </cell>
          <cell r="M177">
            <v>0.74626875597991593</v>
          </cell>
        </row>
        <row r="178">
          <cell r="C178">
            <v>122.35000000000001</v>
          </cell>
          <cell r="M178">
            <v>1.0110384058739781</v>
          </cell>
        </row>
        <row r="179">
          <cell r="C179">
            <v>123.45000000000002</v>
          </cell>
          <cell r="M179">
            <v>1.0342453074583182</v>
          </cell>
        </row>
        <row r="180">
          <cell r="C180">
            <v>141.30000000000001</v>
          </cell>
          <cell r="M180">
            <v>1.4108300286223823</v>
          </cell>
        </row>
        <row r="181">
          <cell r="C181">
            <v>146</v>
          </cell>
          <cell r="M181">
            <v>1.5099867899372896</v>
          </cell>
        </row>
        <row r="182">
          <cell r="C182">
            <v>149.25</v>
          </cell>
          <cell r="M182">
            <v>1.5785526355273853</v>
          </cell>
        </row>
        <row r="183">
          <cell r="C183">
            <v>150.69999999999999</v>
          </cell>
          <cell r="M183">
            <v>1.6091435512521972</v>
          </cell>
        </row>
        <row r="184">
          <cell r="C184">
            <v>209.25</v>
          </cell>
          <cell r="M184">
            <v>2.8443836310368447</v>
          </cell>
        </row>
        <row r="185">
          <cell r="C185">
            <v>230.85000000000002</v>
          </cell>
          <cell r="M185">
            <v>3.3000827894202507</v>
          </cell>
        </row>
        <row r="186">
          <cell r="C186">
            <v>249.8</v>
          </cell>
          <cell r="M186">
            <v>3.6998744121686546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SILNYA"/>
      <sheetName val="Data_CH"/>
      <sheetName val="Thiesen"/>
      <sheetName val="CHrata"/>
      <sheetName val="LogNorm"/>
      <sheetName val="Pearson"/>
      <sheetName val="Gumbel"/>
      <sheetName val="Iway"/>
      <sheetName val="Chi&amp;Smirnov"/>
      <sheetName val="Nisbah"/>
      <sheetName val="Snyder"/>
      <sheetName val="Gama I"/>
      <sheetName val="Nakayasu"/>
      <sheetName val="ChUlang"/>
      <sheetName val="Qulang"/>
      <sheetName val="GrafGama"/>
      <sheetName val="GrafSNYD"/>
    </sheetNames>
    <sheetDataSet>
      <sheetData sheetId="0" refreshError="1"/>
      <sheetData sheetId="1"/>
      <sheetData sheetId="2">
        <row r="2">
          <cell r="B2" t="str">
            <v>56</v>
          </cell>
        </row>
        <row r="4">
          <cell r="B4" t="str">
            <v>Nama  55,72</v>
          </cell>
        </row>
        <row r="6">
          <cell r="B6" t="str">
            <v>KOEFISIEN THIESSEN</v>
          </cell>
        </row>
        <row r="8">
          <cell r="B8" t="str">
            <v>No</v>
          </cell>
          <cell r="C8" t="str">
            <v>Nama</v>
          </cell>
          <cell r="D8" t="str">
            <v>Tahun</v>
          </cell>
          <cell r="E8" t="str">
            <v>Luas</v>
          </cell>
          <cell r="F8" t="str">
            <v>Koefisien</v>
          </cell>
        </row>
        <row r="9">
          <cell r="B9" t="str">
            <v>Code</v>
          </cell>
          <cell r="C9" t="str">
            <v>Stasiun Pengamatan</v>
          </cell>
          <cell r="D9" t="str">
            <v>Pengamatan</v>
          </cell>
          <cell r="E9" t="str">
            <v>(Km2)</v>
          </cell>
          <cell r="F9" t="str">
            <v>Thiessen</v>
          </cell>
        </row>
        <row r="11">
          <cell r="B11">
            <v>1</v>
          </cell>
          <cell r="C11" t="str">
            <v>Swono</v>
          </cell>
          <cell r="D11" t="str">
            <v>1981 -1997</v>
          </cell>
          <cell r="E11">
            <v>55.72</v>
          </cell>
          <cell r="F11">
            <v>7.0000000000000007E-2</v>
          </cell>
        </row>
        <row r="12">
          <cell r="B12">
            <v>2</v>
          </cell>
          <cell r="C12" t="str">
            <v>Bbiru</v>
          </cell>
          <cell r="E12">
            <v>183.08</v>
          </cell>
          <cell r="F12">
            <v>0.23</v>
          </cell>
        </row>
        <row r="13">
          <cell r="B13">
            <v>3</v>
          </cell>
          <cell r="C13" t="str">
            <v>Krlo</v>
          </cell>
          <cell r="E13">
            <v>262.68</v>
          </cell>
          <cell r="F13">
            <v>0.33</v>
          </cell>
        </row>
        <row r="14">
          <cell r="B14">
            <v>4</v>
          </cell>
          <cell r="C14" t="str">
            <v>Sltg</v>
          </cell>
          <cell r="E14">
            <v>191.04</v>
          </cell>
          <cell r="F14">
            <v>0.24</v>
          </cell>
        </row>
        <row r="15">
          <cell r="B15">
            <v>5</v>
          </cell>
          <cell r="C15" t="str">
            <v>Plor</v>
          </cell>
          <cell r="E15">
            <v>79.599999999999994</v>
          </cell>
          <cell r="F15">
            <v>0.1</v>
          </cell>
        </row>
        <row r="16">
          <cell r="B16">
            <v>6</v>
          </cell>
          <cell r="C16" t="str">
            <v>Wntg</v>
          </cell>
          <cell r="E16">
            <v>23.88</v>
          </cell>
          <cell r="F16">
            <v>0.03</v>
          </cell>
        </row>
        <row r="17">
          <cell r="E17">
            <v>796</v>
          </cell>
          <cell r="F17">
            <v>1</v>
          </cell>
        </row>
      </sheetData>
      <sheetData sheetId="3">
        <row r="2">
          <cell r="A2" t="str">
            <v>CURAH HUJAN HARIAN RATA-RATA MAKSIMUM</v>
          </cell>
        </row>
        <row r="3">
          <cell r="A3" t="str">
            <v>BERDASARKAN MAKSIMUM HUJAN</v>
          </cell>
        </row>
        <row r="5">
          <cell r="A5" t="str">
            <v>Tahun</v>
          </cell>
          <cell r="B5" t="str">
            <v>Hujan Maksimum Stasiun</v>
          </cell>
          <cell r="H5" t="str">
            <v>CH. STASIUN x KOEF. THIESSEN</v>
          </cell>
          <cell r="N5" t="str">
            <v>CH. RATA-2</v>
          </cell>
        </row>
        <row r="6">
          <cell r="B6" t="str">
            <v>Swono</v>
          </cell>
          <cell r="C6" t="str">
            <v>Bbiru</v>
          </cell>
          <cell r="D6" t="str">
            <v>Krlo</v>
          </cell>
          <cell r="E6" t="str">
            <v>Sltg</v>
          </cell>
          <cell r="F6" t="str">
            <v>Plor</v>
          </cell>
          <cell r="G6" t="str">
            <v>Wntg</v>
          </cell>
          <cell r="H6" t="str">
            <v>Swono</v>
          </cell>
          <cell r="I6" t="str">
            <v>Bbiru</v>
          </cell>
          <cell r="J6" t="str">
            <v>Krlo</v>
          </cell>
          <cell r="K6" t="str">
            <v>Sltg</v>
          </cell>
          <cell r="L6" t="str">
            <v>Plor</v>
          </cell>
          <cell r="M6" t="str">
            <v>Wntg</v>
          </cell>
          <cell r="N6" t="str">
            <v>(mm)</v>
          </cell>
        </row>
        <row r="7">
          <cell r="H7">
            <v>7.0000000000000007E-2</v>
          </cell>
          <cell r="I7">
            <v>0.23</v>
          </cell>
          <cell r="J7">
            <v>0.33</v>
          </cell>
          <cell r="K7">
            <v>0.24</v>
          </cell>
          <cell r="L7">
            <v>0.1</v>
          </cell>
          <cell r="M7">
            <v>0.03</v>
          </cell>
        </row>
        <row r="9">
          <cell r="A9">
            <v>1980</v>
          </cell>
          <cell r="B9">
            <v>162</v>
          </cell>
          <cell r="C9">
            <v>60</v>
          </cell>
          <cell r="D9">
            <v>65</v>
          </cell>
          <cell r="E9">
            <v>140</v>
          </cell>
          <cell r="F9">
            <v>99</v>
          </cell>
          <cell r="G9">
            <v>68</v>
          </cell>
          <cell r="H9">
            <v>11.340000000000002</v>
          </cell>
          <cell r="I9">
            <v>13.8</v>
          </cell>
          <cell r="J9">
            <v>21.45</v>
          </cell>
          <cell r="K9">
            <v>33.6</v>
          </cell>
          <cell r="L9">
            <v>9.9</v>
          </cell>
          <cell r="M9">
            <v>2.04</v>
          </cell>
          <cell r="N9">
            <v>92</v>
          </cell>
        </row>
        <row r="10">
          <cell r="A10">
            <v>1981</v>
          </cell>
          <cell r="B10">
            <v>110</v>
          </cell>
          <cell r="C10">
            <v>94</v>
          </cell>
          <cell r="D10">
            <v>118</v>
          </cell>
          <cell r="E10">
            <v>100</v>
          </cell>
          <cell r="F10">
            <v>157</v>
          </cell>
          <cell r="G10">
            <v>130</v>
          </cell>
          <cell r="H10">
            <v>7.7000000000000011</v>
          </cell>
          <cell r="I10">
            <v>21.62</v>
          </cell>
          <cell r="J10">
            <v>38.940000000000005</v>
          </cell>
          <cell r="K10">
            <v>24</v>
          </cell>
          <cell r="L10">
            <v>15.700000000000001</v>
          </cell>
          <cell r="M10">
            <v>3.9</v>
          </cell>
          <cell r="N10">
            <v>112</v>
          </cell>
        </row>
        <row r="11">
          <cell r="A11">
            <v>1982</v>
          </cell>
          <cell r="B11">
            <v>170</v>
          </cell>
          <cell r="C11">
            <v>74</v>
          </cell>
          <cell r="D11">
            <v>124</v>
          </cell>
          <cell r="E11">
            <v>140</v>
          </cell>
          <cell r="F11">
            <v>129</v>
          </cell>
          <cell r="G11">
            <v>108</v>
          </cell>
          <cell r="H11">
            <v>11.9</v>
          </cell>
          <cell r="I11">
            <v>17.02</v>
          </cell>
          <cell r="J11">
            <v>40.92</v>
          </cell>
          <cell r="K11">
            <v>33.6</v>
          </cell>
          <cell r="L11">
            <v>12.9</v>
          </cell>
          <cell r="M11">
            <v>3.2399999999999998</v>
          </cell>
          <cell r="N11">
            <v>120</v>
          </cell>
        </row>
        <row r="12">
          <cell r="A12">
            <v>1983</v>
          </cell>
          <cell r="B12">
            <v>149</v>
          </cell>
          <cell r="C12">
            <v>70</v>
          </cell>
          <cell r="D12">
            <v>109</v>
          </cell>
          <cell r="E12">
            <v>150</v>
          </cell>
          <cell r="F12">
            <v>90</v>
          </cell>
          <cell r="G12">
            <v>87</v>
          </cell>
          <cell r="H12">
            <v>10.430000000000001</v>
          </cell>
          <cell r="I12">
            <v>16.100000000000001</v>
          </cell>
          <cell r="J12">
            <v>35.97</v>
          </cell>
          <cell r="K12">
            <v>36</v>
          </cell>
          <cell r="L12">
            <v>9</v>
          </cell>
          <cell r="M12">
            <v>2.61</v>
          </cell>
          <cell r="N12">
            <v>110</v>
          </cell>
        </row>
        <row r="13">
          <cell r="A13">
            <v>1984</v>
          </cell>
          <cell r="B13">
            <v>116</v>
          </cell>
          <cell r="C13">
            <v>100</v>
          </cell>
          <cell r="D13">
            <v>74</v>
          </cell>
          <cell r="E13">
            <v>94</v>
          </cell>
          <cell r="F13">
            <v>106</v>
          </cell>
          <cell r="G13">
            <v>123</v>
          </cell>
          <cell r="H13">
            <v>8.120000000000001</v>
          </cell>
          <cell r="I13">
            <v>23</v>
          </cell>
          <cell r="J13">
            <v>24.42</v>
          </cell>
          <cell r="K13">
            <v>22.56</v>
          </cell>
          <cell r="L13">
            <v>10.600000000000001</v>
          </cell>
          <cell r="M13">
            <v>3.69</v>
          </cell>
          <cell r="N13">
            <v>92</v>
          </cell>
        </row>
        <row r="14">
          <cell r="A14">
            <v>1985</v>
          </cell>
          <cell r="B14">
            <v>94</v>
          </cell>
          <cell r="C14">
            <v>62</v>
          </cell>
          <cell r="D14">
            <v>86</v>
          </cell>
          <cell r="E14">
            <v>229</v>
          </cell>
          <cell r="F14">
            <v>158</v>
          </cell>
          <cell r="G14">
            <v>150</v>
          </cell>
          <cell r="H14">
            <v>6.580000000000001</v>
          </cell>
          <cell r="I14">
            <v>14.26</v>
          </cell>
          <cell r="J14">
            <v>28.380000000000003</v>
          </cell>
          <cell r="K14">
            <v>54.96</v>
          </cell>
          <cell r="L14">
            <v>15.8</v>
          </cell>
          <cell r="M14">
            <v>4.5</v>
          </cell>
          <cell r="N14">
            <v>124</v>
          </cell>
        </row>
        <row r="15">
          <cell r="A15">
            <v>1986</v>
          </cell>
          <cell r="B15">
            <v>103</v>
          </cell>
          <cell r="C15">
            <v>120</v>
          </cell>
          <cell r="D15">
            <v>67</v>
          </cell>
          <cell r="E15">
            <v>194</v>
          </cell>
          <cell r="F15">
            <v>145</v>
          </cell>
          <cell r="G15">
            <v>99</v>
          </cell>
          <cell r="H15">
            <v>7.2100000000000009</v>
          </cell>
          <cell r="I15">
            <v>27.6</v>
          </cell>
          <cell r="J15">
            <v>22.11</v>
          </cell>
          <cell r="K15">
            <v>46.559999999999995</v>
          </cell>
          <cell r="L15">
            <v>14.5</v>
          </cell>
          <cell r="M15">
            <v>2.9699999999999998</v>
          </cell>
          <cell r="N15">
            <v>121</v>
          </cell>
        </row>
        <row r="16">
          <cell r="A16">
            <v>1987</v>
          </cell>
          <cell r="B16">
            <v>115</v>
          </cell>
          <cell r="C16">
            <v>100</v>
          </cell>
          <cell r="D16">
            <v>52</v>
          </cell>
          <cell r="E16">
            <v>140</v>
          </cell>
          <cell r="F16">
            <v>88</v>
          </cell>
          <cell r="G16">
            <v>83</v>
          </cell>
          <cell r="H16">
            <v>8.0500000000000007</v>
          </cell>
          <cell r="I16">
            <v>23</v>
          </cell>
          <cell r="J16">
            <v>17.16</v>
          </cell>
          <cell r="K16">
            <v>33.6</v>
          </cell>
          <cell r="L16">
            <v>8.8000000000000007</v>
          </cell>
          <cell r="M16">
            <v>2.4899999999999998</v>
          </cell>
          <cell r="N16">
            <v>93</v>
          </cell>
        </row>
        <row r="17">
          <cell r="A17">
            <v>1988</v>
          </cell>
          <cell r="B17">
            <v>185</v>
          </cell>
          <cell r="C17">
            <v>91</v>
          </cell>
          <cell r="D17">
            <v>61</v>
          </cell>
          <cell r="E17">
            <v>95</v>
          </cell>
          <cell r="F17">
            <v>149</v>
          </cell>
          <cell r="G17">
            <v>59</v>
          </cell>
          <cell r="H17">
            <v>12.950000000000001</v>
          </cell>
          <cell r="I17">
            <v>20.93</v>
          </cell>
          <cell r="J17">
            <v>20.130000000000003</v>
          </cell>
          <cell r="K17">
            <v>22.8</v>
          </cell>
          <cell r="L17">
            <v>14.9</v>
          </cell>
          <cell r="M17">
            <v>1.77</v>
          </cell>
          <cell r="N17">
            <v>93</v>
          </cell>
        </row>
        <row r="18">
          <cell r="A18">
            <v>1989</v>
          </cell>
          <cell r="B18">
            <v>135</v>
          </cell>
          <cell r="C18">
            <v>90</v>
          </cell>
          <cell r="D18">
            <v>73</v>
          </cell>
          <cell r="E18">
            <v>113</v>
          </cell>
          <cell r="F18">
            <v>143</v>
          </cell>
          <cell r="G18">
            <v>168</v>
          </cell>
          <cell r="H18">
            <v>9.4500000000000011</v>
          </cell>
          <cell r="I18">
            <v>20.7</v>
          </cell>
          <cell r="J18">
            <v>24.09</v>
          </cell>
          <cell r="K18">
            <v>27.119999999999997</v>
          </cell>
          <cell r="L18">
            <v>14.3</v>
          </cell>
          <cell r="M18">
            <v>5.04</v>
          </cell>
          <cell r="N18">
            <v>101</v>
          </cell>
        </row>
        <row r="19">
          <cell r="A19">
            <v>1990</v>
          </cell>
          <cell r="B19">
            <v>329</v>
          </cell>
          <cell r="C19">
            <v>65</v>
          </cell>
          <cell r="D19">
            <v>58</v>
          </cell>
          <cell r="E19">
            <v>84</v>
          </cell>
          <cell r="F19">
            <v>108</v>
          </cell>
          <cell r="G19">
            <v>120</v>
          </cell>
          <cell r="H19">
            <v>23.03</v>
          </cell>
          <cell r="I19">
            <v>14.950000000000001</v>
          </cell>
          <cell r="J19">
            <v>19.14</v>
          </cell>
          <cell r="K19">
            <v>20.16</v>
          </cell>
          <cell r="L19">
            <v>10.8</v>
          </cell>
          <cell r="M19">
            <v>3.5999999999999996</v>
          </cell>
          <cell r="N19">
            <v>92</v>
          </cell>
        </row>
        <row r="20">
          <cell r="A20">
            <v>1991</v>
          </cell>
          <cell r="B20">
            <v>109</v>
          </cell>
          <cell r="C20">
            <v>103</v>
          </cell>
          <cell r="D20">
            <v>55</v>
          </cell>
          <cell r="E20">
            <v>96</v>
          </cell>
          <cell r="F20">
            <v>104</v>
          </cell>
          <cell r="G20">
            <v>153</v>
          </cell>
          <cell r="H20">
            <v>7.6300000000000008</v>
          </cell>
          <cell r="I20">
            <v>23.69</v>
          </cell>
          <cell r="J20">
            <v>18.150000000000002</v>
          </cell>
          <cell r="K20">
            <v>23.04</v>
          </cell>
          <cell r="L20">
            <v>10.4</v>
          </cell>
          <cell r="M20">
            <v>4.59</v>
          </cell>
          <cell r="N20">
            <v>88</v>
          </cell>
        </row>
        <row r="21">
          <cell r="A21">
            <v>1992</v>
          </cell>
          <cell r="B21">
            <v>160</v>
          </cell>
          <cell r="C21">
            <v>101</v>
          </cell>
          <cell r="D21">
            <v>94</v>
          </cell>
          <cell r="E21">
            <v>89</v>
          </cell>
          <cell r="F21">
            <v>86</v>
          </cell>
          <cell r="G21">
            <v>78</v>
          </cell>
          <cell r="H21">
            <v>11.200000000000001</v>
          </cell>
          <cell r="I21">
            <v>23.23</v>
          </cell>
          <cell r="J21">
            <v>31.020000000000003</v>
          </cell>
          <cell r="K21">
            <v>21.36</v>
          </cell>
          <cell r="L21">
            <v>8.6</v>
          </cell>
          <cell r="M21">
            <v>2.34</v>
          </cell>
          <cell r="N21">
            <v>98</v>
          </cell>
        </row>
        <row r="22">
          <cell r="A22">
            <v>1993</v>
          </cell>
          <cell r="B22">
            <v>158</v>
          </cell>
          <cell r="C22">
            <v>137</v>
          </cell>
          <cell r="D22">
            <v>93</v>
          </cell>
          <cell r="E22">
            <v>80</v>
          </cell>
          <cell r="F22">
            <v>132</v>
          </cell>
          <cell r="G22">
            <v>223</v>
          </cell>
          <cell r="H22">
            <v>11.06</v>
          </cell>
          <cell r="I22">
            <v>31.51</v>
          </cell>
          <cell r="J22">
            <v>30.69</v>
          </cell>
          <cell r="K22">
            <v>19.2</v>
          </cell>
          <cell r="L22">
            <v>13.200000000000001</v>
          </cell>
          <cell r="M22">
            <v>6.6899999999999995</v>
          </cell>
          <cell r="N22">
            <v>112</v>
          </cell>
        </row>
        <row r="23">
          <cell r="A23">
            <v>1994</v>
          </cell>
          <cell r="B23">
            <v>150</v>
          </cell>
          <cell r="C23">
            <v>94</v>
          </cell>
          <cell r="D23">
            <v>75</v>
          </cell>
          <cell r="E23">
            <v>84</v>
          </cell>
          <cell r="F23">
            <v>80</v>
          </cell>
          <cell r="G23">
            <v>81</v>
          </cell>
          <cell r="H23">
            <v>10.500000000000002</v>
          </cell>
          <cell r="I23">
            <v>21.62</v>
          </cell>
          <cell r="J23">
            <v>24.75</v>
          </cell>
          <cell r="K23">
            <v>20.16</v>
          </cell>
          <cell r="L23">
            <v>8</v>
          </cell>
          <cell r="M23">
            <v>2.4299999999999997</v>
          </cell>
          <cell r="N23">
            <v>87</v>
          </cell>
        </row>
        <row r="24">
          <cell r="A24">
            <v>1995</v>
          </cell>
          <cell r="B24">
            <v>93</v>
          </cell>
          <cell r="C24">
            <v>91</v>
          </cell>
          <cell r="D24">
            <v>106</v>
          </cell>
          <cell r="E24">
            <v>98</v>
          </cell>
          <cell r="F24">
            <v>90</v>
          </cell>
          <cell r="G24">
            <v>66</v>
          </cell>
          <cell r="H24">
            <v>6.5100000000000007</v>
          </cell>
          <cell r="I24">
            <v>20.93</v>
          </cell>
          <cell r="J24">
            <v>34.980000000000004</v>
          </cell>
          <cell r="K24">
            <v>23.52</v>
          </cell>
          <cell r="L24">
            <v>9</v>
          </cell>
          <cell r="M24">
            <v>1.98</v>
          </cell>
          <cell r="N24">
            <v>97</v>
          </cell>
        </row>
        <row r="25">
          <cell r="A25">
            <v>1996</v>
          </cell>
          <cell r="B25">
            <v>75</v>
          </cell>
          <cell r="C25">
            <v>91</v>
          </cell>
          <cell r="D25">
            <v>82</v>
          </cell>
          <cell r="E25">
            <v>98</v>
          </cell>
          <cell r="F25">
            <v>95</v>
          </cell>
          <cell r="G25">
            <v>106</v>
          </cell>
          <cell r="H25">
            <v>5.2500000000000009</v>
          </cell>
          <cell r="I25">
            <v>20.93</v>
          </cell>
          <cell r="J25">
            <v>27.060000000000002</v>
          </cell>
          <cell r="K25">
            <v>23.52</v>
          </cell>
          <cell r="L25">
            <v>9.5</v>
          </cell>
          <cell r="M25">
            <v>3.1799999999999997</v>
          </cell>
          <cell r="N25">
            <v>89</v>
          </cell>
        </row>
        <row r="26">
          <cell r="A26">
            <v>1997</v>
          </cell>
          <cell r="B26">
            <v>145</v>
          </cell>
          <cell r="C26">
            <v>112</v>
          </cell>
          <cell r="D26">
            <v>120</v>
          </cell>
          <cell r="E26">
            <v>96</v>
          </cell>
          <cell r="F26">
            <v>104</v>
          </cell>
          <cell r="G26">
            <v>97</v>
          </cell>
          <cell r="H26">
            <v>10.15</v>
          </cell>
          <cell r="I26">
            <v>25.76</v>
          </cell>
          <cell r="J26">
            <v>39.6</v>
          </cell>
          <cell r="K26">
            <v>23.04</v>
          </cell>
          <cell r="L26">
            <v>10.4</v>
          </cell>
          <cell r="M26">
            <v>2.9099999999999997</v>
          </cell>
          <cell r="N26">
            <v>112</v>
          </cell>
        </row>
      </sheetData>
      <sheetData sheetId="4">
        <row r="1">
          <cell r="A1">
            <v>4</v>
          </cell>
        </row>
        <row r="2">
          <cell r="A2" t="str">
            <v>Perhitungan dengan Metode Log Normal 2 Parameter</v>
          </cell>
        </row>
        <row r="3">
          <cell r="A3" t="str">
            <v>Rumus:</v>
          </cell>
        </row>
        <row r="6">
          <cell r="A6" t="str">
            <v>No</v>
          </cell>
          <cell r="B6" t="str">
            <v>xi</v>
          </cell>
          <cell r="C6" t="str">
            <v>log xi</v>
          </cell>
          <cell r="D6" t="str">
            <v>(log xi - logx)</v>
          </cell>
          <cell r="E6" t="str">
            <v>(log xi - logx)2</v>
          </cell>
        </row>
        <row r="7">
          <cell r="A7">
            <v>1</v>
          </cell>
          <cell r="B7">
            <v>75</v>
          </cell>
          <cell r="C7">
            <v>1.8750612633917001</v>
          </cell>
          <cell r="D7">
            <v>0.14989969015185323</v>
          </cell>
          <cell r="E7">
            <v>2.2469917107621602E-2</v>
          </cell>
        </row>
        <row r="8">
          <cell r="A8">
            <v>2</v>
          </cell>
          <cell r="B8">
            <v>70</v>
          </cell>
          <cell r="C8">
            <v>1.8450980400142569</v>
          </cell>
          <cell r="D8">
            <v>0.11993646677441006</v>
          </cell>
          <cell r="E8">
            <v>1.4384756062329166E-2</v>
          </cell>
        </row>
        <row r="9">
          <cell r="A9">
            <v>3</v>
          </cell>
          <cell r="B9">
            <v>66</v>
          </cell>
          <cell r="C9">
            <v>1.8195439355418688</v>
          </cell>
          <cell r="D9">
            <v>9.4382362302021905E-2</v>
          </cell>
          <cell r="E9">
            <v>8.9080303137101264E-3</v>
          </cell>
        </row>
        <row r="10">
          <cell r="A10">
            <v>4</v>
          </cell>
          <cell r="B10">
            <v>64</v>
          </cell>
          <cell r="C10">
            <v>1.8061799739838871</v>
          </cell>
          <cell r="D10">
            <v>8.1018400744040209E-2</v>
          </cell>
          <cell r="E10">
            <v>6.5639812591218949E-3</v>
          </cell>
        </row>
        <row r="11">
          <cell r="A11">
            <v>5</v>
          </cell>
          <cell r="B11">
            <v>61</v>
          </cell>
          <cell r="C11">
            <v>1.7853298350107671</v>
          </cell>
          <cell r="D11">
            <v>6.0168261770920273E-2</v>
          </cell>
          <cell r="E11">
            <v>3.6202197245339858E-3</v>
          </cell>
        </row>
        <row r="12">
          <cell r="A12">
            <v>6</v>
          </cell>
          <cell r="B12">
            <v>58</v>
          </cell>
          <cell r="C12">
            <v>1.7634279935629373</v>
          </cell>
          <cell r="D12">
            <v>3.8266420323090466E-2</v>
          </cell>
          <cell r="E12">
            <v>1.4643189243434311E-3</v>
          </cell>
        </row>
        <row r="13">
          <cell r="A13">
            <v>7</v>
          </cell>
          <cell r="B13">
            <v>56</v>
          </cell>
          <cell r="C13">
            <v>1.7481880270062005</v>
          </cell>
          <cell r="D13">
            <v>2.3026453766353594E-2</v>
          </cell>
          <cell r="E13">
            <v>5.3021757305401964E-4</v>
          </cell>
        </row>
        <row r="14">
          <cell r="A14">
            <v>8</v>
          </cell>
          <cell r="B14">
            <v>54</v>
          </cell>
          <cell r="C14">
            <v>1.7323937598229686</v>
          </cell>
          <cell r="D14">
            <v>7.2321865831217469E-3</v>
          </cell>
          <cell r="E14">
            <v>5.2304522773086206E-5</v>
          </cell>
        </row>
        <row r="15">
          <cell r="A15">
            <v>9</v>
          </cell>
          <cell r="B15">
            <v>54</v>
          </cell>
          <cell r="C15">
            <v>1.7323937598229686</v>
          </cell>
          <cell r="D15">
            <v>7.2321865831217469E-3</v>
          </cell>
          <cell r="E15">
            <v>5.2304522773086206E-5</v>
          </cell>
        </row>
        <row r="16">
          <cell r="A16">
            <v>10</v>
          </cell>
          <cell r="B16">
            <v>53</v>
          </cell>
          <cell r="C16">
            <v>1.7242758696007889</v>
          </cell>
          <cell r="D16">
            <v>-8.8570363905793315E-4</v>
          </cell>
          <cell r="E16">
            <v>7.8447093624046555E-7</v>
          </cell>
        </row>
        <row r="17">
          <cell r="A17">
            <v>11</v>
          </cell>
          <cell r="B17">
            <v>53</v>
          </cell>
          <cell r="C17">
            <v>1.7242758696007889</v>
          </cell>
          <cell r="D17">
            <v>-8.8570363905793315E-4</v>
          </cell>
          <cell r="E17">
            <v>7.8447093624046555E-7</v>
          </cell>
        </row>
        <row r="18">
          <cell r="A18">
            <v>12</v>
          </cell>
          <cell r="B18">
            <v>51</v>
          </cell>
          <cell r="C18">
            <v>1.7075701760979363</v>
          </cell>
          <cell r="D18">
            <v>-1.7591397141910603E-2</v>
          </cell>
          <cell r="E18">
            <v>3.0945725340442051E-4</v>
          </cell>
        </row>
        <row r="19">
          <cell r="A19">
            <v>13</v>
          </cell>
          <cell r="B19">
            <v>45</v>
          </cell>
          <cell r="C19">
            <v>1.6532125137753437</v>
          </cell>
          <cell r="D19">
            <v>-7.194905946450314E-2</v>
          </cell>
          <cell r="E19">
            <v>5.1766671578266088E-3</v>
          </cell>
        </row>
        <row r="20">
          <cell r="A20">
            <v>14</v>
          </cell>
          <cell r="B20">
            <v>44</v>
          </cell>
          <cell r="C20">
            <v>1.6434526764861874</v>
          </cell>
          <cell r="D20">
            <v>-8.1708896753659443E-2</v>
          </cell>
          <cell r="E20">
            <v>6.6763438087001784E-3</v>
          </cell>
        </row>
        <row r="21">
          <cell r="A21">
            <v>15</v>
          </cell>
          <cell r="B21">
            <v>43</v>
          </cell>
          <cell r="C21">
            <v>1.6334684555795864</v>
          </cell>
          <cell r="D21">
            <v>-9.1693117660260448E-2</v>
          </cell>
          <cell r="E21">
            <v>8.4076278262583664E-3</v>
          </cell>
        </row>
        <row r="22">
          <cell r="A22">
            <v>16</v>
          </cell>
          <cell r="B22">
            <v>43</v>
          </cell>
          <cell r="C22">
            <v>1.6334684555795864</v>
          </cell>
          <cell r="D22">
            <v>-9.1693117660260448E-2</v>
          </cell>
          <cell r="E22">
            <v>8.4076278262583664E-3</v>
          </cell>
        </row>
        <row r="23">
          <cell r="A23">
            <v>17</v>
          </cell>
          <cell r="B23">
            <v>41</v>
          </cell>
          <cell r="C23">
            <v>1.6127838567197355</v>
          </cell>
          <cell r="D23">
            <v>-0.11237771652011141</v>
          </cell>
          <cell r="E23">
            <v>1.2628751170274522E-2</v>
          </cell>
        </row>
        <row r="24">
          <cell r="A24">
            <v>18</v>
          </cell>
          <cell r="B24">
            <v>41</v>
          </cell>
          <cell r="C24">
            <v>1.6127838567197355</v>
          </cell>
          <cell r="D24">
            <v>-0.11237771652011141</v>
          </cell>
          <cell r="E24">
            <v>1.2628751170274522E-2</v>
          </cell>
        </row>
        <row r="26">
          <cell r="A26">
            <v>18</v>
          </cell>
          <cell r="C26">
            <v>31.052908318317243</v>
          </cell>
          <cell r="E26">
            <v>0.11228284516512986</v>
          </cell>
        </row>
        <row r="27">
          <cell r="B27" t="str">
            <v>log xr</v>
          </cell>
          <cell r="C27">
            <v>1.7251615732398469</v>
          </cell>
        </row>
        <row r="31">
          <cell r="D31">
            <v>8.1270371261657467E-2</v>
          </cell>
        </row>
        <row r="34">
          <cell r="D34">
            <v>4.7108846221882869E-2</v>
          </cell>
        </row>
        <row r="36">
          <cell r="A36" t="str">
            <v>Besar Curah Hujan Periode Ulang</v>
          </cell>
        </row>
        <row r="39">
          <cell r="A39" t="str">
            <v>T (tahun)</v>
          </cell>
          <cell r="B39" t="str">
            <v>logx</v>
          </cell>
          <cell r="C39" t="str">
            <v>k</v>
          </cell>
          <cell r="D39" t="str">
            <v>S logx</v>
          </cell>
          <cell r="E39" t="str">
            <v>log Rt</v>
          </cell>
          <cell r="F39" t="str">
            <v>Rt</v>
          </cell>
        </row>
        <row r="40">
          <cell r="A40">
            <v>2</v>
          </cell>
          <cell r="B40">
            <v>1.7251615732398469</v>
          </cell>
          <cell r="C40">
            <v>-0.25</v>
          </cell>
          <cell r="D40">
            <v>8.1270371261657467E-2</v>
          </cell>
          <cell r="E40">
            <v>1.7048439804244324</v>
          </cell>
          <cell r="F40">
            <v>50.680860541187542</v>
          </cell>
        </row>
        <row r="41">
          <cell r="A41">
            <v>3</v>
          </cell>
          <cell r="B41">
            <v>1.7251615732398469</v>
          </cell>
          <cell r="C41">
            <v>0.11599999999999999</v>
          </cell>
          <cell r="D41">
            <v>8.1270371261657467E-2</v>
          </cell>
          <cell r="E41">
            <v>1.734588936306199</v>
          </cell>
          <cell r="F41">
            <v>54.273638335850649</v>
          </cell>
        </row>
        <row r="42">
          <cell r="A42">
            <v>5</v>
          </cell>
          <cell r="B42">
            <v>1.7251615732398469</v>
          </cell>
          <cell r="C42">
            <v>0.83340000000000003</v>
          </cell>
          <cell r="D42">
            <v>8.1270371261657467E-2</v>
          </cell>
          <cell r="E42">
            <v>1.7928923006493123</v>
          </cell>
          <cell r="F42">
            <v>62.071508592027534</v>
          </cell>
        </row>
        <row r="43">
          <cell r="A43">
            <v>10</v>
          </cell>
          <cell r="B43">
            <v>1.7251615732398469</v>
          </cell>
          <cell r="C43">
            <v>1.2910999999999999</v>
          </cell>
          <cell r="D43">
            <v>8.1270371261657467E-2</v>
          </cell>
          <cell r="E43">
            <v>1.8300897495757729</v>
          </cell>
          <cell r="F43">
            <v>67.622270645683145</v>
          </cell>
        </row>
        <row r="44">
          <cell r="A44">
            <v>20</v>
          </cell>
          <cell r="B44">
            <v>1.7251615732398469</v>
          </cell>
          <cell r="C44">
            <v>1.6771</v>
          </cell>
          <cell r="D44">
            <v>8.1270371261657467E-2</v>
          </cell>
          <cell r="E44">
            <v>1.8614601128827726</v>
          </cell>
          <cell r="F44">
            <v>72.687563735917138</v>
          </cell>
        </row>
        <row r="45">
          <cell r="A45">
            <v>25</v>
          </cell>
          <cell r="B45">
            <v>1.7251615732398469</v>
          </cell>
          <cell r="C45">
            <v>1.7190000000000001</v>
          </cell>
          <cell r="D45">
            <v>8.1270371261657467E-2</v>
          </cell>
          <cell r="E45">
            <v>1.864865341438636</v>
          </cell>
          <cell r="F45">
            <v>73.259734673799755</v>
          </cell>
        </row>
        <row r="46">
          <cell r="A46">
            <v>30</v>
          </cell>
          <cell r="B46">
            <v>1.7251615732398469</v>
          </cell>
          <cell r="C46">
            <v>1.7608999999999999</v>
          </cell>
          <cell r="D46">
            <v>8.1270371261657467E-2</v>
          </cell>
          <cell r="E46">
            <v>1.8682705699944995</v>
          </cell>
          <cell r="F46">
            <v>73.836409540075778</v>
          </cell>
        </row>
        <row r="47">
          <cell r="A47">
            <v>50</v>
          </cell>
          <cell r="B47">
            <v>1.7251615732398469</v>
          </cell>
          <cell r="C47">
            <v>2.0962000000000001</v>
          </cell>
          <cell r="D47">
            <v>8.1270371261657467E-2</v>
          </cell>
          <cell r="E47">
            <v>1.8955205254785332</v>
          </cell>
          <cell r="F47">
            <v>78.617734631726108</v>
          </cell>
        </row>
        <row r="48">
          <cell r="A48">
            <v>100</v>
          </cell>
          <cell r="B48">
            <v>1.7251615732398469</v>
          </cell>
          <cell r="C48">
            <v>2.3852000000000002</v>
          </cell>
          <cell r="D48">
            <v>8.1270371261657467E-2</v>
          </cell>
          <cell r="E48">
            <v>1.9190076627731523</v>
          </cell>
          <cell r="F48">
            <v>82.986540968591314</v>
          </cell>
        </row>
      </sheetData>
      <sheetData sheetId="5">
        <row r="1">
          <cell r="A1">
            <v>5</v>
          </cell>
        </row>
        <row r="2">
          <cell r="A2" t="str">
            <v>Perhitungan dengan Metode Log Pearson Type III</v>
          </cell>
        </row>
        <row r="3">
          <cell r="A3" t="str">
            <v>Rumus:</v>
          </cell>
        </row>
        <row r="6">
          <cell r="A6" t="str">
            <v>No</v>
          </cell>
          <cell r="B6" t="str">
            <v>xi</v>
          </cell>
          <cell r="C6" t="str">
            <v>log xi</v>
          </cell>
          <cell r="D6" t="str">
            <v>(log xi - logx)</v>
          </cell>
          <cell r="E6" t="str">
            <v>(log xi - logx)2</v>
          </cell>
          <cell r="F6" t="str">
            <v>(log xi - logx)3</v>
          </cell>
        </row>
        <row r="7">
          <cell r="A7">
            <v>1</v>
          </cell>
          <cell r="B7">
            <v>75</v>
          </cell>
          <cell r="C7">
            <v>1.8750612633917001</v>
          </cell>
          <cell r="D7">
            <v>0.14989969015185323</v>
          </cell>
          <cell r="E7">
            <v>2.2469917107621602E-2</v>
          </cell>
          <cell r="F7">
            <v>3.368233612170304E-3</v>
          </cell>
        </row>
        <row r="8">
          <cell r="A8">
            <v>2</v>
          </cell>
          <cell r="B8">
            <v>70</v>
          </cell>
          <cell r="C8">
            <v>1.8450980400142569</v>
          </cell>
          <cell r="D8">
            <v>0.11993646677441006</v>
          </cell>
          <cell r="E8">
            <v>1.4384756062329166E-2</v>
          </cell>
          <cell r="F8">
            <v>1.7252568175275358E-3</v>
          </cell>
        </row>
        <row r="9">
          <cell r="A9">
            <v>3</v>
          </cell>
          <cell r="B9">
            <v>66</v>
          </cell>
          <cell r="C9">
            <v>1.8195439355418688</v>
          </cell>
          <cell r="D9">
            <v>9.4382362302021905E-2</v>
          </cell>
          <cell r="E9">
            <v>8.9080303137101264E-3</v>
          </cell>
          <cell r="F9">
            <v>8.4076094446598304E-4</v>
          </cell>
        </row>
        <row r="10">
          <cell r="A10">
            <v>4</v>
          </cell>
          <cell r="B10">
            <v>64</v>
          </cell>
          <cell r="C10">
            <v>1.8061799739838871</v>
          </cell>
          <cell r="D10">
            <v>8.1018400744040209E-2</v>
          </cell>
          <cell r="E10">
            <v>6.5639812591218949E-3</v>
          </cell>
          <cell r="F10">
            <v>5.3180326412790733E-4</v>
          </cell>
        </row>
        <row r="11">
          <cell r="A11">
            <v>5</v>
          </cell>
          <cell r="B11">
            <v>61</v>
          </cell>
          <cell r="C11">
            <v>1.7853298350107671</v>
          </cell>
          <cell r="D11">
            <v>6.0168261770920273E-2</v>
          </cell>
          <cell r="E11">
            <v>3.6202197245339858E-3</v>
          </cell>
          <cell r="F11">
            <v>2.1782232805400974E-4</v>
          </cell>
        </row>
        <row r="12">
          <cell r="A12">
            <v>6</v>
          </cell>
          <cell r="B12">
            <v>58</v>
          </cell>
          <cell r="C12">
            <v>1.7634279935629373</v>
          </cell>
          <cell r="D12">
            <v>3.8266420323090466E-2</v>
          </cell>
          <cell r="E12">
            <v>1.4643189243434311E-3</v>
          </cell>
          <cell r="F12">
            <v>5.6034243445981438E-5</v>
          </cell>
        </row>
        <row r="13">
          <cell r="A13">
            <v>7</v>
          </cell>
          <cell r="B13">
            <v>56</v>
          </cell>
          <cell r="C13">
            <v>1.7481880270062005</v>
          </cell>
          <cell r="D13">
            <v>2.3026453766353594E-2</v>
          </cell>
          <cell r="E13">
            <v>5.3021757305401964E-4</v>
          </cell>
          <cell r="F13">
            <v>1.2209030432036592E-5</v>
          </cell>
        </row>
        <row r="14">
          <cell r="A14">
            <v>8</v>
          </cell>
          <cell r="B14">
            <v>54</v>
          </cell>
          <cell r="C14">
            <v>1.7323937598229686</v>
          </cell>
          <cell r="D14">
            <v>7.2321865831217469E-3</v>
          </cell>
          <cell r="E14">
            <v>5.2304522773086206E-5</v>
          </cell>
          <cell r="F14">
            <v>3.7827606783609992E-7</v>
          </cell>
        </row>
        <row r="15">
          <cell r="A15">
            <v>9</v>
          </cell>
          <cell r="B15">
            <v>54</v>
          </cell>
          <cell r="C15">
            <v>1.7323937598229686</v>
          </cell>
          <cell r="D15">
            <v>7.2321865831217469E-3</v>
          </cell>
          <cell r="E15">
            <v>5.2304522773086206E-5</v>
          </cell>
          <cell r="F15">
            <v>3.7827606783609992E-7</v>
          </cell>
        </row>
        <row r="16">
          <cell r="A16">
            <v>10</v>
          </cell>
          <cell r="B16">
            <v>53</v>
          </cell>
          <cell r="C16">
            <v>1.7242758696007889</v>
          </cell>
          <cell r="D16">
            <v>-8.8570363905793315E-4</v>
          </cell>
          <cell r="E16">
            <v>7.8447093624046555E-7</v>
          </cell>
          <cell r="F16">
            <v>-6.9480876296336416E-10</v>
          </cell>
        </row>
        <row r="17">
          <cell r="A17">
            <v>11</v>
          </cell>
          <cell r="B17">
            <v>53</v>
          </cell>
          <cell r="C17">
            <v>1.7242758696007889</v>
          </cell>
          <cell r="D17">
            <v>-8.8570363905793315E-4</v>
          </cell>
          <cell r="E17">
            <v>7.8447093624046555E-7</v>
          </cell>
          <cell r="F17">
            <v>-6.9480876296336416E-10</v>
          </cell>
        </row>
        <row r="18">
          <cell r="A18">
            <v>12</v>
          </cell>
          <cell r="B18">
            <v>51</v>
          </cell>
          <cell r="C18">
            <v>1.7075701760979363</v>
          </cell>
          <cell r="D18">
            <v>-1.7591397141910603E-2</v>
          </cell>
          <cell r="E18">
            <v>3.0945725340442051E-4</v>
          </cell>
          <cell r="F18">
            <v>-5.4437854430820285E-6</v>
          </cell>
        </row>
        <row r="19">
          <cell r="A19">
            <v>13</v>
          </cell>
          <cell r="B19">
            <v>45</v>
          </cell>
          <cell r="C19">
            <v>1.6532125137753437</v>
          </cell>
          <cell r="D19">
            <v>-7.194905946450314E-2</v>
          </cell>
          <cell r="E19">
            <v>5.1766671578266088E-3</v>
          </cell>
          <cell r="F19">
            <v>-3.7245633316640713E-4</v>
          </cell>
        </row>
        <row r="20">
          <cell r="A20">
            <v>14</v>
          </cell>
          <cell r="B20">
            <v>44</v>
          </cell>
          <cell r="C20">
            <v>1.6434526764861874</v>
          </cell>
          <cell r="D20">
            <v>-8.1708896753659443E-2</v>
          </cell>
          <cell r="E20">
            <v>6.6763438087001784E-3</v>
          </cell>
          <cell r="F20">
            <v>-5.4551668695701635E-4</v>
          </cell>
        </row>
        <row r="21">
          <cell r="A21">
            <v>15</v>
          </cell>
          <cell r="B21">
            <v>43</v>
          </cell>
          <cell r="C21">
            <v>1.6334684555795864</v>
          </cell>
          <cell r="D21">
            <v>-9.1693117660260448E-2</v>
          </cell>
          <cell r="E21">
            <v>8.4076278262583664E-3</v>
          </cell>
          <cell r="F21">
            <v>-7.7092160751678822E-4</v>
          </cell>
        </row>
        <row r="22">
          <cell r="A22">
            <v>16</v>
          </cell>
          <cell r="B22">
            <v>43</v>
          </cell>
          <cell r="C22">
            <v>1.6334684555795864</v>
          </cell>
          <cell r="D22">
            <v>-9.1693117660260448E-2</v>
          </cell>
          <cell r="E22">
            <v>8.4076278262583664E-3</v>
          </cell>
          <cell r="F22">
            <v>-7.7092160751678822E-4</v>
          </cell>
        </row>
        <row r="23">
          <cell r="A23">
            <v>17</v>
          </cell>
          <cell r="B23">
            <v>41</v>
          </cell>
          <cell r="C23">
            <v>1.6127838567197355</v>
          </cell>
          <cell r="D23">
            <v>-0.11237771652011141</v>
          </cell>
          <cell r="E23">
            <v>1.2628751170274522E-2</v>
          </cell>
          <cell r="F23">
            <v>-1.4191902190161356E-3</v>
          </cell>
        </row>
        <row r="24">
          <cell r="A24">
            <v>18</v>
          </cell>
          <cell r="B24">
            <v>41</v>
          </cell>
          <cell r="C24">
            <v>1.6127838567197355</v>
          </cell>
          <cell r="D24">
            <v>-0.11237771652011141</v>
          </cell>
          <cell r="E24">
            <v>1.2628751170274522E-2</v>
          </cell>
          <cell r="F24">
            <v>-1.4191902190161356E-3</v>
          </cell>
        </row>
        <row r="26">
          <cell r="A26">
            <v>18</v>
          </cell>
          <cell r="C26">
            <v>31.052908318317243</v>
          </cell>
          <cell r="E26">
            <v>0.11228284516512986</v>
          </cell>
          <cell r="F26">
            <v>1.4492349441095492E-3</v>
          </cell>
        </row>
        <row r="27">
          <cell r="B27" t="str">
            <v>log xr</v>
          </cell>
          <cell r="C27">
            <v>1.7251615732398469</v>
          </cell>
        </row>
        <row r="30">
          <cell r="D30">
            <v>8.1270371261657467E-2</v>
          </cell>
        </row>
        <row r="34">
          <cell r="A34" t="str">
            <v xml:space="preserve">Koefisien skewnes </v>
          </cell>
          <cell r="E34">
            <v>0.17866754384499006</v>
          </cell>
        </row>
        <row r="37">
          <cell r="A37" t="str">
            <v>T (tahun)</v>
          </cell>
          <cell r="B37" t="str">
            <v>logx</v>
          </cell>
          <cell r="C37" t="str">
            <v>k</v>
          </cell>
          <cell r="D37" t="str">
            <v>S logx</v>
          </cell>
          <cell r="E37" t="str">
            <v>log XT</v>
          </cell>
          <cell r="F37" t="str">
            <v>XT</v>
          </cell>
        </row>
        <row r="38">
          <cell r="A38">
            <v>2</v>
          </cell>
          <cell r="B38">
            <v>1.7251615732398469</v>
          </cell>
          <cell r="C38">
            <v>-0.03</v>
          </cell>
          <cell r="D38">
            <v>8.1270371261657467E-2</v>
          </cell>
          <cell r="E38">
            <v>1.7227234621019971</v>
          </cell>
          <cell r="F38">
            <v>52.810887028940918</v>
          </cell>
        </row>
        <row r="39">
          <cell r="A39">
            <v>3</v>
          </cell>
          <cell r="B39">
            <v>1.7251615732398469</v>
          </cell>
          <cell r="C39">
            <v>0.25700000000000001</v>
          </cell>
          <cell r="D39">
            <v>8.1270371261657467E-2</v>
          </cell>
          <cell r="E39">
            <v>1.7460480586540927</v>
          </cell>
          <cell r="F39">
            <v>55.724741003962706</v>
          </cell>
        </row>
        <row r="40">
          <cell r="A40">
            <v>5</v>
          </cell>
          <cell r="B40">
            <v>1.7251615732398469</v>
          </cell>
          <cell r="C40">
            <v>0.83199999999999996</v>
          </cell>
          <cell r="D40">
            <v>8.1270371261657467E-2</v>
          </cell>
          <cell r="E40">
            <v>1.7927785221295458</v>
          </cell>
          <cell r="F40">
            <v>62.055248934994587</v>
          </cell>
        </row>
        <row r="41">
          <cell r="A41">
            <v>10</v>
          </cell>
          <cell r="B41">
            <v>1.7251615732398469</v>
          </cell>
          <cell r="C41">
            <v>1.298</v>
          </cell>
          <cell r="D41">
            <v>8.1270371261657467E-2</v>
          </cell>
          <cell r="E41">
            <v>1.8306505151374783</v>
          </cell>
          <cell r="F41">
            <v>67.709641621389309</v>
          </cell>
        </row>
        <row r="42">
          <cell r="A42">
            <v>20</v>
          </cell>
          <cell r="B42">
            <v>1.7251615732398469</v>
          </cell>
          <cell r="C42">
            <v>1.5985</v>
          </cell>
          <cell r="D42">
            <v>8.1270371261657467E-2</v>
          </cell>
          <cell r="E42">
            <v>1.8550722617016064</v>
          </cell>
          <cell r="F42">
            <v>71.626257830989218</v>
          </cell>
        </row>
        <row r="43">
          <cell r="A43">
            <v>25</v>
          </cell>
          <cell r="B43">
            <v>1.7251615732398469</v>
          </cell>
          <cell r="C43">
            <v>1.79</v>
          </cell>
          <cell r="D43">
            <v>8.1270371261657467E-2</v>
          </cell>
          <cell r="E43">
            <v>1.8706355377982138</v>
          </cell>
          <cell r="F43">
            <v>74.239585391628268</v>
          </cell>
        </row>
        <row r="44">
          <cell r="A44">
            <v>30</v>
          </cell>
          <cell r="B44">
            <v>1.7251615732398469</v>
          </cell>
          <cell r="C44">
            <v>1.9</v>
          </cell>
          <cell r="D44">
            <v>8.1270371261657467E-2</v>
          </cell>
          <cell r="E44">
            <v>1.8795752786369961</v>
          </cell>
          <cell r="F44">
            <v>75.783608135320748</v>
          </cell>
        </row>
        <row r="45">
          <cell r="A45">
            <v>50</v>
          </cell>
          <cell r="B45">
            <v>1.7251615732398469</v>
          </cell>
          <cell r="C45">
            <v>2.2000000000000002</v>
          </cell>
          <cell r="D45">
            <v>8.1270371261657467E-2</v>
          </cell>
          <cell r="E45">
            <v>1.9039563900154932</v>
          </cell>
          <cell r="F45">
            <v>80.159756636523454</v>
          </cell>
        </row>
        <row r="46">
          <cell r="A46">
            <v>100</v>
          </cell>
          <cell r="B46">
            <v>1.7251615732398469</v>
          </cell>
          <cell r="C46">
            <v>2.4500000000000002</v>
          </cell>
          <cell r="D46">
            <v>8.1270371261657467E-2</v>
          </cell>
          <cell r="E46">
            <v>1.9242739828309077</v>
          </cell>
          <cell r="F46">
            <v>83.998974270453516</v>
          </cell>
        </row>
      </sheetData>
      <sheetData sheetId="6">
        <row r="1">
          <cell r="A1">
            <v>6</v>
          </cell>
        </row>
        <row r="2">
          <cell r="A2" t="str">
            <v>Perhitungan dengan Metode E.J. Gumbel</v>
          </cell>
        </row>
        <row r="5">
          <cell r="A5" t="str">
            <v>Rumus:</v>
          </cell>
        </row>
        <row r="12">
          <cell r="A12" t="str">
            <v>No</v>
          </cell>
          <cell r="B12" t="str">
            <v>xi</v>
          </cell>
          <cell r="C12" t="str">
            <v>(x - xR)</v>
          </cell>
          <cell r="D12" t="str">
            <v>(x - xR)2</v>
          </cell>
        </row>
        <row r="13">
          <cell r="A13">
            <v>1</v>
          </cell>
          <cell r="B13">
            <v>75</v>
          </cell>
          <cell r="C13">
            <v>21</v>
          </cell>
          <cell r="D13">
            <v>441</v>
          </cell>
        </row>
        <row r="14">
          <cell r="A14">
            <v>2</v>
          </cell>
          <cell r="B14">
            <v>70</v>
          </cell>
          <cell r="C14">
            <v>16</v>
          </cell>
          <cell r="D14">
            <v>256</v>
          </cell>
        </row>
        <row r="15">
          <cell r="A15">
            <v>3</v>
          </cell>
          <cell r="B15">
            <v>66</v>
          </cell>
          <cell r="C15">
            <v>12</v>
          </cell>
          <cell r="D15">
            <v>144</v>
          </cell>
        </row>
        <row r="16">
          <cell r="A16">
            <v>4</v>
          </cell>
          <cell r="B16">
            <v>64</v>
          </cell>
          <cell r="C16">
            <v>10</v>
          </cell>
          <cell r="D16">
            <v>100</v>
          </cell>
        </row>
        <row r="17">
          <cell r="A17">
            <v>5</v>
          </cell>
          <cell r="B17">
            <v>61</v>
          </cell>
          <cell r="C17">
            <v>7</v>
          </cell>
          <cell r="D17">
            <v>49</v>
          </cell>
        </row>
        <row r="18">
          <cell r="A18">
            <v>6</v>
          </cell>
          <cell r="B18">
            <v>58</v>
          </cell>
          <cell r="C18">
            <v>4</v>
          </cell>
          <cell r="D18">
            <v>16</v>
          </cell>
        </row>
        <row r="19">
          <cell r="A19">
            <v>7</v>
          </cell>
          <cell r="B19">
            <v>56</v>
          </cell>
          <cell r="C19">
            <v>2</v>
          </cell>
          <cell r="D19">
            <v>4</v>
          </cell>
        </row>
        <row r="20">
          <cell r="A20">
            <v>8</v>
          </cell>
          <cell r="B20">
            <v>54</v>
          </cell>
          <cell r="C20">
            <v>0</v>
          </cell>
          <cell r="D20">
            <v>0</v>
          </cell>
        </row>
        <row r="21">
          <cell r="A21">
            <v>9</v>
          </cell>
          <cell r="B21">
            <v>54</v>
          </cell>
          <cell r="C21">
            <v>0</v>
          </cell>
          <cell r="D21">
            <v>0</v>
          </cell>
        </row>
        <row r="22">
          <cell r="A22">
            <v>10</v>
          </cell>
          <cell r="B22">
            <v>53</v>
          </cell>
          <cell r="C22">
            <v>-1</v>
          </cell>
          <cell r="D22">
            <v>1</v>
          </cell>
        </row>
        <row r="23">
          <cell r="A23">
            <v>11</v>
          </cell>
          <cell r="B23">
            <v>53</v>
          </cell>
          <cell r="C23">
            <v>-1</v>
          </cell>
          <cell r="D23">
            <v>1</v>
          </cell>
        </row>
        <row r="24">
          <cell r="A24">
            <v>12</v>
          </cell>
          <cell r="B24">
            <v>51</v>
          </cell>
          <cell r="C24">
            <v>-3</v>
          </cell>
          <cell r="D24">
            <v>9</v>
          </cell>
        </row>
        <row r="25">
          <cell r="A25">
            <v>13</v>
          </cell>
          <cell r="B25">
            <v>45</v>
          </cell>
          <cell r="C25">
            <v>-9</v>
          </cell>
          <cell r="D25">
            <v>81</v>
          </cell>
        </row>
        <row r="26">
          <cell r="A26">
            <v>14</v>
          </cell>
          <cell r="B26">
            <v>44</v>
          </cell>
          <cell r="C26">
            <v>-10</v>
          </cell>
          <cell r="D26">
            <v>100</v>
          </cell>
        </row>
        <row r="27">
          <cell r="A27">
            <v>15</v>
          </cell>
          <cell r="B27">
            <v>43</v>
          </cell>
          <cell r="C27">
            <v>-11</v>
          </cell>
          <cell r="D27">
            <v>121</v>
          </cell>
        </row>
        <row r="28">
          <cell r="A28">
            <v>16</v>
          </cell>
          <cell r="B28">
            <v>43</v>
          </cell>
          <cell r="C28">
            <v>-11</v>
          </cell>
          <cell r="D28">
            <v>121</v>
          </cell>
        </row>
        <row r="29">
          <cell r="A29">
            <v>17</v>
          </cell>
          <cell r="B29">
            <v>41</v>
          </cell>
          <cell r="C29">
            <v>-13</v>
          </cell>
          <cell r="D29">
            <v>169</v>
          </cell>
        </row>
        <row r="30">
          <cell r="A30">
            <v>18</v>
          </cell>
          <cell r="B30">
            <v>41</v>
          </cell>
          <cell r="C30">
            <v>-13</v>
          </cell>
          <cell r="D30">
            <v>169</v>
          </cell>
        </row>
        <row r="32">
          <cell r="A32">
            <v>18</v>
          </cell>
          <cell r="B32">
            <v>972</v>
          </cell>
          <cell r="D32">
            <v>1782</v>
          </cell>
        </row>
        <row r="33">
          <cell r="A33" t="str">
            <v>log xr</v>
          </cell>
          <cell r="B33">
            <v>54</v>
          </cell>
        </row>
        <row r="36">
          <cell r="C36">
            <v>10.238336261901379</v>
          </cell>
        </row>
        <row r="39">
          <cell r="A39" t="str">
            <v>Dari Tabel Gumbel untuk  n = 18</v>
          </cell>
          <cell r="D39" t="str">
            <v>---&gt;Yn =</v>
          </cell>
          <cell r="E39">
            <v>0.5202</v>
          </cell>
        </row>
        <row r="40">
          <cell r="A40" t="str">
            <v>( didapat dari Lampiran   3a dan 3b )</v>
          </cell>
          <cell r="D40" t="str">
            <v>Sn =</v>
          </cell>
          <cell r="E40">
            <v>1.0492999999999999</v>
          </cell>
        </row>
        <row r="44">
          <cell r="A44" t="str">
            <v>T (tahun)</v>
          </cell>
          <cell r="B44" t="str">
            <v>Yt</v>
          </cell>
          <cell r="C44" t="str">
            <v>Yn</v>
          </cell>
          <cell r="D44" t="str">
            <v>Sn</v>
          </cell>
          <cell r="E44" t="str">
            <v>Rt</v>
          </cell>
        </row>
        <row r="45">
          <cell r="A45">
            <v>2</v>
          </cell>
          <cell r="B45">
            <v>0.36599999999999999</v>
          </cell>
          <cell r="C45">
            <v>0.5202</v>
          </cell>
          <cell r="D45">
            <v>1.0492999999999999</v>
          </cell>
          <cell r="E45">
            <v>52.5</v>
          </cell>
        </row>
        <row r="46">
          <cell r="A46">
            <v>3</v>
          </cell>
          <cell r="B46">
            <v>0.90300000000000002</v>
          </cell>
          <cell r="C46">
            <v>0.5202</v>
          </cell>
          <cell r="D46">
            <v>1.0492999999999999</v>
          </cell>
          <cell r="E46">
            <v>57.7</v>
          </cell>
        </row>
        <row r="47">
          <cell r="A47">
            <v>5</v>
          </cell>
          <cell r="B47">
            <v>1.4990000000000001</v>
          </cell>
          <cell r="C47">
            <v>0.5202</v>
          </cell>
          <cell r="D47">
            <v>1.0492999999999999</v>
          </cell>
          <cell r="E47">
            <v>63.6</v>
          </cell>
        </row>
        <row r="48">
          <cell r="A48">
            <v>10</v>
          </cell>
          <cell r="B48">
            <v>2.2509999999999999</v>
          </cell>
          <cell r="C48">
            <v>0.5202</v>
          </cell>
          <cell r="D48">
            <v>1.0492999999999999</v>
          </cell>
          <cell r="E48">
            <v>70.900000000000006</v>
          </cell>
        </row>
        <row r="49">
          <cell r="A49">
            <v>20</v>
          </cell>
          <cell r="B49">
            <v>2.9710000000000001</v>
          </cell>
          <cell r="C49">
            <v>0.5202</v>
          </cell>
          <cell r="D49">
            <v>1.0492999999999999</v>
          </cell>
          <cell r="E49">
            <v>77.900000000000006</v>
          </cell>
        </row>
        <row r="50">
          <cell r="A50">
            <v>25</v>
          </cell>
          <cell r="B50">
            <v>3.1989999999999998</v>
          </cell>
          <cell r="C50">
            <v>0.5202</v>
          </cell>
          <cell r="D50">
            <v>1.0492999999999999</v>
          </cell>
          <cell r="E50">
            <v>80.099999999999994</v>
          </cell>
        </row>
        <row r="51">
          <cell r="A51">
            <v>30</v>
          </cell>
          <cell r="B51">
            <v>3.3849999999999998</v>
          </cell>
          <cell r="C51">
            <v>0.5202</v>
          </cell>
          <cell r="D51">
            <v>1.0492999999999999</v>
          </cell>
          <cell r="E51">
            <v>82</v>
          </cell>
        </row>
        <row r="52">
          <cell r="A52">
            <v>50</v>
          </cell>
          <cell r="B52">
            <v>3.903</v>
          </cell>
          <cell r="C52">
            <v>0.5202</v>
          </cell>
          <cell r="D52">
            <v>1.0492999999999999</v>
          </cell>
          <cell r="E52">
            <v>87</v>
          </cell>
        </row>
        <row r="53">
          <cell r="A53">
            <v>100</v>
          </cell>
          <cell r="B53">
            <v>4.601</v>
          </cell>
          <cell r="C53">
            <v>0.5202</v>
          </cell>
          <cell r="D53">
            <v>1.0492999999999999</v>
          </cell>
          <cell r="E53">
            <v>93.8</v>
          </cell>
        </row>
      </sheetData>
      <sheetData sheetId="7">
        <row r="1">
          <cell r="A1">
            <v>7</v>
          </cell>
        </row>
        <row r="2">
          <cell r="A2" t="str">
            <v>Perhitungan dengan Metode Iway Kadoya</v>
          </cell>
        </row>
        <row r="3">
          <cell r="A3" t="str">
            <v>Rumus:</v>
          </cell>
        </row>
        <row r="4">
          <cell r="A4" t="str">
            <v>Log (x + b) = log(xo +b) + 1/c . Z</v>
          </cell>
        </row>
        <row r="6">
          <cell r="A6" t="str">
            <v>No</v>
          </cell>
          <cell r="B6" t="str">
            <v>xi</v>
          </cell>
          <cell r="C6" t="str">
            <v>log xi</v>
          </cell>
          <cell r="D6" t="str">
            <v>xi+b</v>
          </cell>
          <cell r="E6" t="str">
            <v>Y =log(xi+b)</v>
          </cell>
          <cell r="G6" t="str">
            <v>Y2</v>
          </cell>
        </row>
        <row r="7">
          <cell r="A7">
            <v>1</v>
          </cell>
          <cell r="B7">
            <v>75</v>
          </cell>
          <cell r="C7">
            <v>1.8750612633917001</v>
          </cell>
          <cell r="D7">
            <v>48.062629255873333</v>
          </cell>
          <cell r="E7">
            <v>1.6818075251046649</v>
          </cell>
          <cell r="G7">
            <v>2.828476551498678</v>
          </cell>
        </row>
        <row r="8">
          <cell r="A8">
            <v>2</v>
          </cell>
          <cell r="B8">
            <v>70</v>
          </cell>
          <cell r="C8">
            <v>1.8450980400142569</v>
          </cell>
          <cell r="D8">
            <v>43.062629255873333</v>
          </cell>
          <cell r="E8">
            <v>1.63410054282275</v>
          </cell>
          <cell r="G8">
            <v>2.670284584053606</v>
          </cell>
        </row>
        <row r="9">
          <cell r="A9">
            <v>3</v>
          </cell>
          <cell r="B9">
            <v>66</v>
          </cell>
          <cell r="C9">
            <v>1.8195439355418688</v>
          </cell>
          <cell r="D9">
            <v>39.062629255873333</v>
          </cell>
          <cell r="E9">
            <v>1.591761471744654</v>
          </cell>
          <cell r="G9">
            <v>2.533704582930707</v>
          </cell>
          <cell r="I9" t="str">
            <v>1/c =</v>
          </cell>
          <cell r="J9" t="str">
            <v>((2n)/(n-1) x (log((xi+b)/(Xo+b)))^2)0,5</v>
          </cell>
        </row>
        <row r="10">
          <cell r="A10">
            <v>4</v>
          </cell>
          <cell r="B10">
            <v>64</v>
          </cell>
          <cell r="C10">
            <v>1.8061799739838871</v>
          </cell>
          <cell r="D10">
            <v>37.062629255873333</v>
          </cell>
          <cell r="E10">
            <v>1.5689362253124433</v>
          </cell>
          <cell r="G10">
            <v>2.4615608790976578</v>
          </cell>
          <cell r="I10" t="str">
            <v>1/c = Akar[(2.n)/(n-1)] kali  Akar(X2-Xo2)</v>
          </cell>
        </row>
        <row r="11">
          <cell r="A11">
            <v>5</v>
          </cell>
          <cell r="B11">
            <v>61</v>
          </cell>
          <cell r="C11">
            <v>1.7853298350107671</v>
          </cell>
          <cell r="D11">
            <v>34.062629255873333</v>
          </cell>
          <cell r="E11">
            <v>1.5322781676208947</v>
          </cell>
          <cell r="G11">
            <v>2.3478763829676468</v>
          </cell>
          <cell r="I11" t="str">
            <v>1/c=</v>
          </cell>
          <cell r="J11">
            <v>0.2384988271664889</v>
          </cell>
        </row>
        <row r="12">
          <cell r="A12">
            <v>6</v>
          </cell>
          <cell r="B12">
            <v>58</v>
          </cell>
          <cell r="C12">
            <v>1.7634279935629373</v>
          </cell>
          <cell r="D12">
            <v>31.062629255873336</v>
          </cell>
          <cell r="E12">
            <v>1.4922382132402483</v>
          </cell>
          <cell r="G12">
            <v>2.2267748850544486</v>
          </cell>
        </row>
        <row r="13">
          <cell r="A13">
            <v>7</v>
          </cell>
          <cell r="B13">
            <v>56</v>
          </cell>
          <cell r="C13">
            <v>1.7481880270062005</v>
          </cell>
          <cell r="D13">
            <v>29.062629255873336</v>
          </cell>
          <cell r="E13">
            <v>1.463334901760488</v>
          </cell>
          <cell r="G13">
            <v>2.1413490347103772</v>
          </cell>
          <cell r="I13" t="str">
            <v>Rumus :</v>
          </cell>
        </row>
        <row r="14">
          <cell r="A14">
            <v>8</v>
          </cell>
          <cell r="B14">
            <v>54</v>
          </cell>
          <cell r="C14">
            <v>1.7323937598229686</v>
          </cell>
          <cell r="D14">
            <v>27.062629255873336</v>
          </cell>
          <cell r="E14">
            <v>1.4323699879691631</v>
          </cell>
          <cell r="G14">
            <v>2.0516837824347807</v>
          </cell>
          <cell r="I14" t="str">
            <v>Log  (x+b) = log(xo+b) +1/c . Z</v>
          </cell>
        </row>
        <row r="15">
          <cell r="A15">
            <v>9</v>
          </cell>
          <cell r="B15">
            <v>54</v>
          </cell>
          <cell r="C15">
            <v>1.7323937598229686</v>
          </cell>
          <cell r="D15">
            <v>27.062629255873336</v>
          </cell>
          <cell r="E15">
            <v>1.4323699879691631</v>
          </cell>
          <cell r="G15">
            <v>2.0516837824347807</v>
          </cell>
        </row>
        <row r="16">
          <cell r="A16">
            <v>10</v>
          </cell>
          <cell r="B16">
            <v>53</v>
          </cell>
          <cell r="C16">
            <v>1.7242758696007889</v>
          </cell>
          <cell r="D16">
            <v>26.062629255873336</v>
          </cell>
          <cell r="E16">
            <v>1.4160182261777212</v>
          </cell>
          <cell r="G16">
            <v>2.0051076168674999</v>
          </cell>
          <cell r="I16" t="str">
            <v>T</v>
          </cell>
          <cell r="J16" t="str">
            <v>z</v>
          </cell>
          <cell r="K16" t="str">
            <v>1/c . z</v>
          </cell>
          <cell r="L16" t="str">
            <v>Xo + 1/c.z</v>
          </cell>
          <cell r="M16" t="str">
            <v>x+b</v>
          </cell>
          <cell r="N16" t="str">
            <v>XT</v>
          </cell>
        </row>
        <row r="17">
          <cell r="A17">
            <v>11</v>
          </cell>
          <cell r="B17">
            <v>53</v>
          </cell>
          <cell r="C17">
            <v>1.7242758696007889</v>
          </cell>
          <cell r="D17">
            <v>26.062629255873336</v>
          </cell>
          <cell r="E17">
            <v>1.4160182261777212</v>
          </cell>
          <cell r="G17">
            <v>2.0051076168674999</v>
          </cell>
        </row>
        <row r="18">
          <cell r="A18">
            <v>12</v>
          </cell>
          <cell r="B18">
            <v>51</v>
          </cell>
          <cell r="C18">
            <v>1.7075701760979363</v>
          </cell>
          <cell r="D18">
            <v>24.062629255873336</v>
          </cell>
          <cell r="E18">
            <v>1.3813430797341042</v>
          </cell>
          <cell r="G18">
            <v>1.9081087039292997</v>
          </cell>
          <cell r="I18">
            <v>5</v>
          </cell>
          <cell r="J18">
            <v>0.59509999999999996</v>
          </cell>
          <cell r="K18">
            <v>0.14193065204677754</v>
          </cell>
          <cell r="L18">
            <v>1.5441067522320779</v>
          </cell>
          <cell r="M18">
            <v>35.003119625727926</v>
          </cell>
          <cell r="N18">
            <v>61.940490369854587</v>
          </cell>
        </row>
        <row r="19">
          <cell r="A19">
            <v>13</v>
          </cell>
          <cell r="B19">
            <v>45</v>
          </cell>
          <cell r="C19">
            <v>1.6532125137753437</v>
          </cell>
          <cell r="D19">
            <v>18.062629255873336</v>
          </cell>
          <cell r="E19">
            <v>1.2567809679158033</v>
          </cell>
          <cell r="G19">
            <v>1.5794984013153834</v>
          </cell>
          <cell r="I19">
            <v>10</v>
          </cell>
          <cell r="J19">
            <v>0.90620000000000001</v>
          </cell>
          <cell r="K19">
            <v>0.21612763717827224</v>
          </cell>
          <cell r="L19">
            <v>1.6183037373635727</v>
          </cell>
          <cell r="M19">
            <v>41.52443551674709</v>
          </cell>
          <cell r="N19">
            <v>68.461806260873757</v>
          </cell>
        </row>
        <row r="20">
          <cell r="A20">
            <v>14</v>
          </cell>
          <cell r="B20">
            <v>44</v>
          </cell>
          <cell r="C20">
            <v>1.6434526764861874</v>
          </cell>
          <cell r="D20">
            <v>17.062629255873336</v>
          </cell>
          <cell r="E20">
            <v>1.2320459543423357</v>
          </cell>
          <cell r="G20">
            <v>1.5179372336113166</v>
          </cell>
          <cell r="I20">
            <v>20</v>
          </cell>
          <cell r="J20">
            <v>1.1631</v>
          </cell>
          <cell r="K20">
            <v>0.27739798587734327</v>
          </cell>
          <cell r="L20">
            <v>1.6795740860626436</v>
          </cell>
          <cell r="M20">
            <v>47.816092840830585</v>
          </cell>
          <cell r="N20">
            <v>74.753463584957245</v>
          </cell>
        </row>
        <row r="21">
          <cell r="A21">
            <v>15</v>
          </cell>
          <cell r="B21">
            <v>43</v>
          </cell>
          <cell r="C21">
            <v>1.6334684555795864</v>
          </cell>
          <cell r="D21">
            <v>16.062629255873336</v>
          </cell>
          <cell r="E21">
            <v>1.2058166354543072</v>
          </cell>
          <cell r="G21">
            <v>1.4539937583383455</v>
          </cell>
          <cell r="I21">
            <v>25</v>
          </cell>
          <cell r="J21">
            <v>1.2379</v>
          </cell>
          <cell r="K21">
            <v>0.2952376981493966</v>
          </cell>
          <cell r="L21">
            <v>1.6974137983346971</v>
          </cell>
          <cell r="M21">
            <v>49.821155780304679</v>
          </cell>
          <cell r="N21">
            <v>76.758526524431346</v>
          </cell>
        </row>
        <row r="22">
          <cell r="A22">
            <v>16</v>
          </cell>
          <cell r="B22">
            <v>43</v>
          </cell>
          <cell r="C22">
            <v>1.6334684555795864</v>
          </cell>
          <cell r="D22">
            <v>16.062629255873336</v>
          </cell>
          <cell r="E22">
            <v>1.2058166354543072</v>
          </cell>
          <cell r="G22">
            <v>1.4539937583383455</v>
          </cell>
          <cell r="I22">
            <v>30</v>
          </cell>
          <cell r="J22">
            <v>1.2790999999999999</v>
          </cell>
          <cell r="K22">
            <v>0.30506384982865592</v>
          </cell>
          <cell r="L22">
            <v>1.7072399500139563</v>
          </cell>
          <cell r="M22">
            <v>50.961235682977687</v>
          </cell>
          <cell r="N22">
            <v>77.898606427104355</v>
          </cell>
        </row>
        <row r="23">
          <cell r="A23">
            <v>17</v>
          </cell>
          <cell r="B23">
            <v>41</v>
          </cell>
          <cell r="C23">
            <v>1.6127838567197355</v>
          </cell>
          <cell r="D23">
            <v>14.062629255873336</v>
          </cell>
          <cell r="E23">
            <v>1.1480665272673176</v>
          </cell>
          <cell r="G23">
            <v>1.3180567510316386</v>
          </cell>
          <cell r="I23">
            <v>50</v>
          </cell>
          <cell r="J23">
            <v>1.4521999999999999</v>
          </cell>
          <cell r="K23">
            <v>0.34634799681117517</v>
          </cell>
          <cell r="L23">
            <v>1.7485240969964755</v>
          </cell>
          <cell r="M23">
            <v>56.04335123706457</v>
          </cell>
          <cell r="N23">
            <v>82.980721981191238</v>
          </cell>
        </row>
        <row r="24">
          <cell r="A24">
            <v>18</v>
          </cell>
          <cell r="B24">
            <v>41</v>
          </cell>
          <cell r="C24">
            <v>1.6127838567197355</v>
          </cell>
          <cell r="D24">
            <v>14.062629255873336</v>
          </cell>
          <cell r="E24">
            <v>1.1480665272673176</v>
          </cell>
          <cell r="G24">
            <v>1.3180567510316386</v>
          </cell>
          <cell r="I24">
            <v>100</v>
          </cell>
          <cell r="J24">
            <v>1.645</v>
          </cell>
          <cell r="K24">
            <v>0.39233057068887423</v>
          </cell>
          <cell r="L24">
            <v>1.7945066708741746</v>
          </cell>
          <cell r="M24">
            <v>62.302671720508428</v>
          </cell>
          <cell r="N24">
            <v>89.240042464635096</v>
          </cell>
        </row>
        <row r="32">
          <cell r="A32">
            <v>18</v>
          </cell>
          <cell r="C32">
            <v>31.052908318317243</v>
          </cell>
          <cell r="E32">
            <v>25.239169803335407</v>
          </cell>
          <cell r="G32">
            <v>35.873255056513656</v>
          </cell>
        </row>
        <row r="33">
          <cell r="B33" t="str">
            <v>log xr</v>
          </cell>
          <cell r="C33">
            <v>1.7251615732398469</v>
          </cell>
          <cell r="D33" t="str">
            <v>Xo</v>
          </cell>
          <cell r="E33">
            <v>1.4021761001853004</v>
          </cell>
          <cell r="F33" t="str">
            <v>x2</v>
          </cell>
          <cell r="G33">
            <v>1.9929586142507587</v>
          </cell>
        </row>
        <row r="34">
          <cell r="B34" t="str">
            <v>xo</v>
          </cell>
          <cell r="C34">
            <v>1.7251615732398469</v>
          </cell>
        </row>
        <row r="41">
          <cell r="A41" t="str">
            <v>m</v>
          </cell>
          <cell r="B41" t="str">
            <v>xs</v>
          </cell>
          <cell r="C41" t="str">
            <v>xs</v>
          </cell>
          <cell r="D41" t="str">
            <v>xs.xt</v>
          </cell>
          <cell r="E41" t="str">
            <v>xb+xo</v>
          </cell>
          <cell r="G41" t="str">
            <v>xs.xt-xo2</v>
          </cell>
          <cell r="H41" t="str">
            <v>2xo-(xs+xt)</v>
          </cell>
          <cell r="I41" t="str">
            <v>bi</v>
          </cell>
        </row>
        <row r="42">
          <cell r="A42">
            <v>1</v>
          </cell>
          <cell r="B42">
            <v>75</v>
          </cell>
          <cell r="C42">
            <v>41</v>
          </cell>
          <cell r="D42">
            <v>3075</v>
          </cell>
          <cell r="E42">
            <v>116</v>
          </cell>
          <cell r="G42">
            <v>3072.0238175462168</v>
          </cell>
          <cell r="H42">
            <v>-112.54967685352031</v>
          </cell>
          <cell r="I42">
            <v>-27.294825746539942</v>
          </cell>
        </row>
        <row r="43">
          <cell r="A43">
            <v>2</v>
          </cell>
          <cell r="B43">
            <v>70</v>
          </cell>
          <cell r="C43">
            <v>41</v>
          </cell>
          <cell r="D43">
            <v>2870</v>
          </cell>
          <cell r="E43">
            <v>111</v>
          </cell>
          <cell r="G43">
            <v>2867.0238175462168</v>
          </cell>
          <cell r="H43">
            <v>-107.54967685352031</v>
          </cell>
          <cell r="I43">
            <v>-26.657670217373354</v>
          </cell>
        </row>
        <row r="44">
          <cell r="A44">
            <v>3</v>
          </cell>
          <cell r="B44">
            <v>66</v>
          </cell>
          <cell r="C44">
            <v>43</v>
          </cell>
          <cell r="D44">
            <v>2838</v>
          </cell>
          <cell r="E44">
            <v>109</v>
          </cell>
          <cell r="G44">
            <v>2835.0238175462168</v>
          </cell>
          <cell r="H44">
            <v>-105.54967685352031</v>
          </cell>
          <cell r="I44">
            <v>-26.859616268466695</v>
          </cell>
        </row>
        <row r="46">
          <cell r="H46" t="str">
            <v>jumlah</v>
          </cell>
          <cell r="I46">
            <v>-80.812112232379988</v>
          </cell>
        </row>
        <row r="47">
          <cell r="H47" t="str">
            <v>b =</v>
          </cell>
          <cell r="I47">
            <v>-26.937370744126664</v>
          </cell>
        </row>
      </sheetData>
      <sheetData sheetId="8">
        <row r="1">
          <cell r="P1" t="str">
            <v>Uji Chi-square untuk beberapa Sebaran</v>
          </cell>
          <cell r="AA1" t="str">
            <v>Uji Smirnov untuk Sebaran Gumbel</v>
          </cell>
        </row>
        <row r="3">
          <cell r="P3" t="str">
            <v>Probabilitas</v>
          </cell>
          <cell r="R3" t="str">
            <v>Normal</v>
          </cell>
          <cell r="T3" t="str">
            <v>Log-Normal</v>
          </cell>
          <cell r="AA3" t="str">
            <v>No</v>
          </cell>
          <cell r="AB3" t="str">
            <v>Data</v>
          </cell>
          <cell r="AC3" t="str">
            <v>PEmpiris</v>
          </cell>
          <cell r="AD3" t="str">
            <v>PTeoritis</v>
          </cell>
          <cell r="AE3" t="str">
            <v>D P</v>
          </cell>
        </row>
        <row r="4">
          <cell r="P4" t="str">
            <v>Prosen</v>
          </cell>
          <cell r="Q4" t="str">
            <v>Ef</v>
          </cell>
          <cell r="R4" t="str">
            <v>Of</v>
          </cell>
          <cell r="S4" t="str">
            <v>(Of-Ef)2</v>
          </cell>
          <cell r="T4" t="str">
            <v>Of</v>
          </cell>
          <cell r="AA4" t="str">
            <v>m</v>
          </cell>
          <cell r="AB4" t="str">
            <v>mm/hari</v>
          </cell>
          <cell r="AC4" t="str">
            <v>%</v>
          </cell>
          <cell r="AD4" t="str">
            <v>%</v>
          </cell>
          <cell r="AE4" t="str">
            <v>%</v>
          </cell>
        </row>
        <row r="5">
          <cell r="P5" t="str">
            <v>0 &gt; P &gt; 20</v>
          </cell>
          <cell r="Q5">
            <v>3.6</v>
          </cell>
          <cell r="R5">
            <v>4</v>
          </cell>
          <cell r="S5">
            <v>0.15999999999999992</v>
          </cell>
          <cell r="T5">
            <v>2</v>
          </cell>
        </row>
        <row r="6">
          <cell r="P6" t="str">
            <v>20 &gt; P &gt; 40</v>
          </cell>
          <cell r="Q6">
            <v>3.6</v>
          </cell>
          <cell r="R6">
            <v>2</v>
          </cell>
          <cell r="S6">
            <v>2.5600000000000005</v>
          </cell>
          <cell r="T6">
            <v>4</v>
          </cell>
          <cell r="AA6">
            <v>1</v>
          </cell>
          <cell r="AB6">
            <v>75</v>
          </cell>
          <cell r="AC6">
            <v>94.736842105263165</v>
          </cell>
          <cell r="AD6">
            <v>7.8</v>
          </cell>
          <cell r="AE6">
            <v>86.936842105263167</v>
          </cell>
        </row>
        <row r="7">
          <cell r="P7" t="str">
            <v>40 &gt; P &gt; 60</v>
          </cell>
          <cell r="Q7">
            <v>3.6</v>
          </cell>
          <cell r="R7">
            <v>5</v>
          </cell>
          <cell r="S7">
            <v>1.9599999999999997</v>
          </cell>
          <cell r="T7">
            <v>5</v>
          </cell>
          <cell r="AA7">
            <v>2</v>
          </cell>
          <cell r="AB7">
            <v>70</v>
          </cell>
          <cell r="AC7">
            <v>89.473684210526315</v>
          </cell>
          <cell r="AD7">
            <v>9.5</v>
          </cell>
          <cell r="AE7">
            <v>79.973684210526315</v>
          </cell>
        </row>
        <row r="8">
          <cell r="P8" t="str">
            <v>60 &gt; P &gt; 80</v>
          </cell>
          <cell r="Q8">
            <v>3.6</v>
          </cell>
          <cell r="R8">
            <v>3</v>
          </cell>
          <cell r="S8">
            <v>0.3600000000000001</v>
          </cell>
          <cell r="T8">
            <v>2</v>
          </cell>
          <cell r="AA8">
            <v>3</v>
          </cell>
          <cell r="AB8">
            <v>66</v>
          </cell>
          <cell r="AC8">
            <v>84.21052631578948</v>
          </cell>
          <cell r="AD8">
            <v>19</v>
          </cell>
          <cell r="AE8">
            <v>65.21052631578948</v>
          </cell>
        </row>
        <row r="9">
          <cell r="P9" t="str">
            <v>80 &gt; P &gt; 100</v>
          </cell>
          <cell r="Q9">
            <v>3.6</v>
          </cell>
          <cell r="R9">
            <v>4</v>
          </cell>
          <cell r="S9">
            <v>0.15999999999999992</v>
          </cell>
          <cell r="T9">
            <v>5</v>
          </cell>
          <cell r="AA9">
            <v>4</v>
          </cell>
          <cell r="AB9">
            <v>64</v>
          </cell>
          <cell r="AC9">
            <v>78.94736842105263</v>
          </cell>
          <cell r="AD9">
            <v>20</v>
          </cell>
          <cell r="AE9">
            <v>58.94736842105263</v>
          </cell>
        </row>
        <row r="10">
          <cell r="AA10">
            <v>5</v>
          </cell>
          <cell r="AB10">
            <v>61</v>
          </cell>
          <cell r="AC10">
            <v>73.684210526315795</v>
          </cell>
          <cell r="AD10">
            <v>20.100000000000001</v>
          </cell>
          <cell r="AE10">
            <v>53.584210526315793</v>
          </cell>
        </row>
        <row r="11">
          <cell r="P11" t="str">
            <v>Jumlah</v>
          </cell>
          <cell r="Q11">
            <v>18</v>
          </cell>
          <cell r="R11">
            <v>18</v>
          </cell>
          <cell r="S11">
            <v>5.2000000000000011</v>
          </cell>
          <cell r="T11">
            <v>18</v>
          </cell>
          <cell r="AA11">
            <v>6</v>
          </cell>
          <cell r="AB11">
            <v>58</v>
          </cell>
          <cell r="AC11">
            <v>68.421052631578945</v>
          </cell>
          <cell r="AD11">
            <v>20.8</v>
          </cell>
          <cell r="AE11">
            <v>47.621052631578948</v>
          </cell>
        </row>
        <row r="12">
          <cell r="P12" t="str">
            <v>ckr</v>
          </cell>
          <cell r="Q12">
            <v>5.9909999999999997</v>
          </cell>
          <cell r="S12">
            <v>5.9909999999999997</v>
          </cell>
          <cell r="AA12">
            <v>7</v>
          </cell>
          <cell r="AB12">
            <v>56</v>
          </cell>
          <cell r="AC12">
            <v>63.15789473684211</v>
          </cell>
          <cell r="AD12">
            <v>21</v>
          </cell>
          <cell r="AE12">
            <v>42.15789473684211</v>
          </cell>
        </row>
        <row r="13">
          <cell r="P13" t="str">
            <v>c2</v>
          </cell>
          <cell r="S13">
            <v>0.28888888888888897</v>
          </cell>
          <cell r="AA13">
            <v>8</v>
          </cell>
          <cell r="AB13">
            <v>54</v>
          </cell>
          <cell r="AC13">
            <v>57.894736842105267</v>
          </cell>
          <cell r="AD13">
            <v>22.2</v>
          </cell>
          <cell r="AE13">
            <v>35.694736842105272</v>
          </cell>
        </row>
        <row r="14">
          <cell r="P14" t="str">
            <v>Kesimpulan</v>
          </cell>
          <cell r="R14" t="str">
            <v>memenuhi</v>
          </cell>
          <cell r="T14" t="str">
            <v>memenuhi</v>
          </cell>
          <cell r="AA14">
            <v>9</v>
          </cell>
          <cell r="AB14">
            <v>54</v>
          </cell>
          <cell r="AC14">
            <v>52.631578947368425</v>
          </cell>
          <cell r="AD14">
            <v>38.200000000000003</v>
          </cell>
          <cell r="AE14">
            <v>14.431578947368422</v>
          </cell>
        </row>
        <row r="15">
          <cell r="AA15">
            <v>10</v>
          </cell>
          <cell r="AB15">
            <v>53</v>
          </cell>
          <cell r="AC15">
            <v>47.368421052631582</v>
          </cell>
          <cell r="AD15">
            <v>40</v>
          </cell>
          <cell r="AE15">
            <v>7.3684210526315823</v>
          </cell>
        </row>
        <row r="16">
          <cell r="AA16">
            <v>11</v>
          </cell>
          <cell r="AB16">
            <v>53</v>
          </cell>
          <cell r="AC16">
            <v>42.105263157894733</v>
          </cell>
          <cell r="AD16">
            <v>42</v>
          </cell>
          <cell r="AE16">
            <v>0.10526315789473273</v>
          </cell>
        </row>
        <row r="17">
          <cell r="AA17">
            <v>12</v>
          </cell>
          <cell r="AB17">
            <v>51</v>
          </cell>
          <cell r="AC17">
            <v>36.842105263157897</v>
          </cell>
          <cell r="AD17">
            <v>68</v>
          </cell>
          <cell r="AE17">
            <v>31.157894736842103</v>
          </cell>
        </row>
        <row r="18">
          <cell r="AA18">
            <v>13</v>
          </cell>
          <cell r="AB18">
            <v>45</v>
          </cell>
          <cell r="AC18">
            <v>31.578947368421055</v>
          </cell>
          <cell r="AD18">
            <v>72.5</v>
          </cell>
          <cell r="AE18">
            <v>40.921052631578945</v>
          </cell>
        </row>
        <row r="19">
          <cell r="AA19">
            <v>14</v>
          </cell>
          <cell r="AB19">
            <v>44</v>
          </cell>
          <cell r="AC19">
            <v>26.31578947368422</v>
          </cell>
          <cell r="AD19">
            <v>76.099999999999994</v>
          </cell>
          <cell r="AE19">
            <v>49.784210526315775</v>
          </cell>
        </row>
        <row r="20">
          <cell r="AA20">
            <v>15</v>
          </cell>
          <cell r="AB20">
            <v>43</v>
          </cell>
          <cell r="AC20">
            <v>21.05263157894737</v>
          </cell>
          <cell r="AD20">
            <v>77.900000000000006</v>
          </cell>
          <cell r="AE20">
            <v>56.847368421052636</v>
          </cell>
        </row>
        <row r="21">
          <cell r="AA21">
            <v>16</v>
          </cell>
          <cell r="AB21">
            <v>43</v>
          </cell>
          <cell r="AC21">
            <v>15.789473684210535</v>
          </cell>
          <cell r="AD21">
            <v>83.7</v>
          </cell>
          <cell r="AE21">
            <v>67.910526315789468</v>
          </cell>
        </row>
        <row r="22">
          <cell r="AA22">
            <v>17</v>
          </cell>
          <cell r="AB22">
            <v>41</v>
          </cell>
          <cell r="AC22">
            <v>10.526315789473685</v>
          </cell>
          <cell r="AD22">
            <v>87.5</v>
          </cell>
          <cell r="AE22">
            <v>76.973684210526315</v>
          </cell>
        </row>
        <row r="23">
          <cell r="AA23">
            <v>18</v>
          </cell>
          <cell r="AB23">
            <v>41</v>
          </cell>
          <cell r="AC23">
            <v>5.2631578947368496</v>
          </cell>
          <cell r="AD23">
            <v>90.5</v>
          </cell>
          <cell r="AE23">
            <v>85.23684210526315</v>
          </cell>
        </row>
        <row r="31">
          <cell r="AA31" t="str">
            <v>a  (%)</v>
          </cell>
          <cell r="AB31" t="str">
            <v>=</v>
          </cell>
          <cell r="AC31">
            <v>5</v>
          </cell>
          <cell r="AD31" t="str">
            <v>%</v>
          </cell>
        </row>
        <row r="32">
          <cell r="AA32" t="str">
            <v>tingkat kepercayaan       =</v>
          </cell>
          <cell r="AC32">
            <v>95</v>
          </cell>
          <cell r="AD32" t="str">
            <v>%</v>
          </cell>
        </row>
        <row r="33">
          <cell r="AA33" t="str">
            <v>Banyak data                    =</v>
          </cell>
          <cell r="AC33">
            <v>18</v>
          </cell>
          <cell r="AD33" t="str">
            <v>%</v>
          </cell>
        </row>
        <row r="34">
          <cell r="AA34" t="str">
            <v>D Pkritis    (%)                     =</v>
          </cell>
          <cell r="AC34">
            <v>37.71</v>
          </cell>
          <cell r="AD34" t="str">
            <v>%   Tabel Uji Smirnov-Kolmogorov</v>
          </cell>
        </row>
        <row r="35">
          <cell r="AA35" t="str">
            <v xml:space="preserve">D Pmax  </v>
          </cell>
          <cell r="AB35" t="str">
            <v>=</v>
          </cell>
          <cell r="AC35">
            <v>86.936842105263167</v>
          </cell>
          <cell r="AD35" t="str">
            <v>%</v>
          </cell>
        </row>
        <row r="36">
          <cell r="AB36" t="str">
            <v>Pmax &gt; Pkr   tidak memenuhi  !</v>
          </cell>
        </row>
      </sheetData>
      <sheetData sheetId="9">
        <row r="2">
          <cell r="A2" t="str">
            <v>DISTRIBUSI HUJAN  JAM-JAMAN</v>
          </cell>
        </row>
        <row r="4">
          <cell r="A4" t="str">
            <v>Rumus Mononobe</v>
          </cell>
        </row>
        <row r="9">
          <cell r="A9" t="str">
            <v>NISBAH HUJAN JAM-JAMAN</v>
          </cell>
        </row>
        <row r="11">
          <cell r="A11" t="str">
            <v>Rumus</v>
          </cell>
        </row>
        <row r="12">
          <cell r="B12" t="str">
            <v>Rt =  t . Rt ( t - 1 ) (Rt-1)</v>
          </cell>
        </row>
        <row r="14">
          <cell r="A14" t="str">
            <v>R24 = 1 mm untuk satuan hidrograf</v>
          </cell>
        </row>
        <row r="15">
          <cell r="A15" t="str">
            <v>aktu konsentrasi    =</v>
          </cell>
          <cell r="C15">
            <v>5</v>
          </cell>
        </row>
        <row r="17">
          <cell r="A17" t="str">
            <v>T</v>
          </cell>
          <cell r="B17" t="str">
            <v>RT</v>
          </cell>
          <cell r="C17" t="str">
            <v>Var</v>
          </cell>
          <cell r="D17" t="str">
            <v>Rt</v>
          </cell>
          <cell r="E17" t="str">
            <v>Var</v>
          </cell>
          <cell r="F17" t="str">
            <v>%</v>
          </cell>
        </row>
        <row r="19">
          <cell r="A19">
            <v>1</v>
          </cell>
          <cell r="B19">
            <v>0.58479999999999999</v>
          </cell>
          <cell r="C19" t="str">
            <v>R24</v>
          </cell>
          <cell r="D19">
            <v>0.58479999999999999</v>
          </cell>
          <cell r="E19" t="str">
            <v>R24</v>
          </cell>
          <cell r="F19">
            <v>58.48</v>
          </cell>
        </row>
        <row r="20">
          <cell r="A20">
            <v>2</v>
          </cell>
          <cell r="B20">
            <v>0.36840000000000001</v>
          </cell>
          <cell r="C20" t="str">
            <v>R24</v>
          </cell>
          <cell r="D20">
            <v>0.15200000000000002</v>
          </cell>
          <cell r="E20" t="str">
            <v>R24</v>
          </cell>
          <cell r="F20">
            <v>15.200000000000003</v>
          </cell>
        </row>
        <row r="21">
          <cell r="A21">
            <v>3</v>
          </cell>
          <cell r="B21">
            <v>0.28110000000000002</v>
          </cell>
          <cell r="C21" t="str">
            <v>R24</v>
          </cell>
          <cell r="D21">
            <v>0.10650000000000004</v>
          </cell>
          <cell r="E21" t="str">
            <v>R24</v>
          </cell>
          <cell r="F21">
            <v>10.650000000000004</v>
          </cell>
        </row>
        <row r="22">
          <cell r="A22">
            <v>4</v>
          </cell>
          <cell r="B22">
            <v>0.2321</v>
          </cell>
          <cell r="C22" t="str">
            <v>R24</v>
          </cell>
          <cell r="D22">
            <v>8.5099999999999953E-2</v>
          </cell>
          <cell r="E22" t="str">
            <v>R24</v>
          </cell>
          <cell r="F22">
            <v>8.5099999999999945</v>
          </cell>
        </row>
        <row r="23">
          <cell r="A23">
            <v>5</v>
          </cell>
          <cell r="B23">
            <v>0.2</v>
          </cell>
          <cell r="C23" t="str">
            <v>R24</v>
          </cell>
          <cell r="D23">
            <v>7.1599999999999997E-2</v>
          </cell>
          <cell r="E23" t="str">
            <v>R24</v>
          </cell>
          <cell r="F23">
            <v>7.16</v>
          </cell>
        </row>
        <row r="24">
          <cell r="E24" t="str">
            <v>JUmlah</v>
          </cell>
          <cell r="F24">
            <v>100</v>
          </cell>
        </row>
        <row r="26">
          <cell r="A26" t="str">
            <v>Hujan Efektif (Netto)</v>
          </cell>
        </row>
        <row r="28">
          <cell r="A28" t="str">
            <v>Rumus</v>
          </cell>
        </row>
        <row r="29">
          <cell r="B29" t="str">
            <v>Rn = C . R</v>
          </cell>
        </row>
      </sheetData>
      <sheetData sheetId="10">
        <row r="2">
          <cell r="A2" t="str">
            <v>PERHITUNGAN DEBIT BANJIR RANCANGAN METODE SNYDER</v>
          </cell>
        </row>
        <row r="4">
          <cell r="A4" t="str">
            <v>Data :</v>
          </cell>
        </row>
        <row r="5">
          <cell r="A5" t="str">
            <v>Luas Das (A) =</v>
          </cell>
          <cell r="D5">
            <v>796</v>
          </cell>
          <cell r="E5" t="str">
            <v>km2</v>
          </cell>
        </row>
        <row r="6">
          <cell r="A6" t="str">
            <v>Panjang Sungai (L) =</v>
          </cell>
          <cell r="D6">
            <v>70</v>
          </cell>
          <cell r="E6" t="str">
            <v>km2</v>
          </cell>
        </row>
        <row r="7">
          <cell r="A7" t="str">
            <v>Panj Konsentrasi Sungai (Lc) =</v>
          </cell>
          <cell r="D7">
            <v>46</v>
          </cell>
          <cell r="E7" t="str">
            <v>km2</v>
          </cell>
        </row>
        <row r="8">
          <cell r="A8" t="str">
            <v>Ct</v>
          </cell>
          <cell r="D8">
            <v>1.1000000000000001</v>
          </cell>
        </row>
        <row r="9">
          <cell r="A9" t="str">
            <v>Cp</v>
          </cell>
          <cell r="D9">
            <v>0.69</v>
          </cell>
        </row>
        <row r="10">
          <cell r="A10" t="str">
            <v>tR</v>
          </cell>
          <cell r="D10">
            <v>1</v>
          </cell>
          <cell r="E10" t="str">
            <v>mm/jam</v>
          </cell>
        </row>
        <row r="12">
          <cell r="B12" t="str">
            <v>tp = Ct (Lc.L)^0,3</v>
          </cell>
          <cell r="D12">
            <v>12.409361796784223</v>
          </cell>
          <cell r="E12" t="str">
            <v>jam</v>
          </cell>
        </row>
        <row r="13">
          <cell r="B13" t="str">
            <v>te = tp/5,5</v>
          </cell>
          <cell r="D13">
            <v>2.2562475994153135</v>
          </cell>
          <cell r="E13" t="str">
            <v>jam</v>
          </cell>
        </row>
        <row r="14">
          <cell r="B14" t="str">
            <v>TP = tp + 0,5</v>
          </cell>
          <cell r="D14">
            <v>12.909361796784223</v>
          </cell>
          <cell r="E14" t="str">
            <v>jam</v>
          </cell>
        </row>
        <row r="15">
          <cell r="A15" t="str">
            <v>bila te &gt; tR maka:</v>
          </cell>
        </row>
        <row r="16">
          <cell r="B16" t="str">
            <v>tp' = tp + 0,25(tR-te)</v>
          </cell>
          <cell r="D16">
            <v>12.095299896930396</v>
          </cell>
          <cell r="E16" t="str">
            <v>jam</v>
          </cell>
        </row>
        <row r="17">
          <cell r="B17" t="str">
            <v>TP = tp' + 0,5 tR</v>
          </cell>
          <cell r="D17">
            <v>12.595299896930396</v>
          </cell>
          <cell r="E17" t="str">
            <v>jam</v>
          </cell>
        </row>
        <row r="18">
          <cell r="A18" t="str">
            <v>maka Tp yang digunakan</v>
          </cell>
          <cell r="D18">
            <v>12.595299896930396</v>
          </cell>
          <cell r="E18" t="str">
            <v>jam</v>
          </cell>
        </row>
        <row r="21">
          <cell r="B21" t="str">
            <v>qp = Cp/Tp</v>
          </cell>
          <cell r="D21">
            <v>1.5119925810294695E-2</v>
          </cell>
        </row>
        <row r="23">
          <cell r="B23" t="str">
            <v>Qp = qp . A</v>
          </cell>
          <cell r="D23">
            <v>12.035460944994577</v>
          </cell>
        </row>
        <row r="25">
          <cell r="A25" t="str">
            <v>menurut alexeyev    y = f (x)</v>
          </cell>
        </row>
        <row r="27">
          <cell r="B27" t="str">
            <v>y = 10 -a(1-x)2/x</v>
          </cell>
        </row>
        <row r="28">
          <cell r="B28" t="str">
            <v>y = Q/Qp</v>
          </cell>
        </row>
        <row r="29">
          <cell r="B29" t="str">
            <v>x = t/Tp</v>
          </cell>
        </row>
        <row r="30">
          <cell r="B30" t="str">
            <v>a= 1,32 l2 +0,15 l + 0,045</v>
          </cell>
          <cell r="D30">
            <v>0.121</v>
          </cell>
        </row>
        <row r="31">
          <cell r="B31" t="str">
            <v>l = Qp.Tp/h.A</v>
          </cell>
          <cell r="D31">
            <v>0.19044</v>
          </cell>
        </row>
        <row r="34">
          <cell r="A34" t="str">
            <v>TABEL PERHITUNGAN DEBIT BANJIR RANCANGAN METODE SNYDER</v>
          </cell>
        </row>
        <row r="35">
          <cell r="A35" t="str">
            <v>KALA ULANG   5  TH</v>
          </cell>
        </row>
        <row r="36">
          <cell r="H36" t="str">
            <v>Q-puncak</v>
          </cell>
          <cell r="I36">
            <v>356.30349032440046</v>
          </cell>
          <cell r="J36" t="str">
            <v>m3/dt</v>
          </cell>
        </row>
        <row r="37">
          <cell r="A37" t="str">
            <v>x</v>
          </cell>
          <cell r="B37" t="str">
            <v>t = x.Tp</v>
          </cell>
          <cell r="C37" t="str">
            <v>Y = 10-a(1-x)2/x</v>
          </cell>
          <cell r="D37" t="str">
            <v>Q = y.Qp</v>
          </cell>
          <cell r="E37" t="str">
            <v>Akibat Hujan (mm)</v>
          </cell>
          <cell r="J37" t="str">
            <v>Total</v>
          </cell>
        </row>
        <row r="38">
          <cell r="B38" t="str">
            <v>(jam)</v>
          </cell>
          <cell r="D38" t="str">
            <v>(m3/dt)</v>
          </cell>
          <cell r="E38">
            <v>17.41</v>
          </cell>
          <cell r="F38">
            <v>4.524249600000001</v>
          </cell>
          <cell r="G38">
            <v>3.1699512000000012</v>
          </cell>
          <cell r="H38">
            <v>2.5329844799999983</v>
          </cell>
          <cell r="I38">
            <v>2.1311596800000001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J40">
            <v>0</v>
          </cell>
        </row>
        <row r="41">
          <cell r="A41">
            <v>0.1</v>
          </cell>
          <cell r="B41">
            <v>1.2595299896930396</v>
          </cell>
          <cell r="C41">
            <v>0.10468874655490942</v>
          </cell>
          <cell r="D41">
            <v>1.2599773205420479</v>
          </cell>
          <cell r="E41">
            <v>21.936205150637054</v>
          </cell>
          <cell r="J41">
            <v>21.936205150637054</v>
          </cell>
        </row>
        <row r="42">
          <cell r="A42">
            <v>0.2</v>
          </cell>
          <cell r="B42">
            <v>2.5190599793860793</v>
          </cell>
          <cell r="C42">
            <v>0.4100152405066132</v>
          </cell>
          <cell r="D42">
            <v>4.9347224139699017</v>
          </cell>
          <cell r="E42">
            <v>85.913517227215991</v>
          </cell>
          <cell r="F42">
            <v>5.7004518884714335</v>
          </cell>
          <cell r="J42">
            <v>91.613969115687425</v>
          </cell>
        </row>
        <row r="43">
          <cell r="A43">
            <v>0.30000000000000004</v>
          </cell>
          <cell r="B43">
            <v>3.7785899690791194</v>
          </cell>
          <cell r="C43">
            <v>0.63440510151603802</v>
          </cell>
          <cell r="D43">
            <v>7.6353578226015957</v>
          </cell>
          <cell r="E43">
            <v>132.93157969149379</v>
          </cell>
          <cell r="F43">
            <v>22.325915907514368</v>
          </cell>
          <cell r="G43">
            <v>3.9940666192250509</v>
          </cell>
          <cell r="J43">
            <v>159.2515622182332</v>
          </cell>
        </row>
        <row r="44">
          <cell r="A44">
            <v>0.4</v>
          </cell>
          <cell r="B44">
            <v>5.0381199587721586</v>
          </cell>
          <cell r="C44">
            <v>0.77821572120316274</v>
          </cell>
          <cell r="D44">
            <v>9.3661849193214533</v>
          </cell>
          <cell r="E44">
            <v>163.06527944538649</v>
          </cell>
          <cell r="F44">
            <v>34.544264574762146</v>
          </cell>
          <cell r="G44">
            <v>15.642829237830792</v>
          </cell>
          <cell r="H44">
            <v>3.1915029980849905</v>
          </cell>
          <cell r="J44">
            <v>216.44387625606441</v>
          </cell>
        </row>
        <row r="45">
          <cell r="A45">
            <v>0.5</v>
          </cell>
          <cell r="B45">
            <v>6.2976499484651978</v>
          </cell>
          <cell r="C45">
            <v>0.86996143306526785</v>
          </cell>
          <cell r="D45">
            <v>10.470386851308545</v>
          </cell>
          <cell r="E45">
            <v>182.28943508128177</v>
          </cell>
          <cell r="F45">
            <v>42.374958374766123</v>
          </cell>
          <cell r="G45">
            <v>24.203711692185326</v>
          </cell>
          <cell r="H45">
            <v>12.499575287693888</v>
          </cell>
          <cell r="I45">
            <v>2.6852128632536485</v>
          </cell>
          <cell r="J45">
            <v>264.05289329918077</v>
          </cell>
        </row>
        <row r="46">
          <cell r="A46">
            <v>0.6</v>
          </cell>
          <cell r="B46">
            <v>7.557179938158237</v>
          </cell>
          <cell r="C46">
            <v>0.9283961554242568</v>
          </cell>
          <cell r="D46">
            <v>11.173675670091757</v>
          </cell>
          <cell r="E46">
            <v>194.5336934162975</v>
          </cell>
          <cell r="F46">
            <v>47.370643523877952</v>
          </cell>
          <cell r="G46">
            <v>29.690349124424955</v>
          </cell>
          <cell r="H46">
            <v>19.340242863896421</v>
          </cell>
          <cell r="I46">
            <v>10.516681440644923</v>
          </cell>
          <cell r="J46">
            <v>301.45161036914175</v>
          </cell>
        </row>
        <row r="47">
          <cell r="A47">
            <v>0.7</v>
          </cell>
          <cell r="B47">
            <v>8.8167099278512762</v>
          </cell>
          <cell r="C47">
            <v>0.96481235702217039</v>
          </cell>
          <cell r="D47">
            <v>11.611961442188496</v>
          </cell>
          <cell r="E47">
            <v>202.16424870850173</v>
          </cell>
          <cell r="F47">
            <v>50.552497680942373</v>
          </cell>
          <cell r="G47">
            <v>33.190615363769759</v>
          </cell>
          <cell r="H47">
            <v>23.724401037451276</v>
          </cell>
          <cell r="I47">
            <v>16.272166733901113</v>
          </cell>
          <cell r="J47">
            <v>325.90392952456625</v>
          </cell>
        </row>
        <row r="48">
          <cell r="A48">
            <v>0.79999999999999993</v>
          </cell>
          <cell r="B48">
            <v>10.076239917544315</v>
          </cell>
          <cell r="C48">
            <v>0.98616594254534429</v>
          </cell>
          <cell r="D48">
            <v>11.868961686788257</v>
          </cell>
          <cell r="E48">
            <v>206.63862296698355</v>
          </cell>
          <cell r="F48">
            <v>52.535411910036743</v>
          </cell>
          <cell r="G48">
            <v>35.420006598818183</v>
          </cell>
          <cell r="H48">
            <v>26.521327393960593</v>
          </cell>
          <cell r="I48">
            <v>19.960835655481937</v>
          </cell>
          <cell r="J48">
            <v>341.07620452528101</v>
          </cell>
        </row>
        <row r="49">
          <cell r="A49">
            <v>0.89999999999999991</v>
          </cell>
          <cell r="B49">
            <v>11.335769907237355</v>
          </cell>
          <cell r="C49">
            <v>0.99690908899540165</v>
          </cell>
          <cell r="D49">
            <v>11.99826040631428</v>
          </cell>
          <cell r="E49">
            <v>208.88971367393162</v>
          </cell>
          <cell r="F49">
            <v>53.69814516386711</v>
          </cell>
          <cell r="G49">
            <v>36.809351108019172</v>
          </cell>
          <cell r="H49">
            <v>28.302747056896003</v>
          </cell>
          <cell r="I49">
            <v>22.314066291510926</v>
          </cell>
          <cell r="J49">
            <v>350.0140232942249</v>
          </cell>
        </row>
        <row r="50">
          <cell r="A50">
            <v>0.99999999999999989</v>
          </cell>
          <cell r="B50">
            <v>12.595299896930394</v>
          </cell>
          <cell r="C50">
            <v>1</v>
          </cell>
          <cell r="D50">
            <v>12.035460944994577</v>
          </cell>
          <cell r="E50">
            <v>209.5373750523556</v>
          </cell>
          <cell r="F50">
            <v>54.283124843963229</v>
          </cell>
          <cell r="G50">
            <v>37.624029341788471</v>
          </cell>
          <cell r="H50">
            <v>29.41291811542186</v>
          </cell>
          <cell r="I50">
            <v>23.812887065496536</v>
          </cell>
          <cell r="J50">
            <v>354.67033441902566</v>
          </cell>
        </row>
        <row r="51">
          <cell r="A51">
            <v>1.0999999999999999</v>
          </cell>
          <cell r="B51">
            <v>13.854829886623433</v>
          </cell>
          <cell r="C51">
            <v>0.99747036133962008</v>
          </cell>
          <cell r="D51">
            <v>12.005015577692626</v>
          </cell>
          <cell r="E51">
            <v>209.00732120762862</v>
          </cell>
          <cell r="F51">
            <v>54.45142936620735</v>
          </cell>
          <cell r="G51">
            <v>38.033899972908458</v>
          </cell>
          <cell r="H51">
            <v>30.063895746349257</v>
          </cell>
          <cell r="I51">
            <v>24.746944031306775</v>
          </cell>
          <cell r="J51">
            <v>356.30349032440046</v>
          </cell>
        </row>
        <row r="52">
          <cell r="A52">
            <v>1.2</v>
          </cell>
          <cell r="B52">
            <v>15.114359876316474</v>
          </cell>
          <cell r="C52">
            <v>0.99075589864898828</v>
          </cell>
          <cell r="D52">
            <v>11.924203924212904</v>
          </cell>
          <cell r="E52">
            <v>207.60039032054667</v>
          </cell>
          <cell r="F52">
            <v>54.313686925369645</v>
          </cell>
          <cell r="G52">
            <v>38.151823865138709</v>
          </cell>
          <cell r="H52">
            <v>30.391407396192545</v>
          </cell>
          <cell r="I52">
            <v>25.294652590347923</v>
          </cell>
          <cell r="J52">
            <v>355.75196109759554</v>
          </cell>
        </row>
        <row r="53">
          <cell r="A53">
            <v>1.3</v>
          </cell>
          <cell r="B53">
            <v>16.373889866009513</v>
          </cell>
          <cell r="C53">
            <v>0.9808962561176241</v>
          </cell>
          <cell r="D53">
            <v>11.805538581595062</v>
          </cell>
          <cell r="E53">
            <v>205.53442670557004</v>
          </cell>
          <cell r="F53">
            <v>53.948074834438671</v>
          </cell>
          <cell r="G53">
            <v>38.055313536525446</v>
          </cell>
          <cell r="H53">
            <v>30.485635783317377</v>
          </cell>
          <cell r="I53">
            <v>25.570208808077414</v>
          </cell>
          <cell r="J53">
            <v>353.59365966792893</v>
          </cell>
        </row>
        <row r="54">
          <cell r="A54">
            <v>1.4000000000000001</v>
          </cell>
          <cell r="B54">
            <v>17.633419855702556</v>
          </cell>
          <cell r="C54">
            <v>0.96866013893232428</v>
          </cell>
          <cell r="D54">
            <v>11.65827127109301</v>
          </cell>
          <cell r="E54">
            <v>202.9705028297293</v>
          </cell>
          <cell r="F54">
            <v>53.411203205566039</v>
          </cell>
          <cell r="G54">
            <v>37.799144538603414</v>
          </cell>
          <cell r="H54">
            <v>30.408518140453637</v>
          </cell>
          <cell r="I54">
            <v>25.649489096187143</v>
          </cell>
          <cell r="J54">
            <v>350.23885781053951</v>
          </cell>
        </row>
        <row r="55">
          <cell r="A55">
            <v>1.5000000000000002</v>
          </cell>
          <cell r="B55">
            <v>18.892949845395595</v>
          </cell>
          <cell r="C55">
            <v>0.95462616438693371</v>
          </cell>
          <cell r="D55">
            <v>11.489365918548915</v>
          </cell>
          <cell r="E55">
            <v>200.02986064193661</v>
          </cell>
          <cell r="F55">
            <v>52.744929134934054</v>
          </cell>
          <cell r="G55">
            <v>37.42298119337358</v>
          </cell>
          <cell r="H55">
            <v>30.203823476386361</v>
          </cell>
          <cell r="J55">
            <v>320.40159444663061</v>
          </cell>
        </row>
        <row r="56">
          <cell r="A56">
            <v>1.6000000000000003</v>
          </cell>
          <cell r="B56">
            <v>20.152479835088638</v>
          </cell>
          <cell r="C56">
            <v>0.93923658325831638</v>
          </cell>
          <cell r="D56">
            <v>11.304145215915614</v>
          </cell>
          <cell r="E56">
            <v>196.80516820909085</v>
          </cell>
          <cell r="F56">
            <v>51.980759161248571</v>
          </cell>
          <cell r="G56">
            <v>36.956151005726831</v>
          </cell>
          <cell r="I56">
            <v>25.412382619380317</v>
          </cell>
          <cell r="J56">
            <v>311.15446099544658</v>
          </cell>
        </row>
        <row r="57">
          <cell r="A57">
            <v>1.7000000000000004</v>
          </cell>
          <cell r="B57">
            <v>21.412009824781677</v>
          </cell>
          <cell r="C57">
            <v>0.92283387791083349</v>
          </cell>
          <cell r="D57">
            <v>11.10673109631373</v>
          </cell>
          <cell r="E57">
            <v>193.36818838682206</v>
          </cell>
          <cell r="F57">
            <v>51.142774471448142</v>
          </cell>
          <cell r="G57">
            <v>36.420729280743245</v>
          </cell>
          <cell r="H57">
            <v>29.530220193308448</v>
          </cell>
          <cell r="I57">
            <v>25.159487825779788</v>
          </cell>
          <cell r="J57">
            <v>335.62140015810161</v>
          </cell>
        </row>
        <row r="58">
          <cell r="A58">
            <v>1.8000000000000005</v>
          </cell>
          <cell r="B58">
            <v>22.67153981447472</v>
          </cell>
          <cell r="C58">
            <v>0.90568625705310468</v>
          </cell>
          <cell r="D58">
            <v>10.900351575180961</v>
          </cell>
          <cell r="E58">
            <v>189.77512092390054</v>
          </cell>
          <cell r="F58">
            <v>50.249623719804966</v>
          </cell>
          <cell r="G58">
            <v>35.833588692165975</v>
          </cell>
          <cell r="H58">
            <v>29.102385556725324</v>
          </cell>
          <cell r="I58">
            <v>24.845637671455773</v>
          </cell>
          <cell r="J58">
            <v>329.80635656405258</v>
          </cell>
        </row>
        <row r="59">
          <cell r="A59">
            <v>1.9000000000000006</v>
          </cell>
          <cell r="B59">
            <v>23.931069804167759</v>
          </cell>
          <cell r="C59">
            <v>0.88800577361557609</v>
          </cell>
          <cell r="D59">
            <v>10.687558807279961</v>
          </cell>
          <cell r="E59">
            <v>186.07039883474414</v>
          </cell>
          <cell r="F59">
            <v>49.315911253871846</v>
          </cell>
          <cell r="G59">
            <v>35.207795566837035</v>
          </cell>
          <cell r="H59">
            <v>28.63322439158048</v>
          </cell>
          <cell r="I59">
            <v>24.485673394377613</v>
          </cell>
          <cell r="J59">
            <v>323.7130034414111</v>
          </cell>
        </row>
        <row r="60">
          <cell r="A60">
            <v>2.0000000000000004</v>
          </cell>
          <cell r="B60">
            <v>25.190599793860798</v>
          </cell>
          <cell r="C60">
            <v>0.86996143306526763</v>
          </cell>
          <cell r="D60">
            <v>10.470386851308543</v>
          </cell>
          <cell r="E60">
            <v>182.28943508128174</v>
          </cell>
          <cell r="F60">
            <v>48.353183658812853</v>
          </cell>
          <cell r="G60">
            <v>34.553582556166788</v>
          </cell>
          <cell r="H60">
            <v>28.133177490496045</v>
          </cell>
          <cell r="I60">
            <v>24.090938501024254</v>
          </cell>
          <cell r="J60">
            <v>317.4203172877817</v>
          </cell>
        </row>
        <row r="61">
          <cell r="A61">
            <v>2.1000000000000005</v>
          </cell>
          <cell r="B61">
            <v>26.450129783553837</v>
          </cell>
          <cell r="C61">
            <v>0.85168883180755606</v>
          </cell>
          <cell r="D61">
            <v>10.250467672507897</v>
          </cell>
          <cell r="E61">
            <v>178.46064217836249</v>
          </cell>
          <cell r="F61">
            <v>47.370643523877945</v>
          </cell>
          <cell r="G61">
            <v>33.879039866207691</v>
          </cell>
          <cell r="H61">
            <v>27.61042136647691</v>
          </cell>
          <cell r="I61">
            <v>23.670217489066019</v>
          </cell>
          <cell r="J61">
            <v>310.99096442399104</v>
          </cell>
        </row>
        <row r="62">
          <cell r="A62">
            <v>2.2000000000000006</v>
          </cell>
          <cell r="B62">
            <v>27.709659773246877</v>
          </cell>
          <cell r="C62">
            <v>0.83329734863431648</v>
          </cell>
          <cell r="D62">
            <v>10.029117695055847</v>
          </cell>
          <cell r="E62">
            <v>174.60693907092229</v>
          </cell>
          <cell r="F62">
            <v>46.375674267156796</v>
          </cell>
          <cell r="G62">
            <v>33.190615363769751</v>
          </cell>
          <cell r="H62">
            <v>27.071420587927435</v>
          </cell>
          <cell r="I62">
            <v>23.230389774850156</v>
          </cell>
          <cell r="J62">
            <v>304.4750390646264</v>
          </cell>
        </row>
        <row r="63">
          <cell r="A63">
            <v>2.3000000000000007</v>
          </cell>
          <cell r="B63">
            <v>28.969189762939919</v>
          </cell>
          <cell r="C63">
            <v>0.81487558222121903</v>
          </cell>
          <cell r="D63">
            <v>9.8074032448531998</v>
          </cell>
          <cell r="E63">
            <v>170.74689049289421</v>
          </cell>
          <cell r="F63">
            <v>45.374231720209345</v>
          </cell>
          <cell r="G63">
            <v>32.493482299027626</v>
          </cell>
          <cell r="H63">
            <v>26.52132739396059</v>
          </cell>
          <cell r="I63">
            <v>22.776894407703946</v>
          </cell>
          <cell r="J63">
            <v>297.91282631379568</v>
          </cell>
        </row>
        <row r="64">
          <cell r="A64">
            <v>2.4000000000000008</v>
          </cell>
          <cell r="B64">
            <v>30.228719752632959</v>
          </cell>
          <cell r="C64">
            <v>0.79649551255235429</v>
          </cell>
          <cell r="D64">
            <v>9.5861906341872984</v>
          </cell>
          <cell r="E64">
            <v>166.89557894120088</v>
          </cell>
          <cell r="F64">
            <v>44.371140207565801</v>
          </cell>
          <cell r="G64">
            <v>31.79181367238353</v>
          </cell>
          <cell r="H64">
            <v>25.964275527204208</v>
          </cell>
          <cell r="I64">
            <v>22.314066291510922</v>
          </cell>
          <cell r="J64">
            <v>291.33687463986536</v>
          </cell>
        </row>
        <row r="65">
          <cell r="A65">
            <v>2.5000000000000009</v>
          </cell>
          <cell r="B65">
            <v>31.488249742326001</v>
          </cell>
          <cell r="C65">
            <v>0.7782157212031624</v>
          </cell>
          <cell r="D65">
            <v>9.3661849193214497</v>
          </cell>
          <cell r="E65">
            <v>163.06527944538644</v>
          </cell>
          <cell r="F65">
            <v>43.370319142245641</v>
          </cell>
          <cell r="G65">
            <v>31.088989684906306</v>
          </cell>
          <cell r="H65">
            <v>25.403599469669818</v>
          </cell>
          <cell r="I65">
            <v>21.845383404792276</v>
          </cell>
          <cell r="J65">
            <v>284.7735711470005</v>
          </cell>
        </row>
        <row r="66">
          <cell r="A66">
            <v>2.600000000000001</v>
          </cell>
          <cell r="B66">
            <v>32.74777973201904</v>
          </cell>
          <cell r="C66">
            <v>0.76008390875408594</v>
          </cell>
          <cell r="D66">
            <v>9.1479601987286223</v>
          </cell>
          <cell r="E66">
            <v>159.26598705986532</v>
          </cell>
          <cell r="F66">
            <v>42.374958374766109</v>
          </cell>
          <cell r="G66">
            <v>30.387756504270801</v>
          </cell>
          <cell r="H66">
            <v>24.842000208314779</v>
          </cell>
          <cell r="I66">
            <v>21.373651257677558</v>
          </cell>
          <cell r="J66">
            <v>278.24435340489458</v>
          </cell>
        </row>
        <row r="67">
          <cell r="A67">
            <v>2.7000000000000011</v>
          </cell>
          <cell r="B67">
            <v>34.007309721712083</v>
          </cell>
          <cell r="C67">
            <v>0.74213888118968008</v>
          </cell>
          <cell r="D67">
            <v>8.9319835203203652</v>
          </cell>
          <cell r="E67">
            <v>155.50583308877756</v>
          </cell>
          <cell r="F67">
            <v>41.3876552699139</v>
          </cell>
          <cell r="G67">
            <v>29.690349124424944</v>
          </cell>
          <cell r="H67">
            <v>24.281672098717767</v>
          </cell>
          <cell r="I67">
            <v>20.901142360932308</v>
          </cell>
          <cell r="J67">
            <v>271.76665194276649</v>
          </cell>
        </row>
        <row r="68">
          <cell r="A68">
            <v>2.8000000000000012</v>
          </cell>
          <cell r="B68">
            <v>35.266839711405119</v>
          </cell>
          <cell r="C68">
            <v>0.72441213081773415</v>
          </cell>
          <cell r="D68">
            <v>8.7186339085371412</v>
          </cell>
          <cell r="E68">
            <v>151.79141634763164</v>
          </cell>
          <cell r="F68">
            <v>40.410522869016013</v>
          </cell>
          <cell r="G68">
            <v>28.998587409512044</v>
          </cell>
          <cell r="H68">
            <v>23.724401037451269</v>
          </cell>
          <cell r="I68">
            <v>20.4297029643736</v>
          </cell>
          <cell r="J68">
            <v>265.35463062798453</v>
          </cell>
        </row>
        <row r="69">
          <cell r="A69">
            <v>2.9000000000000012</v>
          </cell>
          <cell r="B69">
            <v>36.526369701098162</v>
          </cell>
          <cell r="C69">
            <v>0.70692910449223822</v>
          </cell>
          <cell r="D69">
            <v>8.5082176279963235</v>
          </cell>
          <cell r="E69">
            <v>148.12806890341599</v>
          </cell>
          <cell r="F69">
            <v>39.445275973245607</v>
          </cell>
          <cell r="G69">
            <v>28.313951878619775</v>
          </cell>
          <cell r="H69">
            <v>23.1716412070373</v>
          </cell>
          <cell r="I69">
            <v>19.960835655481926</v>
          </cell>
          <cell r="J69">
            <v>259.01977361780058</v>
          </cell>
        </row>
        <row r="70">
          <cell r="A70">
            <v>3.0000000000000013</v>
          </cell>
          <cell r="B70">
            <v>37.785899690791204</v>
          </cell>
          <cell r="C70">
            <v>0.6897102284706601</v>
          </cell>
          <cell r="D70">
            <v>8.3009805181219161</v>
          </cell>
          <cell r="E70">
            <v>144.52007082050255</v>
          </cell>
          <cell r="F70">
            <v>38.493300200175327</v>
          </cell>
          <cell r="G70">
            <v>27.637644020728011</v>
          </cell>
          <cell r="H70">
            <v>22.624575632587234</v>
          </cell>
          <cell r="I70">
            <v>19.495763929775229</v>
          </cell>
          <cell r="J70">
            <v>252.77135460376834</v>
          </cell>
        </row>
        <row r="71">
          <cell r="A71">
            <v>3.1000000000000014</v>
          </cell>
          <cell r="B71">
            <v>39.045429680484247</v>
          </cell>
          <cell r="C71">
            <v>0.6727717422403271</v>
          </cell>
          <cell r="D71">
            <v>8.0971180286294153</v>
          </cell>
          <cell r="E71">
            <v>140.97082487843812</v>
          </cell>
          <cell r="F71">
            <v>37.555707788720881</v>
          </cell>
          <cell r="G71">
            <v>26.970634679728111</v>
          </cell>
          <cell r="H71">
            <v>22.084164377126303</v>
          </cell>
          <cell r="I71">
            <v>19.035483140931223</v>
          </cell>
          <cell r="J71">
            <v>246.61681486494467</v>
          </cell>
        </row>
        <row r="72">
          <cell r="A72">
            <v>3.2000000000000015</v>
          </cell>
          <cell r="B72">
            <v>40.304959670177283</v>
          </cell>
          <cell r="C72">
            <v>0.65612638119582212</v>
          </cell>
          <cell r="D72">
            <v>7.8967834358629414</v>
          </cell>
          <cell r="E72">
            <v>137.48299961837381</v>
          </cell>
          <cell r="F72">
            <v>36.633383002179428</v>
          </cell>
          <cell r="G72">
            <v>26.313703154597199</v>
          </cell>
          <cell r="H72">
            <v>21.551183204177086</v>
          </cell>
          <cell r="I72">
            <v>18.580801050555163</v>
          </cell>
          <cell r="J72">
            <v>240.56207002988265</v>
          </cell>
        </row>
        <row r="73">
          <cell r="A73">
            <v>3.3000000000000016</v>
          </cell>
          <cell r="B73">
            <v>41.564489659870326</v>
          </cell>
          <cell r="C73">
            <v>0.63978393883022278</v>
          </cell>
          <cell r="D73">
            <v>7.7000946090259461</v>
          </cell>
          <cell r="E73">
            <v>134.05864714314171</v>
          </cell>
          <cell r="F73">
            <v>35.727019300989546</v>
          </cell>
          <cell r="G73">
            <v>25.667469011395458</v>
          </cell>
          <cell r="H73">
            <v>21.026254821185159</v>
          </cell>
          <cell r="I73">
            <v>18.132370357451006</v>
          </cell>
          <cell r="J73">
            <v>234.61176063416289</v>
          </cell>
        </row>
        <row r="74">
          <cell r="A74">
            <v>3.4000000000000017</v>
          </cell>
          <cell r="B74">
            <v>42.824019649563368</v>
          </cell>
          <cell r="C74">
            <v>0.62375173221167957</v>
          </cell>
          <cell r="D74">
            <v>7.5071396124063856</v>
          </cell>
          <cell r="E74">
            <v>130.69930065199517</v>
          </cell>
          <cell r="F74">
            <v>34.837149954847803</v>
          </cell>
          <cell r="G74">
            <v>25.032418128653863</v>
          </cell>
          <cell r="H74">
            <v>20.509874299246491</v>
          </cell>
          <cell r="I74">
            <v>17.690714984686938</v>
          </cell>
          <cell r="J74">
            <v>228.76945801943026</v>
          </cell>
        </row>
        <row r="75">
          <cell r="A75">
            <v>3.5000000000000018</v>
          </cell>
          <cell r="B75">
            <v>44.083549639256404</v>
          </cell>
          <cell r="C75">
            <v>0.60803498931855382</v>
          </cell>
          <cell r="D75">
            <v>7.3179813671336493</v>
          </cell>
          <cell r="E75">
            <v>127.40605560179684</v>
          </cell>
          <cell r="F75">
            <v>33.964173388573755</v>
          </cell>
          <cell r="G75">
            <v>24.408924145995339</v>
          </cell>
          <cell r="H75">
            <v>20.002429884961892</v>
          </cell>
          <cell r="I75">
            <v>17.256251466816096</v>
          </cell>
          <cell r="J75">
            <v>223.03783448814391</v>
          </cell>
        </row>
        <row r="76">
          <cell r="A76">
            <v>3.6000000000000019</v>
          </cell>
          <cell r="B76">
            <v>45.343079628949447</v>
          </cell>
          <cell r="C76">
            <v>0.59263717285159256</v>
          </cell>
          <cell r="D76">
            <v>7.1326615484073432</v>
          </cell>
          <cell r="E76">
            <v>124.17963755777184</v>
          </cell>
          <cell r="F76">
            <v>33.108374273061877</v>
          </cell>
          <cell r="G76">
            <v>23.797266222915166</v>
          </cell>
          <cell r="H76">
            <v>19.504220139194377</v>
          </cell>
          <cell r="I76">
            <v>16.829306460202968</v>
          </cell>
          <cell r="J76">
            <v>217.41880465314622</v>
          </cell>
        </row>
        <row r="77">
          <cell r="A77">
            <v>3.700000000000002</v>
          </cell>
          <cell r="B77">
            <v>46.602609618642489</v>
          </cell>
          <cell r="C77">
            <v>0.577560252108682</v>
          </cell>
          <cell r="D77">
            <v>6.9512038576352646</v>
          </cell>
          <cell r="E77">
            <v>121.02045916142995</v>
          </cell>
          <cell r="F77">
            <v>32.269941157317312</v>
          </cell>
          <cell r="G77">
            <v>23.197643816322962</v>
          </cell>
          <cell r="H77">
            <v>19.015468127418579</v>
          </cell>
          <cell r="I77">
            <v>16.410131162941461</v>
          </cell>
          <cell r="J77">
            <v>211.91364342543028</v>
          </cell>
        </row>
        <row r="78">
          <cell r="A78">
            <v>3.800000000000002</v>
          </cell>
          <cell r="B78">
            <v>47.862139608335532</v>
          </cell>
          <cell r="C78">
            <v>0.56280493216404437</v>
          </cell>
          <cell r="D78">
            <v>6.7736167807106789</v>
          </cell>
          <cell r="E78">
            <v>117.92866815217292</v>
          </cell>
          <cell r="F78">
            <v>31.44898127242481</v>
          </cell>
          <cell r="G78">
            <v>22.610189034567725</v>
          </cell>
          <cell r="H78">
            <v>18.536333227878703</v>
          </cell>
          <cell r="I78">
            <v>15.998913254091317</v>
          </cell>
          <cell r="J78">
            <v>206.52308494113549</v>
          </cell>
        </row>
        <row r="79">
          <cell r="A79">
            <v>3.9000000000000021</v>
          </cell>
          <cell r="B79">
            <v>49.121669598028568</v>
          </cell>
          <cell r="C79">
            <v>0.54837084776968459</v>
          </cell>
          <cell r="D79">
            <v>6.5998959217056052</v>
          </cell>
          <cell r="E79">
            <v>114.90418799689459</v>
          </cell>
          <cell r="F79">
            <v>30.645533010683582</v>
          </cell>
          <cell r="G79">
            <v>22.034977009955544</v>
          </cell>
          <cell r="H79">
            <v>18.066921003208556</v>
          </cell>
          <cell r="I79">
            <v>15.595786828626512</v>
          </cell>
          <cell r="J79">
            <v>201.24740584936879</v>
          </cell>
        </row>
        <row r="80">
          <cell r="A80">
            <v>4.0000000000000018</v>
          </cell>
          <cell r="B80">
            <v>50.381199587721603</v>
          </cell>
          <cell r="C80">
            <v>0.53425672796761081</v>
          </cell>
          <cell r="D80">
            <v>6.4300259840547724</v>
          </cell>
          <cell r="E80">
            <v>111.94675238239358</v>
          </cell>
          <cell r="F80">
            <v>29.859576483818223</v>
          </cell>
          <cell r="G80">
            <v>21.472034642353961</v>
          </cell>
          <cell r="H80">
            <v>17.607291488706242</v>
          </cell>
          <cell r="I80">
            <v>15.2008407030521</v>
          </cell>
          <cell r="J80">
            <v>196.08649570032409</v>
          </cell>
        </row>
        <row r="81">
          <cell r="A81">
            <v>4.1000000000000014</v>
          </cell>
          <cell r="B81">
            <v>51.640729577414639</v>
          </cell>
          <cell r="C81">
            <v>0.52046053627420186</v>
          </cell>
          <cell r="D81">
            <v>6.2639824577390897</v>
          </cell>
          <cell r="E81">
            <v>109.05593458923755</v>
          </cell>
          <cell r="F81">
            <v>29.091042486349416</v>
          </cell>
          <cell r="G81">
            <v>20.921347996885796</v>
          </cell>
          <cell r="H81">
            <v>17.157466179007702</v>
          </cell>
          <cell r="I81">
            <v>14.814125388852737</v>
          </cell>
          <cell r="J81">
            <v>191.03991664033322</v>
          </cell>
        </row>
        <row r="82">
          <cell r="A82">
            <v>4.2000000000000011</v>
          </cell>
          <cell r="B82">
            <v>52.900259567107675</v>
          </cell>
          <cell r="C82">
            <v>0.50697959040377849</v>
          </cell>
          <cell r="D82">
            <v>6.1017330602140234</v>
          </cell>
          <cell r="E82">
            <v>106.23117257832615</v>
          </cell>
          <cell r="F82">
            <v>28.3398201288331</v>
          </cell>
          <cell r="G82">
            <v>20.382868584185616</v>
          </cell>
          <cell r="H82">
            <v>16.717433939295582</v>
          </cell>
          <cell r="I82">
            <v>14.435658970822001</v>
          </cell>
          <cell r="J82">
            <v>186.10695420146246</v>
          </cell>
        </row>
        <row r="83">
          <cell r="A83">
            <v>4.3000000000000007</v>
          </cell>
          <cell r="B83">
            <v>54.15978955680071</v>
          </cell>
          <cell r="C83">
            <v>0.49381066478475916</v>
          </cell>
          <cell r="D83">
            <v>5.9432389702387782</v>
          </cell>
          <cell r="E83">
            <v>103.47179047185713</v>
          </cell>
          <cell r="F83">
            <v>27.605763356980077</v>
          </cell>
          <cell r="G83">
            <v>19.856518708688984</v>
          </cell>
          <cell r="H83">
            <v>16.287156023607455</v>
          </cell>
          <cell r="I83">
            <v>14.065432080535423</v>
          </cell>
          <cell r="J83">
            <v>181.28666064166907</v>
          </cell>
        </row>
        <row r="84">
          <cell r="A84">
            <v>4.4000000000000004</v>
          </cell>
          <cell r="B84">
            <v>55.419319546493746</v>
          </cell>
          <cell r="C84">
            <v>0.48095007854909966</v>
          </cell>
          <cell r="D84">
            <v>5.7884558868697633</v>
          </cell>
          <cell r="E84">
            <v>100.77701699040259</v>
          </cell>
          <cell r="F84">
            <v>26.888696533807209</v>
          </cell>
          <cell r="G84">
            <v>19.342196036305122</v>
          </cell>
          <cell r="H84">
            <v>15.866570348445359</v>
          </cell>
          <cell r="I84">
            <v>13.703412118569855</v>
          </cell>
          <cell r="J84">
            <v>176.57789202753011</v>
          </cell>
        </row>
        <row r="85">
          <cell r="A85">
            <v>4.5</v>
          </cell>
          <cell r="B85">
            <v>56.678849536186782</v>
          </cell>
          <cell r="C85">
            <v>0.46839377121378645</v>
          </cell>
          <cell r="D85">
            <v>5.6373349403222521</v>
          </cell>
          <cell r="E85">
            <v>98.146001311010409</v>
          </cell>
          <cell r="F85">
            <v>26.188419230788178</v>
          </cell>
          <cell r="G85">
            <v>18.839777505595187</v>
          </cell>
          <cell r="H85">
            <v>15.455595142625016</v>
          </cell>
          <cell r="I85">
            <v>13.349546850160852</v>
          </cell>
          <cell r="J85">
            <v>171.97934004017964</v>
          </cell>
        </row>
        <row r="86">
          <cell r="A86">
            <v>4.5999999999999996</v>
          </cell>
          <cell r="B86">
            <v>57.938379525879817</v>
          </cell>
          <cell r="C86">
            <v>0.45613736789867393</v>
          </cell>
          <cell r="D86">
            <v>5.4898234768971133</v>
          </cell>
          <cell r="E86">
            <v>95.577826732778746</v>
          </cell>
          <cell r="F86">
            <v>25.504710348818978</v>
          </cell>
          <cell r="G86">
            <v>18.349122684729878</v>
          </cell>
          <cell r="H86">
            <v>15.054132072545997</v>
          </cell>
          <cell r="I86">
            <v>13.00376747605114</v>
          </cell>
          <cell r="J86">
            <v>167.48955931492472</v>
          </cell>
        </row>
        <row r="87">
          <cell r="A87">
            <v>4.6999999999999993</v>
          </cell>
          <cell r="B87">
            <v>59.197909515572853</v>
          </cell>
          <cell r="C87">
            <v>0.44417623561993236</v>
          </cell>
          <cell r="D87">
            <v>5.3458657364984052</v>
          </cell>
          <cell r="E87">
            <v>93.071522472437238</v>
          </cell>
          <cell r="F87">
            <v>24.83733166942238</v>
          </cell>
          <cell r="G87">
            <v>17.870076658876457</v>
          </cell>
          <cell r="H87">
            <v>14.662068924605736</v>
          </cell>
          <cell r="I87">
            <v>12.665991261977604</v>
          </cell>
          <cell r="J87">
            <v>163.10699098731942</v>
          </cell>
        </row>
        <row r="88">
          <cell r="A88">
            <v>4.7999999999999989</v>
          </cell>
          <cell r="B88">
            <v>60.457439505265889</v>
          </cell>
          <cell r="C88">
            <v>0.4325055319487992</v>
          </cell>
          <cell r="D88">
            <v>5.2054034382638772</v>
          </cell>
          <cell r="E88">
            <v>90.626073860174102</v>
          </cell>
          <cell r="F88">
            <v>24.186030920006619</v>
          </cell>
          <cell r="G88">
            <v>17.402472518378183</v>
          </cell>
          <cell r="H88">
            <v>14.279281912397982</v>
          </cell>
          <cell r="I88">
            <v>12.336123795555482</v>
          </cell>
          <cell r="J88">
            <v>158.82998300651238</v>
          </cell>
        </row>
      </sheetData>
      <sheetData sheetId="11">
        <row r="2">
          <cell r="A2" t="str">
            <v xml:space="preserve">PERHITUNGAN DEBIT BANJIR RANCANGAN GAMA  I  </v>
          </cell>
        </row>
        <row r="3">
          <cell r="A3" t="str">
            <v>Data:</v>
          </cell>
        </row>
        <row r="4">
          <cell r="B4" t="str">
            <v>Lihat Gambar 4-1, mengenai Karakteristik DPS dan Pangsa Sungai</v>
          </cell>
        </row>
        <row r="5">
          <cell r="B5" t="str">
            <v>L =</v>
          </cell>
          <cell r="C5">
            <v>70</v>
          </cell>
          <cell r="D5" t="str">
            <v>km</v>
          </cell>
        </row>
        <row r="6">
          <cell r="B6" t="str">
            <v>A =</v>
          </cell>
          <cell r="C6">
            <v>796</v>
          </cell>
          <cell r="D6" t="str">
            <v>km2</v>
          </cell>
        </row>
        <row r="7">
          <cell r="B7" t="str">
            <v>S =</v>
          </cell>
          <cell r="C7">
            <v>5.0000000000000001E-3</v>
          </cell>
        </row>
        <row r="8">
          <cell r="B8" t="str">
            <v>JN =</v>
          </cell>
          <cell r="C8">
            <v>61</v>
          </cell>
        </row>
        <row r="9">
          <cell r="B9" t="str">
            <v>RUA =</v>
          </cell>
          <cell r="C9">
            <v>0.6</v>
          </cell>
        </row>
        <row r="10">
          <cell r="B10" t="str">
            <v>D =</v>
          </cell>
          <cell r="C10">
            <v>8.7999999999999995E-2</v>
          </cell>
          <cell r="D10" t="str">
            <v>km/km2</v>
          </cell>
        </row>
        <row r="11">
          <cell r="B11" t="str">
            <v>WF =</v>
          </cell>
          <cell r="C11">
            <v>1.77</v>
          </cell>
        </row>
        <row r="12">
          <cell r="B12" t="str">
            <v>SIM =</v>
          </cell>
          <cell r="C12">
            <v>1.0620000000000001</v>
          </cell>
        </row>
        <row r="13">
          <cell r="B13" t="str">
            <v>SF =</v>
          </cell>
          <cell r="C13">
            <v>0.5</v>
          </cell>
        </row>
        <row r="14">
          <cell r="B14" t="str">
            <v>SN =</v>
          </cell>
          <cell r="C14">
            <v>0.42</v>
          </cell>
        </row>
        <row r="15">
          <cell r="A15" t="str">
            <v>Rumus</v>
          </cell>
        </row>
        <row r="16">
          <cell r="A16" t="str">
            <v>Waktu naik</v>
          </cell>
          <cell r="D16" t="str">
            <v>TR</v>
          </cell>
          <cell r="E16">
            <v>3.5900429999999997</v>
          </cell>
          <cell r="F16" t="str">
            <v>jam</v>
          </cell>
        </row>
        <row r="17">
          <cell r="A17" t="str">
            <v>Debit puncak</v>
          </cell>
          <cell r="D17" t="str">
            <v>QP</v>
          </cell>
          <cell r="E17">
            <v>14.907021335856593</v>
          </cell>
          <cell r="F17" t="str">
            <v>m3/dt</v>
          </cell>
        </row>
        <row r="18">
          <cell r="A18" t="str">
            <v>Waktu dasar hidrograf</v>
          </cell>
          <cell r="D18" t="str">
            <v>TB</v>
          </cell>
          <cell r="E18">
            <v>25.818423600385209</v>
          </cell>
          <cell r="F18" t="str">
            <v>jam</v>
          </cell>
        </row>
        <row r="19">
          <cell r="A19" t="str">
            <v>koef. tampungan</v>
          </cell>
          <cell r="D19" t="str">
            <v>K</v>
          </cell>
          <cell r="E19">
            <v>7.6584438734489195</v>
          </cell>
          <cell r="F19" t="str">
            <v>jam</v>
          </cell>
        </row>
        <row r="20">
          <cell r="A20" t="str">
            <v>Index Infiltrasi</v>
          </cell>
          <cell r="D20" t="str">
            <v>f</v>
          </cell>
          <cell r="E20">
            <v>10.236570826530592</v>
          </cell>
          <cell r="F20" t="str">
            <v>mm/jam</v>
          </cell>
        </row>
        <row r="21">
          <cell r="A21" t="str">
            <v>Aliran dasar</v>
          </cell>
          <cell r="D21" t="str">
            <v>QB</v>
          </cell>
          <cell r="E21">
            <v>3.5545167991549831</v>
          </cell>
          <cell r="F21" t="str">
            <v>m3/dt</v>
          </cell>
        </row>
        <row r="24">
          <cell r="A24" t="str">
            <v xml:space="preserve">TABEL PERHITUNGAN DEBIT BANJIR RANCANGAN GAMA  I  </v>
          </cell>
        </row>
        <row r="25">
          <cell r="A25" t="str">
            <v>KALA ULANG   5  TH</v>
          </cell>
        </row>
        <row r="26">
          <cell r="J26" t="str">
            <v>Qpuncak=</v>
          </cell>
          <cell r="K26">
            <v>325.20985036850857</v>
          </cell>
          <cell r="L26" t="str">
            <v>m3/det</v>
          </cell>
        </row>
        <row r="27">
          <cell r="A27" t="str">
            <v xml:space="preserve">Jam </v>
          </cell>
          <cell r="B27" t="str">
            <v>t</v>
          </cell>
          <cell r="C27" t="str">
            <v>t/k</v>
          </cell>
          <cell r="D27" t="str">
            <v>y = e-t/k</v>
          </cell>
          <cell r="E27" t="str">
            <v>Qt =y.QP</v>
          </cell>
          <cell r="F27" t="str">
            <v>Tinggi Hujan (mm)</v>
          </cell>
          <cell r="L27" t="str">
            <v>Total</v>
          </cell>
        </row>
        <row r="28">
          <cell r="A28" t="str">
            <v>ke</v>
          </cell>
          <cell r="B28" t="str">
            <v>(jam)</v>
          </cell>
          <cell r="E28" t="str">
            <v>(m3/dt)</v>
          </cell>
          <cell r="F28">
            <v>17.41</v>
          </cell>
          <cell r="G28">
            <v>4.524249600000001</v>
          </cell>
          <cell r="H28">
            <v>3.1699512000000012</v>
          </cell>
          <cell r="I28">
            <v>2.5329844799999983</v>
          </cell>
          <cell r="J28">
            <v>2.1311596800000001</v>
          </cell>
          <cell r="L28" t="str">
            <v>Debit</v>
          </cell>
        </row>
        <row r="30">
          <cell r="A30">
            <v>0</v>
          </cell>
          <cell r="B30" t="str">
            <v>-</v>
          </cell>
          <cell r="C30">
            <v>0</v>
          </cell>
          <cell r="D30">
            <v>0</v>
          </cell>
          <cell r="E30">
            <v>0</v>
          </cell>
          <cell r="L30">
            <v>0</v>
          </cell>
        </row>
        <row r="31">
          <cell r="A31">
            <v>1</v>
          </cell>
          <cell r="B31" t="str">
            <v>-</v>
          </cell>
          <cell r="C31">
            <v>0</v>
          </cell>
          <cell r="D31">
            <v>0</v>
          </cell>
          <cell r="E31">
            <v>7.4535106679282963</v>
          </cell>
          <cell r="F31">
            <v>0</v>
          </cell>
          <cell r="L31">
            <v>0</v>
          </cell>
        </row>
        <row r="32">
          <cell r="A32">
            <v>2</v>
          </cell>
          <cell r="B32">
            <v>0</v>
          </cell>
          <cell r="C32">
            <v>0</v>
          </cell>
          <cell r="D32">
            <v>1</v>
          </cell>
          <cell r="E32">
            <v>14.907021335856593</v>
          </cell>
          <cell r="F32">
            <v>129.76562072863163</v>
          </cell>
          <cell r="G32">
            <v>0</v>
          </cell>
          <cell r="L32">
            <v>129.76562072863163</v>
          </cell>
        </row>
        <row r="33">
          <cell r="A33">
            <v>3</v>
          </cell>
          <cell r="B33">
            <v>1</v>
          </cell>
          <cell r="C33">
            <v>0.13057482910685064</v>
          </cell>
          <cell r="D33">
            <v>0.87760270254724304</v>
          </cell>
          <cell r="E33">
            <v>13.08244221127716</v>
          </cell>
          <cell r="F33">
            <v>259.53124145726326</v>
          </cell>
          <cell r="G33">
            <v>33.721542657970332</v>
          </cell>
          <cell r="H33">
            <v>0</v>
          </cell>
          <cell r="L33">
            <v>293.25278411523357</v>
          </cell>
        </row>
        <row r="34">
          <cell r="A34">
            <v>4</v>
          </cell>
          <cell r="B34">
            <v>2</v>
          </cell>
          <cell r="C34">
            <v>0.26114965821370129</v>
          </cell>
          <cell r="D34">
            <v>0.77018650351822471</v>
          </cell>
          <cell r="E34">
            <v>11.481186640534965</v>
          </cell>
          <cell r="F34">
            <v>227.76531889833535</v>
          </cell>
          <cell r="G34">
            <v>67.443085315940664</v>
          </cell>
          <cell r="H34">
            <v>23.627265086012113</v>
          </cell>
          <cell r="I34">
            <v>0</v>
          </cell>
          <cell r="L34">
            <v>318.83566930028815</v>
          </cell>
        </row>
        <row r="35">
          <cell r="A35">
            <v>5</v>
          </cell>
          <cell r="B35">
            <v>3</v>
          </cell>
          <cell r="C35">
            <v>0.39172448732055193</v>
          </cell>
          <cell r="D35">
            <v>0.67591775695300571</v>
          </cell>
          <cell r="E35">
            <v>10.075920424182787</v>
          </cell>
          <cell r="F35">
            <v>199.88745941171373</v>
          </cell>
          <cell r="G35">
            <v>59.188233941393818</v>
          </cell>
          <cell r="H35">
            <v>47.254530172024225</v>
          </cell>
          <cell r="I35">
            <v>18.879626843376794</v>
          </cell>
          <cell r="J35">
            <v>0</v>
          </cell>
          <cell r="L35">
            <v>325.20985036850857</v>
          </cell>
        </row>
        <row r="36">
          <cell r="A36">
            <v>6</v>
          </cell>
          <cell r="B36">
            <v>4</v>
          </cell>
          <cell r="C36">
            <v>0.52229931642740257</v>
          </cell>
          <cell r="D36">
            <v>0.59318725020162832</v>
          </cell>
          <cell r="E36">
            <v>8.8426549949137758</v>
          </cell>
          <cell r="F36">
            <v>175.42177458502232</v>
          </cell>
          <cell r="G36">
            <v>51.94375406596567</v>
          </cell>
          <cell r="H36">
            <v>41.470703386568701</v>
          </cell>
          <cell r="I36">
            <v>37.759253686753588</v>
          </cell>
          <cell r="J36">
            <v>15.884621409938655</v>
          </cell>
          <cell r="K36">
            <v>0</v>
          </cell>
          <cell r="L36">
            <v>322.4801071342489</v>
          </cell>
        </row>
        <row r="37">
          <cell r="A37">
            <v>7</v>
          </cell>
          <cell r="B37">
            <v>5</v>
          </cell>
          <cell r="C37">
            <v>0.65287414553425327</v>
          </cell>
          <cell r="D37">
            <v>0.52058273389351661</v>
          </cell>
          <cell r="E37">
            <v>7.7603379212292074</v>
          </cell>
          <cell r="F37">
            <v>153.95062346144883</v>
          </cell>
          <cell r="G37">
            <v>45.585978948740809</v>
          </cell>
          <cell r="H37">
            <v>36.394801368587792</v>
          </cell>
          <cell r="I37">
            <v>33.137623081661907</v>
          </cell>
          <cell r="J37">
            <v>31.769242819877309</v>
          </cell>
          <cell r="K37">
            <v>0</v>
          </cell>
          <cell r="L37">
            <v>300.83826968031667</v>
          </cell>
        </row>
        <row r="38">
          <cell r="A38">
            <v>8</v>
          </cell>
          <cell r="B38">
            <v>6</v>
          </cell>
          <cell r="C38">
            <v>0.78344897464110386</v>
          </cell>
          <cell r="D38">
            <v>0.45686481416438246</v>
          </cell>
          <cell r="E38">
            <v>6.8104935323506064</v>
          </cell>
          <cell r="F38">
            <v>135.10748320860051</v>
          </cell>
          <cell r="G38">
            <v>40.006378323676664</v>
          </cell>
          <cell r="H38">
            <v>31.940176039742745</v>
          </cell>
          <cell r="I38">
            <v>29.081667572458386</v>
          </cell>
          <cell r="J38">
            <v>27.880773356603925</v>
          </cell>
          <cell r="K38">
            <v>0</v>
          </cell>
          <cell r="L38">
            <v>264.01647850108225</v>
          </cell>
        </row>
        <row r="39">
          <cell r="A39">
            <v>9</v>
          </cell>
          <cell r="B39">
            <v>7</v>
          </cell>
          <cell r="C39">
            <v>0.91402380374795456</v>
          </cell>
          <cell r="D39">
            <v>0.40094579560940602</v>
          </cell>
          <cell r="E39">
            <v>5.9769075296714123</v>
          </cell>
          <cell r="F39">
            <v>118.57069239822405</v>
          </cell>
          <cell r="G39">
            <v>35.109705735986083</v>
          </cell>
          <cell r="H39">
            <v>28.030784812312927</v>
          </cell>
          <cell r="I39">
            <v>25.522150056169998</v>
          </cell>
          <cell r="J39">
            <v>24.468242046862773</v>
          </cell>
          <cell r="K39">
            <v>0</v>
          </cell>
          <cell r="L39">
            <v>231.70157504955583</v>
          </cell>
        </row>
        <row r="40">
          <cell r="A40">
            <v>10</v>
          </cell>
          <cell r="B40">
            <v>8</v>
          </cell>
          <cell r="C40">
            <v>1.0445986328548051</v>
          </cell>
          <cell r="D40">
            <v>0.35187111380176928</v>
          </cell>
          <cell r="E40">
            <v>5.245350200914598</v>
          </cell>
          <cell r="F40">
            <v>104.05796009157929</v>
          </cell>
          <cell r="G40">
            <v>30.812372639539824</v>
          </cell>
          <cell r="H40">
            <v>24.599892505806039</v>
          </cell>
          <cell r="I40">
            <v>22.398307864111057</v>
          </cell>
          <cell r="J40">
            <v>21.473395346906852</v>
          </cell>
          <cell r="K40">
            <v>0</v>
          </cell>
          <cell r="L40">
            <v>203.34192844794305</v>
          </cell>
        </row>
        <row r="41">
          <cell r="A41">
            <v>11</v>
          </cell>
          <cell r="B41">
            <v>9</v>
          </cell>
          <cell r="C41">
            <v>1.1751734619616558</v>
          </cell>
          <cell r="D41">
            <v>0.30880304042074119</v>
          </cell>
          <cell r="E41">
            <v>4.6033335121293746</v>
          </cell>
          <cell r="F41">
            <v>91.32154699792315</v>
          </cell>
          <cell r="G41">
            <v>27.04102150035288</v>
          </cell>
          <cell r="H41">
            <v>21.588932145467052</v>
          </cell>
          <cell r="I41">
            <v>19.656815514029031</v>
          </cell>
          <cell r="J41">
            <v>18.845109789310847</v>
          </cell>
          <cell r="K41">
            <v>0</v>
          </cell>
          <cell r="L41">
            <v>178.45342594708296</v>
          </cell>
        </row>
        <row r="42">
          <cell r="A42">
            <v>12</v>
          </cell>
          <cell r="B42">
            <v>10</v>
          </cell>
          <cell r="C42">
            <v>1.3057482910685065</v>
          </cell>
          <cell r="D42">
            <v>0.27100638282804801</v>
          </cell>
          <cell r="E42">
            <v>4.0398979309710317</v>
          </cell>
          <cell r="F42">
            <v>80.144036446172407</v>
          </cell>
          <cell r="G42">
            <v>23.731273548347794</v>
          </cell>
          <cell r="H42">
            <v>18.946505195970936</v>
          </cell>
          <cell r="I42">
            <v>17.250874418584452</v>
          </cell>
          <cell r="J42">
            <v>16.538519280898704</v>
          </cell>
          <cell r="K42">
            <v>0</v>
          </cell>
          <cell r="L42">
            <v>156.61120888997428</v>
          </cell>
        </row>
        <row r="43">
          <cell r="A43">
            <v>13</v>
          </cell>
          <cell r="B43">
            <v>11</v>
          </cell>
          <cell r="C43">
            <v>1.4363231201753572</v>
          </cell>
          <cell r="D43">
            <v>0.23783593397744765</v>
          </cell>
          <cell r="E43">
            <v>3.545425342235192</v>
          </cell>
          <cell r="F43">
            <v>70.334622978205658</v>
          </cell>
          <cell r="G43">
            <v>20.826629800917921</v>
          </cell>
          <cell r="H43">
            <v>16.627504163809476</v>
          </cell>
          <cell r="I43">
            <v>15.139414011052816</v>
          </cell>
          <cell r="J43">
            <v>14.514249217046389</v>
          </cell>
          <cell r="K43">
            <v>0</v>
          </cell>
          <cell r="L43">
            <v>137.44242017103227</v>
          </cell>
        </row>
        <row r="44">
          <cell r="A44">
            <v>14</v>
          </cell>
          <cell r="B44">
            <v>12</v>
          </cell>
          <cell r="C44">
            <v>1.5668979492822077</v>
          </cell>
          <cell r="D44">
            <v>0.20872545842145573</v>
          </cell>
          <cell r="E44">
            <v>3.1114748620250889</v>
          </cell>
          <cell r="F44">
            <v>61.725855208314691</v>
          </cell>
          <cell r="G44">
            <v>18.277506598236521</v>
          </cell>
          <cell r="H44">
            <v>14.592342590774731</v>
          </cell>
          <cell r="I44">
            <v>13.28639065108155</v>
          </cell>
          <cell r="J44">
            <v>12.737744338324118</v>
          </cell>
          <cell r="K44">
            <v>0</v>
          </cell>
          <cell r="L44">
            <v>120.61983938673161</v>
          </cell>
        </row>
        <row r="45">
          <cell r="A45">
            <v>15</v>
          </cell>
          <cell r="B45">
            <v>13</v>
          </cell>
          <cell r="C45">
            <v>1.6974727783890584</v>
          </cell>
          <cell r="D45">
            <v>0.18317802640108174</v>
          </cell>
          <cell r="E45">
            <v>2.7306387478210277</v>
          </cell>
          <cell r="F45">
            <v>54.170777347856799</v>
          </cell>
          <cell r="G45">
            <v>16.040389186437434</v>
          </cell>
          <cell r="H45">
            <v>12.806279294159143</v>
          </cell>
          <cell r="I45">
            <v>11.66017234248759</v>
          </cell>
          <cell r="J45">
            <v>11.178678855669091</v>
          </cell>
          <cell r="K45">
            <v>0</v>
          </cell>
          <cell r="L45">
            <v>105.85629702661005</v>
          </cell>
        </row>
        <row r="46">
          <cell r="A46">
            <v>16</v>
          </cell>
          <cell r="B46">
            <v>14</v>
          </cell>
          <cell r="C46">
            <v>1.8280476074959091</v>
          </cell>
          <cell r="D46">
            <v>0.16075753101685958</v>
          </cell>
          <cell r="E46">
            <v>2.3964159447679538</v>
          </cell>
          <cell r="F46">
            <v>47.540420599564094</v>
          </cell>
          <cell r="G46">
            <v>14.077088899927066</v>
          </cell>
          <cell r="H46">
            <v>11.238825318128862</v>
          </cell>
          <cell r="I46">
            <v>10.232998759933727</v>
          </cell>
          <cell r="J46">
            <v>9.8104387746429147</v>
          </cell>
          <cell r="K46">
            <v>0</v>
          </cell>
          <cell r="L46">
            <v>92.899772352196663</v>
          </cell>
        </row>
        <row r="47">
          <cell r="A47">
            <v>17</v>
          </cell>
          <cell r="B47">
            <v>15</v>
          </cell>
          <cell r="C47">
            <v>1.9586224366027598</v>
          </cell>
          <cell r="D47">
            <v>0.14108124367521821</v>
          </cell>
          <cell r="E47">
            <v>2.1031011095556607</v>
          </cell>
          <cell r="F47">
            <v>41.721601598410075</v>
          </cell>
          <cell r="G47">
            <v>12.354091262573787</v>
          </cell>
          <cell r="H47">
            <v>9.8632234726462684</v>
          </cell>
          <cell r="I47">
            <v>8.9805073668804241</v>
          </cell>
          <cell r="J47">
            <v>8.6096675818008865</v>
          </cell>
          <cell r="K47">
            <v>0</v>
          </cell>
          <cell r="L47">
            <v>81.529091282311441</v>
          </cell>
        </row>
        <row r="48">
          <cell r="A48">
            <v>18</v>
          </cell>
          <cell r="B48">
            <v>16</v>
          </cell>
          <cell r="C48">
            <v>2.0891972657096103</v>
          </cell>
          <cell r="D48">
            <v>0.12381328072809766</v>
          </cell>
          <cell r="E48">
            <v>1.8456872174761538</v>
          </cell>
          <cell r="F48">
            <v>36.614990317364054</v>
          </cell>
          <cell r="G48">
            <v>10.841983879550039</v>
          </cell>
          <cell r="H48">
            <v>8.6559915754217673</v>
          </cell>
          <cell r="I48">
            <v>7.8813175354196865</v>
          </cell>
          <cell r="J48">
            <v>7.5558675378218423</v>
          </cell>
          <cell r="K48">
            <v>0</v>
          </cell>
          <cell r="L48">
            <v>71.550150845577377</v>
          </cell>
        </row>
        <row r="49">
          <cell r="A49">
            <v>19</v>
          </cell>
          <cell r="B49">
            <v>17</v>
          </cell>
          <cell r="C49">
            <v>2.2197720948164612</v>
          </cell>
          <cell r="D49">
            <v>0.10865886977821895</v>
          </cell>
          <cell r="E49">
            <v>1.6197800901139729</v>
          </cell>
          <cell r="F49">
            <v>32.133414456259835</v>
          </cell>
          <cell r="G49">
            <v>9.5149543536667558</v>
          </cell>
          <cell r="H49">
            <v>7.5965215998163123</v>
          </cell>
          <cell r="I49">
            <v>6.916665568717292</v>
          </cell>
          <cell r="J49">
            <v>6.6310497712814334</v>
          </cell>
          <cell r="K49">
            <v>0</v>
          </cell>
          <cell r="L49">
            <v>62.792605749741632</v>
          </cell>
        </row>
        <row r="50">
          <cell r="A50">
            <v>20</v>
          </cell>
          <cell r="B50">
            <v>18</v>
          </cell>
          <cell r="C50">
            <v>2.3503469239233117</v>
          </cell>
          <cell r="D50">
            <v>9.5359317773093935E-2</v>
          </cell>
          <cell r="E50">
            <v>1.4215233846162401</v>
          </cell>
          <cell r="F50">
            <v>28.200371368884269</v>
          </cell>
          <cell r="G50">
            <v>8.3503496553916037</v>
          </cell>
          <cell r="H50">
            <v>6.6667278859573003</v>
          </cell>
          <cell r="I50">
            <v>6.0700843957217598</v>
          </cell>
          <cell r="J50">
            <v>5.8194272000018623</v>
          </cell>
          <cell r="K50">
            <v>0</v>
          </cell>
          <cell r="L50">
            <v>55.106960505956792</v>
          </cell>
        </row>
        <row r="51">
          <cell r="A51">
            <v>21</v>
          </cell>
          <cell r="B51">
            <v>19</v>
          </cell>
          <cell r="C51">
            <v>2.4809217530301622</v>
          </cell>
          <cell r="D51">
            <v>8.3687594990728587E-2</v>
          </cell>
          <cell r="E51">
            <v>1.2475327640733163</v>
          </cell>
          <cell r="F51">
            <v>24.74872212616874</v>
          </cell>
          <cell r="G51">
            <v>7.3282894247861075</v>
          </cell>
          <cell r="H51">
            <v>5.8507384098631974</v>
          </cell>
          <cell r="I51">
            <v>5.3271224703752642</v>
          </cell>
          <cell r="J51">
            <v>5.1071450379985706</v>
          </cell>
          <cell r="K51">
            <v>0</v>
          </cell>
          <cell r="L51">
            <v>48.362017469191883</v>
          </cell>
        </row>
        <row r="52">
          <cell r="A52">
            <v>22</v>
          </cell>
          <cell r="B52">
            <v>20</v>
          </cell>
          <cell r="C52">
            <v>2.6114965821370131</v>
          </cell>
          <cell r="D52">
            <v>7.3444459533542505E-2</v>
          </cell>
          <cell r="E52">
            <v>1.0948381252669743</v>
          </cell>
          <cell r="F52">
            <v>21.719545422516436</v>
          </cell>
          <cell r="G52">
            <v>6.431326604240672</v>
          </cell>
          <cell r="H52">
            <v>5.1346238403928988</v>
          </cell>
          <cell r="I52">
            <v>4.675097076801479</v>
          </cell>
          <cell r="J52">
            <v>4.4820442876482867</v>
          </cell>
          <cell r="K52">
            <v>0</v>
          </cell>
          <cell r="L52">
            <v>42.442637231599768</v>
          </cell>
        </row>
        <row r="53">
          <cell r="A53">
            <v>23</v>
          </cell>
          <cell r="B53">
            <v>21</v>
          </cell>
          <cell r="C53">
            <v>2.7420714112438636</v>
          </cell>
          <cell r="D53">
            <v>6.4455056173758546E-2</v>
          </cell>
          <cell r="E53">
            <v>0.96083289758605384</v>
          </cell>
          <cell r="F53">
            <v>19.061131760898022</v>
          </cell>
          <cell r="G53">
            <v>5.6441496088455967</v>
          </cell>
          <cell r="H53">
            <v>4.5061597588923137</v>
          </cell>
          <cell r="I53">
            <v>4.1028778292716925</v>
          </cell>
          <cell r="J53">
            <v>3.9334541797765707</v>
          </cell>
          <cell r="K53">
            <v>0</v>
          </cell>
          <cell r="L53">
            <v>37.247773137684192</v>
          </cell>
        </row>
        <row r="54">
          <cell r="A54">
            <v>24</v>
          </cell>
          <cell r="B54">
            <v>22</v>
          </cell>
          <cell r="C54">
            <v>2.8726462403507145</v>
          </cell>
          <cell r="D54">
            <v>5.6565931490924849E-2</v>
          </cell>
          <cell r="E54">
            <v>0.8432295476178191</v>
          </cell>
          <cell r="F54">
            <v>16.728100746973197</v>
          </cell>
          <cell r="G54">
            <v>4.9533209503038593</v>
          </cell>
          <cell r="H54">
            <v>3.9546179825135273</v>
          </cell>
          <cell r="I54">
            <v>3.6006966711900046</v>
          </cell>
          <cell r="J54">
            <v>3.4520100185176661</v>
          </cell>
          <cell r="K54">
            <v>0</v>
          </cell>
          <cell r="L54">
            <v>32.688746369498254</v>
          </cell>
        </row>
        <row r="55">
          <cell r="A55">
            <v>25</v>
          </cell>
          <cell r="B55">
            <v>23</v>
          </cell>
          <cell r="C55">
            <v>3.003221069457565</v>
          </cell>
          <cell r="D55">
            <v>4.9642414348537833E-2</v>
          </cell>
          <cell r="E55">
            <v>0.74002052985708688</v>
          </cell>
          <cell r="F55">
            <v>14.680626424026231</v>
          </cell>
          <cell r="G55">
            <v>4.3470478525705456</v>
          </cell>
          <cell r="H55">
            <v>3.4705834289957971</v>
          </cell>
          <cell r="J55">
            <v>3.0294933214712634</v>
          </cell>
          <cell r="K55">
            <v>0</v>
          </cell>
          <cell r="L55">
            <v>25.527751027063839</v>
          </cell>
        </row>
        <row r="56">
          <cell r="A56">
            <v>26</v>
          </cell>
          <cell r="B56">
            <v>24</v>
          </cell>
          <cell r="C56">
            <v>3.1337958985644154</v>
          </cell>
          <cell r="D56">
            <v>4.3566316993246847E-2</v>
          </cell>
          <cell r="E56">
            <v>0.64944401694302234</v>
          </cell>
          <cell r="F56">
            <v>12.883757424811883</v>
          </cell>
          <cell r="G56">
            <v>3.8149809435180999</v>
          </cell>
          <cell r="I56">
            <v>2.7732079794135398</v>
          </cell>
          <cell r="J56">
            <v>2.6586915262720043</v>
          </cell>
          <cell r="K56">
            <v>0</v>
          </cell>
          <cell r="L56">
            <v>22.13063787401553</v>
          </cell>
        </row>
        <row r="57">
          <cell r="A57">
            <v>27</v>
          </cell>
          <cell r="B57">
            <v>25</v>
          </cell>
          <cell r="C57">
            <v>3.2643707276712663</v>
          </cell>
          <cell r="D57">
            <v>3.8233917533303297E-2</v>
          </cell>
          <cell r="E57">
            <v>0.56995382442233367</v>
          </cell>
          <cell r="F57">
            <v>11.306820334978019</v>
          </cell>
          <cell r="G57">
            <v>3.3480375861977141</v>
          </cell>
          <cell r="H57">
            <v>2.6729965163465637</v>
          </cell>
          <cell r="I57">
            <v>2.433774817458902</v>
          </cell>
          <cell r="J57">
            <v>2.3332748686957649</v>
          </cell>
          <cell r="K57">
            <v>0</v>
          </cell>
          <cell r="L57">
            <v>22.094904123676965</v>
          </cell>
        </row>
        <row r="58">
          <cell r="A58">
            <v>28</v>
          </cell>
          <cell r="B58">
            <v>26</v>
          </cell>
          <cell r="C58">
            <v>3.3949455567781168</v>
          </cell>
          <cell r="D58">
            <v>3.3554189356195405E-2</v>
          </cell>
          <cell r="E58">
            <v>0.50019301664017712</v>
          </cell>
          <cell r="F58">
            <v>9.9228960831928283</v>
          </cell>
          <cell r="G58">
            <v>2.9382468338768626</v>
          </cell>
          <cell r="H58">
            <v>2.3458289666451093</v>
          </cell>
          <cell r="I58">
            <v>2.1358873571933552</v>
          </cell>
          <cell r="J58">
            <v>2.0476883305529672</v>
          </cell>
          <cell r="K58">
            <v>0</v>
          </cell>
          <cell r="L58">
            <v>19.39054757146112</v>
          </cell>
        </row>
        <row r="59">
          <cell r="A59">
            <v>29</v>
          </cell>
          <cell r="B59">
            <v>27</v>
          </cell>
          <cell r="C59">
            <v>3.5255203858849673</v>
          </cell>
          <cell r="D59">
            <v>2.944724726077903E-2</v>
          </cell>
          <cell r="E59">
            <v>0.43897074319867757</v>
          </cell>
          <cell r="F59">
            <v>8.7083604197054836</v>
          </cell>
          <cell r="G59">
            <v>2.5786133621612137</v>
          </cell>
          <cell r="H59">
            <v>2.0587058408413546</v>
          </cell>
          <cell r="I59">
            <v>1.8744605170093764</v>
          </cell>
          <cell r="J59">
            <v>1.7970568128677362</v>
          </cell>
          <cell r="K59">
            <v>0</v>
          </cell>
          <cell r="L59">
            <v>17.017196952585163</v>
          </cell>
        </row>
        <row r="60">
          <cell r="A60">
            <v>30</v>
          </cell>
          <cell r="B60">
            <v>28</v>
          </cell>
          <cell r="C60">
            <v>3.6560952149918182</v>
          </cell>
          <cell r="D60">
            <v>2.5842983778636565E-2</v>
          </cell>
          <cell r="E60">
            <v>0.38524191057033108</v>
          </cell>
          <cell r="F60">
            <v>7.6424806390889763</v>
          </cell>
          <cell r="G60">
            <v>2.262998055457115</v>
          </cell>
          <cell r="H60">
            <v>1.8067258096721666</v>
          </cell>
          <cell r="I60">
            <v>1.6450316155455316</v>
          </cell>
          <cell r="J60">
            <v>1.5771019156036599</v>
          </cell>
          <cell r="K60">
            <v>0</v>
          </cell>
          <cell r="L60">
            <v>14.934338035367448</v>
          </cell>
        </row>
        <row r="61">
          <cell r="A61">
            <v>31</v>
          </cell>
          <cell r="B61">
            <v>29</v>
          </cell>
          <cell r="C61">
            <v>3.7866700440986687</v>
          </cell>
          <cell r="D61">
            <v>2.2679872406016016E-2</v>
          </cell>
          <cell r="E61">
            <v>0.33808934185098594</v>
          </cell>
          <cell r="F61">
            <v>6.7070616630294646</v>
          </cell>
          <cell r="G61">
            <v>1.9860132093283203</v>
          </cell>
          <cell r="H61">
            <v>1.5855874533301499</v>
          </cell>
          <cell r="I61">
            <v>1.4436841915784151</v>
          </cell>
          <cell r="J61">
            <v>1.3840689033262061</v>
          </cell>
          <cell r="K61">
            <v>0</v>
          </cell>
          <cell r="L61">
            <v>13.106415420592556</v>
          </cell>
        </row>
        <row r="62">
          <cell r="A62">
            <v>32</v>
          </cell>
          <cell r="B62">
            <v>30</v>
          </cell>
          <cell r="C62">
            <v>3.9172448732055196</v>
          </cell>
          <cell r="D62">
            <v>1.9903917316946296E-2</v>
          </cell>
          <cell r="E62">
            <v>0.29670812011084391</v>
          </cell>
          <cell r="F62">
            <v>5.8861354416256653</v>
          </cell>
          <cell r="G62">
            <v>1.7429305598010565</v>
          </cell>
          <cell r="H62">
            <v>1.3915158341675404</v>
          </cell>
          <cell r="I62">
            <v>1.2669811481539495</v>
          </cell>
          <cell r="J62">
            <v>1.2146626100706768</v>
          </cell>
          <cell r="K62">
            <v>0</v>
          </cell>
          <cell r="L62">
            <v>11.502225593818888</v>
          </cell>
        </row>
        <row r="63">
          <cell r="A63">
            <v>33</v>
          </cell>
          <cell r="B63">
            <v>31</v>
          </cell>
          <cell r="C63">
            <v>4.0478197023123705</v>
          </cell>
          <cell r="D63">
            <v>1.7467731628628934E-2</v>
          </cell>
          <cell r="E63">
            <v>0.26039184807698856</v>
          </cell>
          <cell r="F63">
            <v>5.1656883711297921</v>
          </cell>
          <cell r="G63">
            <v>1.5296005696335868</v>
          </cell>
          <cell r="H63">
            <v>1.2211980567027141</v>
          </cell>
          <cell r="I63">
            <v>1.1119060796963152</v>
          </cell>
          <cell r="J63">
            <v>1.0659911892811147</v>
          </cell>
          <cell r="K63">
            <v>0</v>
          </cell>
          <cell r="L63">
            <v>10.094384266443523</v>
          </cell>
        </row>
        <row r="64">
          <cell r="A64">
            <v>34</v>
          </cell>
          <cell r="B64">
            <v>32</v>
          </cell>
          <cell r="C64">
            <v>4.1783945314192206</v>
          </cell>
          <cell r="D64">
            <v>1.5329728484654718E-2</v>
          </cell>
          <cell r="E64">
            <v>0.22852058959363644</v>
          </cell>
          <cell r="F64">
            <v>4.5334220750203711</v>
          </cell>
          <cell r="G64">
            <v>1.3423815937282377</v>
          </cell>
          <cell r="H64">
            <v>1.0717267149077434</v>
          </cell>
          <cell r="I64">
            <v>0.9758117805201959</v>
          </cell>
          <cell r="J64">
            <v>0.93551674860465595</v>
          </cell>
          <cell r="K64">
            <v>0</v>
          </cell>
          <cell r="L64">
            <v>8.858858912781205</v>
          </cell>
        </row>
        <row r="65">
          <cell r="A65">
            <v>35</v>
          </cell>
          <cell r="B65">
            <v>33</v>
          </cell>
          <cell r="C65">
            <v>4.3089693605260715</v>
          </cell>
          <cell r="D65">
            <v>1.345341114744843E-2</v>
          </cell>
          <cell r="E65">
            <v>0.20055028701506467</v>
          </cell>
          <cell r="F65">
            <v>3.9785434648252105</v>
          </cell>
          <cell r="G65">
            <v>1.1780777145055765</v>
          </cell>
          <cell r="H65">
            <v>0.94055026139511411</v>
          </cell>
          <cell r="I65">
            <v>0.85637505576196127</v>
          </cell>
          <cell r="J65">
            <v>0.82101202685365549</v>
          </cell>
          <cell r="K65">
            <v>0</v>
          </cell>
          <cell r="L65">
            <v>7.7745585233415184</v>
          </cell>
        </row>
        <row r="66">
          <cell r="A66">
            <v>36</v>
          </cell>
          <cell r="B66">
            <v>34</v>
          </cell>
          <cell r="C66">
            <v>4.4395441896329224</v>
          </cell>
          <cell r="D66">
            <v>1.1806749981479944E-2</v>
          </cell>
          <cell r="E66">
            <v>0.17600347388104595</v>
          </cell>
          <cell r="F66">
            <v>3.4915804969322757</v>
          </cell>
          <cell r="G66">
            <v>1.0338841860607741</v>
          </cell>
          <cell r="H66">
            <v>0.82542945128186795</v>
          </cell>
          <cell r="I66">
            <v>0.75155706333074301</v>
          </cell>
          <cell r="J66">
            <v>0.72052237359055782</v>
          </cell>
          <cell r="K66">
            <v>0</v>
          </cell>
          <cell r="L66">
            <v>6.8229735711962185</v>
          </cell>
        </row>
        <row r="67">
          <cell r="A67">
            <v>37</v>
          </cell>
          <cell r="B67">
            <v>35</v>
          </cell>
          <cell r="C67">
            <v>4.5701190187397724</v>
          </cell>
          <cell r="D67">
            <v>1.0361635692046418E-2</v>
          </cell>
          <cell r="E67">
            <v>0.15446112433570913</v>
          </cell>
          <cell r="F67">
            <v>3.0642204802690101</v>
          </cell>
          <cell r="G67">
            <v>0.90733955580779169</v>
          </cell>
          <cell r="H67">
            <v>0.72439911720705563</v>
          </cell>
          <cell r="I67">
            <v>0.65956850989752946</v>
          </cell>
          <cell r="J67">
            <v>0.63233238230882771</v>
          </cell>
          <cell r="K67">
            <v>0</v>
          </cell>
          <cell r="L67">
            <v>5.9878600454902147</v>
          </cell>
        </row>
        <row r="68">
          <cell r="A68">
            <v>38</v>
          </cell>
          <cell r="B68">
            <v>36</v>
          </cell>
          <cell r="C68">
            <v>4.7006938478466234</v>
          </cell>
          <cell r="D68">
            <v>9.0933994861499071E-3</v>
          </cell>
          <cell r="E68">
            <v>0.13555550015550405</v>
          </cell>
          <cell r="F68">
            <v>2.689168174684696</v>
          </cell>
          <cell r="G68">
            <v>0.79628364630493276</v>
          </cell>
          <cell r="H68">
            <v>0.63573462298374894</v>
          </cell>
          <cell r="I68">
            <v>0.57883910680113027</v>
          </cell>
          <cell r="J68">
            <v>0.55493660762236363</v>
          </cell>
          <cell r="K68">
            <v>0</v>
          </cell>
          <cell r="L68">
            <v>5.2549621583968715</v>
          </cell>
        </row>
        <row r="69">
          <cell r="A69">
            <v>39</v>
          </cell>
          <cell r="B69">
            <v>37</v>
          </cell>
          <cell r="C69">
            <v>4.8312686769534743</v>
          </cell>
          <cell r="D69">
            <v>7.9803919643868671E-3</v>
          </cell>
          <cell r="E69">
            <v>0.11896387328161354</v>
          </cell>
          <cell r="F69">
            <v>2.3600212577073254</v>
          </cell>
          <cell r="G69">
            <v>0.69882067999138242</v>
          </cell>
          <cell r="H69">
            <v>0.55792242323339047</v>
          </cell>
          <cell r="I69">
            <v>0.50799076446870395</v>
          </cell>
          <cell r="J69">
            <v>0.48701386659178558</v>
          </cell>
          <cell r="K69">
            <v>0</v>
          </cell>
          <cell r="L69">
            <v>4.6117689919925873</v>
          </cell>
        </row>
        <row r="70">
          <cell r="A70">
            <v>40</v>
          </cell>
          <cell r="B70">
            <v>38</v>
          </cell>
          <cell r="C70">
            <v>4.9618435060603243</v>
          </cell>
          <cell r="D70">
            <v>7.0036135553322209E-3</v>
          </cell>
          <cell r="E70">
            <v>0.10440301669743186</v>
          </cell>
          <cell r="F70">
            <v>2.0711610338328916</v>
          </cell>
          <cell r="G70">
            <v>0.61328691735633922</v>
          </cell>
          <cell r="H70">
            <v>0.48963422644133053</v>
          </cell>
          <cell r="I70">
            <v>0.44581406776677446</v>
          </cell>
          <cell r="J70">
            <v>0.4274046854989334</v>
          </cell>
          <cell r="K70">
            <v>0</v>
          </cell>
          <cell r="L70">
            <v>4.0473009308962693</v>
          </cell>
        </row>
        <row r="71">
          <cell r="A71">
            <v>41</v>
          </cell>
          <cell r="B71">
            <v>39</v>
          </cell>
          <cell r="C71">
            <v>5.0924183351671752</v>
          </cell>
          <cell r="D71">
            <v>6.1463901837560606E-3</v>
          </cell>
          <cell r="E71">
            <v>9.1624369607751124E-2</v>
          </cell>
          <cell r="F71">
            <v>1.8176565207022888</v>
          </cell>
          <cell r="G71">
            <v>0.53822225610879082</v>
          </cell>
          <cell r="H71">
            <v>0.42970432038454043</v>
          </cell>
          <cell r="I71">
            <v>0.39124763070570129</v>
          </cell>
          <cell r="J71">
            <v>0.37509150707521827</v>
          </cell>
          <cell r="K71">
            <v>0</v>
          </cell>
          <cell r="L71">
            <v>3.5519222349765394</v>
          </cell>
        </row>
        <row r="72">
          <cell r="A72">
            <v>42</v>
          </cell>
          <cell r="B72">
            <v>40</v>
          </cell>
          <cell r="C72">
            <v>5.2229931642740262</v>
          </cell>
          <cell r="D72">
            <v>5.3940886361741628E-3</v>
          </cell>
          <cell r="E72">
            <v>8.040979438694984E-2</v>
          </cell>
          <cell r="F72">
            <v>1.5951802748709472</v>
          </cell>
          <cell r="G72">
            <v>0.47234530653214951</v>
          </cell>
          <cell r="H72">
            <v>0.37710967286569891</v>
          </cell>
          <cell r="I72">
            <v>0.3433599780725291</v>
          </cell>
          <cell r="J72">
            <v>0.32918132031173009</v>
          </cell>
          <cell r="K72">
            <v>0</v>
          </cell>
          <cell r="L72">
            <v>3.117176552653055</v>
          </cell>
        </row>
        <row r="73">
          <cell r="A73">
            <v>43</v>
          </cell>
          <cell r="B73">
            <v>41</v>
          </cell>
          <cell r="C73">
            <v>5.3535679933808762</v>
          </cell>
          <cell r="D73">
            <v>4.7338667648858211E-3</v>
          </cell>
          <cell r="E73">
            <v>7.0567852865255354E-2</v>
          </cell>
          <cell r="F73">
            <v>1.3999345202767968</v>
          </cell>
          <cell r="G73">
            <v>0.41453151754812029</v>
          </cell>
          <cell r="H73">
            <v>0.33095246806364431</v>
          </cell>
          <cell r="I73">
            <v>0.30133364470301355</v>
          </cell>
          <cell r="J73">
            <v>0.28889041633364398</v>
          </cell>
          <cell r="K73">
            <v>0</v>
          </cell>
          <cell r="L73">
            <v>2.7356425669252191</v>
          </cell>
        </row>
        <row r="74">
          <cell r="A74">
            <v>44</v>
          </cell>
          <cell r="B74">
            <v>42</v>
          </cell>
          <cell r="C74">
            <v>5.4841428224877271</v>
          </cell>
          <cell r="D74">
            <v>4.1544542663623698E-3</v>
          </cell>
          <cell r="E74">
            <v>6.1930538387504293E-2</v>
          </cell>
          <cell r="F74">
            <v>1.2285863183840957</v>
          </cell>
          <cell r="G74">
            <v>0.36379398009124014</v>
          </cell>
          <cell r="H74">
            <v>0.29044478038733429</v>
          </cell>
          <cell r="I74">
            <v>0.26445122095977558</v>
          </cell>
          <cell r="J74">
            <v>0.25353101011440404</v>
          </cell>
          <cell r="K74">
            <v>0</v>
          </cell>
          <cell r="L74">
            <v>2.4008073099368499</v>
          </cell>
        </row>
        <row r="75">
          <cell r="A75">
            <v>45</v>
          </cell>
          <cell r="B75">
            <v>43</v>
          </cell>
          <cell r="C75">
            <v>5.614717651594578</v>
          </cell>
          <cell r="D75">
            <v>3.6459602917685383E-3</v>
          </cell>
          <cell r="E75">
            <v>5.4350407859079526E-2</v>
          </cell>
          <cell r="F75">
            <v>1.0782106733264498</v>
          </cell>
          <cell r="G75">
            <v>0.31926658009849046</v>
          </cell>
          <cell r="H75">
            <v>0.254895124208665</v>
          </cell>
          <cell r="I75">
            <v>0.23208310620621714</v>
          </cell>
          <cell r="J75">
            <v>0.22249949965593355</v>
          </cell>
          <cell r="K75">
            <v>0</v>
          </cell>
          <cell r="L75">
            <v>2.1069549834957559</v>
          </cell>
        </row>
        <row r="76">
          <cell r="A76">
            <v>46</v>
          </cell>
          <cell r="B76">
            <v>44</v>
          </cell>
          <cell r="C76">
            <v>5.7452924807014289</v>
          </cell>
          <cell r="D76">
            <v>3.1997046054360032E-3</v>
          </cell>
          <cell r="E76">
            <v>4.7698064821673103E-2</v>
          </cell>
          <cell r="F76">
            <v>0.94624060082657457</v>
          </cell>
          <cell r="G76">
            <v>0.28018921352745102</v>
          </cell>
          <cell r="H76">
            <v>0.22369664987163973</v>
          </cell>
          <cell r="I76">
            <v>0.20367676122213493</v>
          </cell>
          <cell r="J76">
            <v>0.19526616221345663</v>
          </cell>
          <cell r="K76">
            <v>0</v>
          </cell>
          <cell r="L76">
            <v>1.8490693876612567</v>
          </cell>
        </row>
        <row r="77">
          <cell r="A77">
            <v>47</v>
          </cell>
          <cell r="B77">
            <v>45</v>
          </cell>
          <cell r="C77">
            <v>5.875867309808279</v>
          </cell>
          <cell r="D77">
            <v>2.8080694090834978E-3</v>
          </cell>
          <cell r="E77">
            <v>4.1859950593773919E-2</v>
          </cell>
          <cell r="F77">
            <v>0.83042330854532875</v>
          </cell>
          <cell r="G77">
            <v>0.24589481101627744</v>
          </cell>
          <cell r="H77">
            <v>0.19631678447811537</v>
          </cell>
          <cell r="I77">
            <v>0.17874727609461522</v>
          </cell>
          <cell r="J77">
            <v>0.17136611167455781</v>
          </cell>
          <cell r="K77">
            <v>0</v>
          </cell>
          <cell r="L77">
            <v>1.6227482918088945</v>
          </cell>
        </row>
        <row r="78">
          <cell r="A78">
            <v>48</v>
          </cell>
          <cell r="B78">
            <v>46</v>
          </cell>
          <cell r="C78">
            <v>6.0064421389151299</v>
          </cell>
          <cell r="D78">
            <v>2.4643693023519149E-3</v>
          </cell>
          <cell r="E78">
            <v>3.6736405769590023E-2</v>
          </cell>
          <cell r="F78">
            <v>0.72878173983760397</v>
          </cell>
          <cell r="G78">
            <v>0.21579795069022864</v>
          </cell>
          <cell r="H78">
            <v>0.17228814061337863</v>
          </cell>
          <cell r="I78">
            <v>0.15686909257359249</v>
          </cell>
          <cell r="J78">
            <v>0.15039136273060469</v>
          </cell>
          <cell r="K78">
            <v>0</v>
          </cell>
          <cell r="L78">
            <v>1.4241282864454083</v>
          </cell>
        </row>
        <row r="79">
          <cell r="A79">
            <v>49</v>
          </cell>
          <cell r="B79">
            <v>47</v>
          </cell>
          <cell r="C79">
            <v>6.1370169680219808</v>
          </cell>
          <cell r="D79">
            <v>2.162737159818504E-3</v>
          </cell>
          <cell r="E79">
            <v>3.2239968985264329E-2</v>
          </cell>
          <cell r="F79">
            <v>0.63958082444856235</v>
          </cell>
          <cell r="G79">
            <v>0.18938486472990146</v>
          </cell>
          <cell r="H79">
            <v>0.1512005378191405</v>
          </cell>
          <cell r="I79">
            <v>0.13766873958871836</v>
          </cell>
          <cell r="J79">
            <v>0.13198386637214138</v>
          </cell>
          <cell r="K79">
            <v>0</v>
          </cell>
          <cell r="L79">
            <v>1.2498188329584641</v>
          </cell>
        </row>
        <row r="80">
          <cell r="A80">
            <v>50</v>
          </cell>
          <cell r="B80">
            <v>48</v>
          </cell>
          <cell r="C80">
            <v>6.2675917971288309</v>
          </cell>
          <cell r="D80">
            <v>1.8980239763560689E-3</v>
          </cell>
          <cell r="E80">
            <v>2.8293883911507289E-2</v>
          </cell>
          <cell r="F80">
            <v>0.56129786003345195</v>
          </cell>
          <cell r="G80">
            <v>0.1662046691085054</v>
          </cell>
          <cell r="H80">
            <v>0.13269400061667438</v>
          </cell>
          <cell r="I80">
            <v>0.12081845791933185</v>
          </cell>
          <cell r="J80">
            <v>0.11582939782082541</v>
          </cell>
          <cell r="K80">
            <v>0</v>
          </cell>
          <cell r="L80">
            <v>1.096844385498789</v>
          </cell>
        </row>
        <row r="81">
          <cell r="A81">
            <v>51</v>
          </cell>
          <cell r="B81">
            <v>49</v>
          </cell>
          <cell r="C81">
            <v>6.3981666262356818</v>
          </cell>
          <cell r="D81">
            <v>1.66571097114955E-3</v>
          </cell>
          <cell r="E81">
            <v>2.4830788986296749E-2</v>
          </cell>
          <cell r="F81">
            <v>0.49259651889934192</v>
          </cell>
          <cell r="G81">
            <v>0.14586166678559459</v>
          </cell>
          <cell r="H81">
            <v>0.11645261355299887</v>
          </cell>
          <cell r="I81">
            <v>0.10603060518759605</v>
          </cell>
          <cell r="J81">
            <v>0.10165219256197611</v>
          </cell>
          <cell r="K81">
            <v>0</v>
          </cell>
          <cell r="L81">
            <v>0.96259359698750757</v>
          </cell>
        </row>
        <row r="82">
          <cell r="A82">
            <v>52</v>
          </cell>
          <cell r="B82">
            <v>50</v>
          </cell>
          <cell r="C82">
            <v>6.5287414553425327</v>
          </cell>
          <cell r="D82">
            <v>1.4618324499434375E-3</v>
          </cell>
          <cell r="E82">
            <v>2.1791567520754337E-2</v>
          </cell>
          <cell r="F82">
            <v>0.43230403625142638</v>
          </cell>
          <cell r="G82">
            <v>0.12800859296908332</v>
          </cell>
          <cell r="H82">
            <v>0.10219912837280148</v>
          </cell>
          <cell r="I82">
            <v>9.3052745665353917E-2</v>
          </cell>
          <cell r="J82">
            <v>8.9210238912243042E-2</v>
          </cell>
          <cell r="K82">
            <v>0</v>
          </cell>
          <cell r="L82">
            <v>0.8447747421709082</v>
          </cell>
        </row>
        <row r="83">
          <cell r="A83">
            <v>53</v>
          </cell>
          <cell r="B83">
            <v>51</v>
          </cell>
          <cell r="C83">
            <v>6.6593162844493827</v>
          </cell>
          <cell r="D83">
            <v>1.2829081087416189E-3</v>
          </cell>
          <cell r="E83">
            <v>1.9124338548954744E-2</v>
          </cell>
          <cell r="F83">
            <v>0.37939119053633302</v>
          </cell>
          <cell r="G83">
            <v>0.1123406871389375</v>
          </cell>
          <cell r="H83">
            <v>8.9690231257943259E-2</v>
          </cell>
          <cell r="I83">
            <v>8.1663341075355847E-2</v>
          </cell>
          <cell r="J83">
            <v>7.8291146764269626E-2</v>
          </cell>
          <cell r="K83">
            <v>0</v>
          </cell>
          <cell r="L83">
            <v>0.74137659677283929</v>
          </cell>
        </row>
        <row r="84">
          <cell r="A84">
            <v>54</v>
          </cell>
          <cell r="B84">
            <v>52</v>
          </cell>
          <cell r="C84">
            <v>6.7898911135562336</v>
          </cell>
          <cell r="D84">
            <v>1.125883623351417E-3</v>
          </cell>
          <cell r="E84">
            <v>1.67835711949911E-2</v>
          </cell>
          <cell r="F84">
            <v>0.33295473413730209</v>
          </cell>
          <cell r="G84">
            <v>9.8590490639145822E-2</v>
          </cell>
          <cell r="H84">
            <v>7.8712389344058192E-2</v>
          </cell>
          <cell r="I84">
            <v>7.166796882676961E-2</v>
          </cell>
          <cell r="J84">
            <v>6.8708521985845858E-2</v>
          </cell>
          <cell r="K84">
            <v>0</v>
          </cell>
          <cell r="L84">
            <v>0.65063410493312157</v>
          </cell>
        </row>
        <row r="85">
          <cell r="A85">
            <v>55</v>
          </cell>
          <cell r="B85">
            <v>53</v>
          </cell>
          <cell r="C85">
            <v>6.9204659426630846</v>
          </cell>
          <cell r="D85">
            <v>9.8807851060688542E-4</v>
          </cell>
          <cell r="E85">
            <v>1.4729307439118246E-2</v>
          </cell>
          <cell r="F85">
            <v>0.29220197450479507</v>
          </cell>
          <cell r="G85">
            <v>8.65232810303731E-2</v>
          </cell>
          <cell r="H85">
            <v>6.9078205612296259E-2</v>
          </cell>
          <cell r="I85">
            <v>6.2896003128444553E-2</v>
          </cell>
          <cell r="J85">
            <v>6.0298784582805028E-2</v>
          </cell>
          <cell r="K85">
            <v>0</v>
          </cell>
          <cell r="L85">
            <v>0.57099824885871397</v>
          </cell>
        </row>
      </sheetData>
      <sheetData sheetId="12">
        <row r="1">
          <cell r="A1" t="str">
            <v>11A</v>
          </cell>
          <cell r="L1" t="str">
            <v>11B</v>
          </cell>
        </row>
        <row r="2">
          <cell r="A2" t="str">
            <v>Perhitungan Hidrograf Sintetik NakaYasu</v>
          </cell>
          <cell r="L2" t="str">
            <v>TABEL PERHITUNGAN DEBIT BANJIR RANCANGAN  METODE NAKAYASU</v>
          </cell>
        </row>
        <row r="3">
          <cell r="A3" t="str">
            <v>NAKAYASU</v>
          </cell>
          <cell r="L3" t="str">
            <v>KALA ULANG   50  TH</v>
          </cell>
        </row>
        <row r="4">
          <cell r="L4" t="str">
            <v>Q-puncak</v>
          </cell>
          <cell r="N4">
            <v>458.77371314696052</v>
          </cell>
        </row>
        <row r="5">
          <cell r="A5" t="str">
            <v>L</v>
          </cell>
          <cell r="B5">
            <v>70</v>
          </cell>
          <cell r="L5" t="str">
            <v>Aliran dasar</v>
          </cell>
        </row>
        <row r="6">
          <cell r="A6" t="str">
            <v>Alpha</v>
          </cell>
          <cell r="B6">
            <v>3</v>
          </cell>
          <cell r="L6" t="str">
            <v>alpha</v>
          </cell>
        </row>
        <row r="7">
          <cell r="B7" t="str">
            <v>L  &gt; 15 m</v>
          </cell>
        </row>
        <row r="8">
          <cell r="A8" t="str">
            <v>c</v>
          </cell>
          <cell r="B8">
            <v>0.52500000000000002</v>
          </cell>
          <cell r="L8" t="str">
            <v>Waktu</v>
          </cell>
          <cell r="M8" t="str">
            <v>Unit graph</v>
          </cell>
          <cell r="N8" t="str">
            <v>Limpasan (m3/det)</v>
          </cell>
          <cell r="T8" t="str">
            <v>Total</v>
          </cell>
        </row>
        <row r="9">
          <cell r="A9" t="str">
            <v>Ro</v>
          </cell>
          <cell r="B9">
            <v>1</v>
          </cell>
          <cell r="S9" t="str">
            <v>BF</v>
          </cell>
        </row>
        <row r="10">
          <cell r="A10" t="str">
            <v>A</v>
          </cell>
          <cell r="B10">
            <v>796</v>
          </cell>
          <cell r="L10" t="str">
            <v>(jam)</v>
          </cell>
          <cell r="M10" t="str">
            <v>(m3/dt/mm)</v>
          </cell>
          <cell r="N10">
            <v>27.99</v>
          </cell>
          <cell r="O10">
            <v>7.2758448000000024</v>
          </cell>
          <cell r="P10">
            <v>5.0978781000000017</v>
          </cell>
          <cell r="Q10">
            <v>4.0735157399999977</v>
          </cell>
          <cell r="R10">
            <v>3.4273058400000003</v>
          </cell>
          <cell r="T10" t="str">
            <v>(m3/dt)</v>
          </cell>
        </row>
        <row r="11">
          <cell r="A11" t="str">
            <v>Tg</v>
          </cell>
          <cell r="B11">
            <v>4.4600000000000009</v>
          </cell>
          <cell r="L11">
            <v>1</v>
          </cell>
          <cell r="M11">
            <v>0.14438781871995962</v>
          </cell>
          <cell r="N11">
            <v>4.0414150459716698</v>
          </cell>
          <cell r="T11">
            <v>4.0414150459716698</v>
          </cell>
        </row>
        <row r="12">
          <cell r="A12" t="str">
            <v>Tp</v>
          </cell>
          <cell r="B12">
            <v>5.2600000000000007</v>
          </cell>
          <cell r="L12">
            <v>2</v>
          </cell>
          <cell r="M12">
            <v>0.76208347608091709</v>
          </cell>
          <cell r="N12">
            <v>21.33071649550487</v>
          </cell>
          <cell r="O12">
            <v>1.0505433600169611</v>
          </cell>
          <cell r="T12">
            <v>22.381259855521829</v>
          </cell>
        </row>
        <row r="13">
          <cell r="A13" t="str">
            <v>T0,3</v>
          </cell>
          <cell r="B13">
            <v>13.380000000000003</v>
          </cell>
          <cell r="L13">
            <v>3</v>
          </cell>
          <cell r="M13">
            <v>2.0166083766707628</v>
          </cell>
          <cell r="N13">
            <v>56.444868463014643</v>
          </cell>
          <cell r="O13">
            <v>5.5448010966092669</v>
          </cell>
          <cell r="P13">
            <v>0.73607149895925239</v>
          </cell>
          <cell r="T13">
            <v>62.725741058583168</v>
          </cell>
        </row>
        <row r="14">
          <cell r="L14">
            <v>4</v>
          </cell>
          <cell r="M14">
            <v>4.0223007014323047</v>
          </cell>
          <cell r="N14">
            <v>112.5841966330902</v>
          </cell>
          <cell r="O14">
            <v>14.672529571036415</v>
          </cell>
          <cell r="P14">
            <v>3.8850086630847822</v>
          </cell>
          <cell r="Q14">
            <v>0.58816605222002183</v>
          </cell>
          <cell r="T14">
            <v>131.72990091943143</v>
          </cell>
        </row>
        <row r="15">
          <cell r="A15" t="str">
            <v>Qp</v>
          </cell>
          <cell r="B15">
            <v>7.7606186210277652</v>
          </cell>
          <cell r="L15">
            <v>5</v>
          </cell>
          <cell r="M15">
            <v>6.8716109952211335</v>
          </cell>
          <cell r="N15">
            <v>192.33639175623952</v>
          </cell>
          <cell r="O15">
            <v>29.265635642552596</v>
          </cell>
          <cell r="P15">
            <v>10.280423679706436</v>
          </cell>
          <cell r="Q15">
            <v>3.1043590350095274</v>
          </cell>
          <cell r="R15">
            <v>0.494861214323779</v>
          </cell>
          <cell r="T15">
            <v>235.48167132783189</v>
          </cell>
        </row>
        <row r="16">
          <cell r="L16">
            <v>5.26</v>
          </cell>
          <cell r="M16">
            <v>7.7606186210277608</v>
          </cell>
          <cell r="N16">
            <v>217.21971520256702</v>
          </cell>
          <cell r="O16">
            <v>49.996775127202525</v>
          </cell>
          <cell r="P16">
            <v>20.505198657446392</v>
          </cell>
          <cell r="Q16">
            <v>8.2146859637841967</v>
          </cell>
          <cell r="R16">
            <v>2.6118931481396275</v>
          </cell>
          <cell r="S16">
            <v>0</v>
          </cell>
          <cell r="T16">
            <v>298.54826809913976</v>
          </cell>
        </row>
        <row r="17">
          <cell r="L17">
            <v>6</v>
          </cell>
          <cell r="M17">
            <v>12.289445602696011</v>
          </cell>
          <cell r="N17">
            <v>343.98158241946135</v>
          </cell>
          <cell r="O17">
            <v>56.465056638588024</v>
          </cell>
          <cell r="P17">
            <v>35.030635204257031</v>
          </cell>
          <cell r="Q17">
            <v>16.384905218297526</v>
          </cell>
          <cell r="R17">
            <v>6.9115336663566254</v>
          </cell>
          <cell r="S17">
            <v>0</v>
          </cell>
          <cell r="T17">
            <v>458.77371314696052</v>
          </cell>
        </row>
        <row r="18">
          <cell r="A18" t="str">
            <v>ORDINAT HIDROGRAF</v>
          </cell>
          <cell r="L18">
            <v>7</v>
          </cell>
          <cell r="M18">
            <v>10.26535643730014</v>
          </cell>
          <cell r="N18">
            <v>287.32732668003092</v>
          </cell>
          <cell r="O18">
            <v>89.41609888325867</v>
          </cell>
          <cell r="P18">
            <v>39.562687710589636</v>
          </cell>
          <cell r="Q18">
            <v>27.991615548190335</v>
          </cell>
          <cell r="R18">
            <v>13.785654684255036</v>
          </cell>
          <cell r="S18">
            <v>0</v>
          </cell>
          <cell r="T18">
            <v>458.08338350632459</v>
          </cell>
        </row>
        <row r="19">
          <cell r="L19">
            <v>8</v>
          </cell>
          <cell r="M19">
            <v>8.5746376355416807</v>
          </cell>
          <cell r="N19">
            <v>240.00410741881163</v>
          </cell>
          <cell r="O19">
            <v>74.689140254476769</v>
          </cell>
          <cell r="P19">
            <v>62.650095599125315</v>
          </cell>
          <cell r="Q19">
            <v>31.61300210489366</v>
          </cell>
          <cell r="R19">
            <v>23.551112494129605</v>
          </cell>
          <cell r="S19">
            <v>0</v>
          </cell>
          <cell r="T19">
            <v>432.507457871437</v>
          </cell>
        </row>
        <row r="20">
          <cell r="A20" t="str">
            <v>Parameter</v>
          </cell>
          <cell r="C20" t="str">
            <v>Unit</v>
          </cell>
          <cell r="D20" t="str">
            <v>Jam  = 1,5</v>
          </cell>
          <cell r="F20" t="str">
            <v>Jam  = 2,0</v>
          </cell>
          <cell r="H20" t="str">
            <v>Jam  = 2,5</v>
          </cell>
          <cell r="J20" t="str">
            <v>Jam  = 3,0</v>
          </cell>
          <cell r="L20">
            <v>9</v>
          </cell>
          <cell r="M20">
            <v>7.1623826245029294</v>
          </cell>
          <cell r="N20">
            <v>200.47508965983698</v>
          </cell>
          <cell r="O20">
            <v>62.387732652440256</v>
          </cell>
          <cell r="P20">
            <v>52.331535770406425</v>
          </cell>
          <cell r="Q20">
            <v>50.061250098455957</v>
          </cell>
          <cell r="R20">
            <v>26.598013521861194</v>
          </cell>
          <cell r="S20">
            <v>0</v>
          </cell>
          <cell r="T20">
            <v>391.85362170300084</v>
          </cell>
        </row>
        <row r="21">
          <cell r="L21">
            <v>10</v>
          </cell>
          <cell r="M21">
            <v>5.9827280218985894</v>
          </cell>
          <cell r="N21">
            <v>167.45655733294151</v>
          </cell>
          <cell r="O21">
            <v>52.11238437410001</v>
          </cell>
          <cell r="P21">
            <v>43.712457417663728</v>
          </cell>
          <cell r="Q21">
            <v>41.816091024052419</v>
          </cell>
          <cell r="R21">
            <v>42.119688684482362</v>
          </cell>
          <cell r="S21">
            <v>0</v>
          </cell>
          <cell r="T21">
            <v>347.21717883323998</v>
          </cell>
        </row>
        <row r="22">
          <cell r="A22" t="str">
            <v>Tp</v>
          </cell>
          <cell r="C22" t="str">
            <v>jam</v>
          </cell>
          <cell r="D22">
            <v>5.2600000000000007</v>
          </cell>
          <cell r="F22">
            <v>5.2600000000000007</v>
          </cell>
          <cell r="H22">
            <v>5.2600000000000007</v>
          </cell>
          <cell r="J22">
            <v>5.2600000000000007</v>
          </cell>
          <cell r="L22">
            <v>11</v>
          </cell>
          <cell r="M22">
            <v>4.9973642097198967</v>
          </cell>
          <cell r="N22">
            <v>139.8762242300599</v>
          </cell>
          <cell r="O22">
            <v>43.529400567945153</v>
          </cell>
          <cell r="P22">
            <v>36.512953525274021</v>
          </cell>
          <cell r="Q22">
            <v>34.928921373175399</v>
          </cell>
          <cell r="R22">
            <v>35.182516067240364</v>
          </cell>
          <cell r="S22">
            <v>0</v>
          </cell>
          <cell r="T22">
            <v>290.03001576369485</v>
          </cell>
        </row>
        <row r="23">
          <cell r="A23" t="str">
            <v>T0,3</v>
          </cell>
          <cell r="C23" t="str">
            <v>jam</v>
          </cell>
          <cell r="D23">
            <v>6.6900000000000013</v>
          </cell>
          <cell r="F23">
            <v>8.9200000000000017</v>
          </cell>
          <cell r="H23">
            <v>11.150000000000002</v>
          </cell>
          <cell r="J23">
            <v>13.380000000000003</v>
          </cell>
          <cell r="L23">
            <v>12</v>
          </cell>
          <cell r="M23">
            <v>4.1742912185174195</v>
          </cell>
          <cell r="N23">
            <v>116.83841120630257</v>
          </cell>
          <cell r="O23">
            <v>36.36004639899663</v>
          </cell>
          <cell r="P23">
            <v>30.49921816109315</v>
          </cell>
          <cell r="Q23">
            <v>29.176078356815175</v>
          </cell>
          <cell r="R23">
            <v>29.387905644175795</v>
          </cell>
          <cell r="S23">
            <v>0</v>
          </cell>
          <cell r="T23">
            <v>242.26165976738332</v>
          </cell>
        </row>
        <row r="24">
          <cell r="A24" t="str">
            <v>1,5 x T0,3</v>
          </cell>
          <cell r="C24" t="str">
            <v>jam</v>
          </cell>
          <cell r="D24">
            <v>10.035000000000002</v>
          </cell>
          <cell r="F24">
            <v>13.380000000000003</v>
          </cell>
          <cell r="H24">
            <v>16.725000000000001</v>
          </cell>
          <cell r="J24">
            <v>20.070000000000004</v>
          </cell>
          <cell r="L24">
            <v>13</v>
          </cell>
          <cell r="M24">
            <v>3.4867795193115003</v>
          </cell>
          <cell r="N24">
            <v>97.594958745528885</v>
          </cell>
          <cell r="O24">
            <v>30.37149505593564</v>
          </cell>
          <cell r="P24">
            <v>25.475953562454876</v>
          </cell>
          <cell r="Q24">
            <v>24.370736765342954</v>
          </cell>
          <cell r="R24">
            <v>24.547675797273421</v>
          </cell>
          <cell r="S24">
            <v>0</v>
          </cell>
          <cell r="T24">
            <v>202.36081992653578</v>
          </cell>
        </row>
        <row r="25">
          <cell r="A25" t="str">
            <v>2,0 x T0,3</v>
          </cell>
          <cell r="C25" t="str">
            <v>jam</v>
          </cell>
          <cell r="D25">
            <v>13.380000000000003</v>
          </cell>
          <cell r="F25">
            <v>17.840000000000003</v>
          </cell>
          <cell r="H25">
            <v>22.300000000000004</v>
          </cell>
          <cell r="J25">
            <v>26.760000000000005</v>
          </cell>
          <cell r="L25">
            <v>13.38</v>
          </cell>
          <cell r="M25">
            <v>3.2562995436561604</v>
          </cell>
          <cell r="N25">
            <v>91.143824226935919</v>
          </cell>
          <cell r="O25">
            <v>25.369266634329087</v>
          </cell>
          <cell r="P25">
            <v>21.280027785902274</v>
          </cell>
          <cell r="Q25">
            <v>20.356841766806649</v>
          </cell>
          <cell r="R25">
            <v>20.504638688584684</v>
          </cell>
          <cell r="S25">
            <v>0</v>
          </cell>
          <cell r="T25">
            <v>178.65459910255859</v>
          </cell>
        </row>
        <row r="26">
          <cell r="A26" t="str">
            <v>(Tp + T0,3)</v>
          </cell>
          <cell r="C26" t="str">
            <v>jam</v>
          </cell>
          <cell r="D26">
            <v>11.950000000000003</v>
          </cell>
          <cell r="F26">
            <v>14.180000000000003</v>
          </cell>
          <cell r="H26">
            <v>16.410000000000004</v>
          </cell>
          <cell r="J26">
            <v>18.640000000000004</v>
          </cell>
          <cell r="L26">
            <v>14</v>
          </cell>
          <cell r="M26">
            <v>3.2936266751115411</v>
          </cell>
          <cell r="N26">
            <v>92.188610636372033</v>
          </cell>
          <cell r="O26">
            <v>23.692330101953054</v>
          </cell>
          <cell r="P26">
            <v>17.77517695102663</v>
          </cell>
          <cell r="Q26">
            <v>17.004040981974477</v>
          </cell>
          <cell r="R26">
            <v>17.127495540579989</v>
          </cell>
          <cell r="S26">
            <v>0</v>
          </cell>
          <cell r="T26">
            <v>167.78765421190616</v>
          </cell>
        </row>
        <row r="27">
          <cell r="A27" t="str">
            <v>(Tp + T0,3 + 1,5 T0,3)</v>
          </cell>
          <cell r="C27" t="str">
            <v>jam</v>
          </cell>
          <cell r="D27">
            <v>21.985000000000007</v>
          </cell>
          <cell r="F27">
            <v>27.560000000000006</v>
          </cell>
          <cell r="H27">
            <v>33.135000000000005</v>
          </cell>
          <cell r="J27">
            <v>38.710000000000008</v>
          </cell>
          <cell r="L27">
            <v>15</v>
          </cell>
          <cell r="M27">
            <v>2.9212509463990455</v>
          </cell>
          <cell r="N27">
            <v>81.765813989709272</v>
          </cell>
          <cell r="O27">
            <v>23.963916517251604</v>
          </cell>
          <cell r="P27">
            <v>16.600218130644741</v>
          </cell>
          <cell r="Q27">
            <v>14.203451253825023</v>
          </cell>
          <cell r="R27">
            <v>14.306572671085469</v>
          </cell>
          <cell r="S27">
            <v>0</v>
          </cell>
          <cell r="T27">
            <v>150.8399725625161</v>
          </cell>
        </row>
        <row r="28">
          <cell r="A28" t="str">
            <v>Q-puncak</v>
          </cell>
          <cell r="C28" t="str">
            <v>m3/dt</v>
          </cell>
          <cell r="D28">
            <v>14.040074181583615</v>
          </cell>
          <cell r="F28">
            <v>11.057661776846382</v>
          </cell>
          <cell r="H28">
            <v>9.1203121726377532</v>
          </cell>
          <cell r="J28">
            <v>7.7606186210277652</v>
          </cell>
          <cell r="L28">
            <v>16</v>
          </cell>
          <cell r="M28">
            <v>2.5909758250146311</v>
          </cell>
          <cell r="N28">
            <v>72.521413342159519</v>
          </cell>
          <cell r="O28">
            <v>21.254568507852582</v>
          </cell>
          <cell r="P28">
            <v>16.790507296626945</v>
          </cell>
          <cell r="Q28">
            <v>13.264587445238179</v>
          </cell>
          <cell r="R28">
            <v>11.950259809328699</v>
          </cell>
          <cell r="S28">
            <v>0</v>
          </cell>
          <cell r="T28">
            <v>135.78133640120592</v>
          </cell>
        </row>
        <row r="29">
          <cell r="L29">
            <v>17</v>
          </cell>
          <cell r="M29">
            <v>2.2980414380645353</v>
          </cell>
          <cell r="N29">
            <v>64.322179851426341</v>
          </cell>
          <cell r="O29">
            <v>18.851537983358419</v>
          </cell>
          <cell r="P29">
            <v>14.892181224251972</v>
          </cell>
          <cell r="Q29">
            <v>13.416640102750721</v>
          </cell>
          <cell r="R29">
            <v>11.160334442762094</v>
          </cell>
          <cell r="S29">
            <v>0</v>
          </cell>
          <cell r="T29">
            <v>122.64287360454954</v>
          </cell>
        </row>
        <row r="30">
          <cell r="A30" t="str">
            <v>Ordinat</v>
          </cell>
          <cell r="C30">
            <v>1</v>
          </cell>
          <cell r="D30">
            <v>0.26121831064503581</v>
          </cell>
          <cell r="E30">
            <v>1</v>
          </cell>
          <cell r="F30">
            <v>0.20572994783893658</v>
          </cell>
          <cell r="G30">
            <v>1</v>
          </cell>
          <cell r="H30">
            <v>0.16968518167922345</v>
          </cell>
          <cell r="I30">
            <v>1</v>
          </cell>
          <cell r="J30">
            <v>0.14438781871995962</v>
          </cell>
          <cell r="L30">
            <v>18</v>
          </cell>
          <cell r="M30">
            <v>2.0382260614229759</v>
          </cell>
          <cell r="N30">
            <v>57.049947459229095</v>
          </cell>
          <cell r="O30">
            <v>16.720192847326377</v>
          </cell>
          <cell r="P30">
            <v>13.208478915971524</v>
          </cell>
          <cell r="Q30">
            <v>11.899761710646402</v>
          </cell>
          <cell r="R30">
            <v>11.288265938389568</v>
          </cell>
          <cell r="S30">
            <v>0</v>
          </cell>
          <cell r="T30">
            <v>110.16664687156297</v>
          </cell>
        </row>
        <row r="31">
          <cell r="C31">
            <v>2</v>
          </cell>
          <cell r="D31">
            <v>1.3787185093394241</v>
          </cell>
          <cell r="E31">
            <v>2</v>
          </cell>
          <cell r="F31">
            <v>1.0858491746254866</v>
          </cell>
          <cell r="G31">
            <v>2</v>
          </cell>
          <cell r="H31">
            <v>0.89560375826668437</v>
          </cell>
          <cell r="I31">
            <v>2</v>
          </cell>
          <cell r="J31">
            <v>0.76208347608091709</v>
          </cell>
          <cell r="L31">
            <v>19</v>
          </cell>
          <cell r="M31">
            <v>1.8077852769107254</v>
          </cell>
          <cell r="N31">
            <v>50.599909900731205</v>
          </cell>
          <cell r="O31">
            <v>14.829816490228845</v>
          </cell>
          <cell r="P31">
            <v>11.715135120001705</v>
          </cell>
          <cell r="Q31">
            <v>10.55438080515658</v>
          </cell>
          <cell r="R31">
            <v>10.012020428698976</v>
          </cell>
          <cell r="S31">
            <v>0</v>
          </cell>
          <cell r="T31">
            <v>97.711262744817319</v>
          </cell>
        </row>
        <row r="32">
          <cell r="C32">
            <v>3</v>
          </cell>
          <cell r="D32">
            <v>3.6483343128013153</v>
          </cell>
          <cell r="E32">
            <v>3</v>
          </cell>
          <cell r="F32">
            <v>2.8733499807812226</v>
          </cell>
          <cell r="G32">
            <v>3</v>
          </cell>
          <cell r="H32">
            <v>2.3699267833313384</v>
          </cell>
          <cell r="I32">
            <v>3</v>
          </cell>
          <cell r="J32">
            <v>2.0166083766707628</v>
          </cell>
          <cell r="L32">
            <v>20</v>
          </cell>
          <cell r="M32">
            <v>1.6033980083316131</v>
          </cell>
          <cell r="N32">
            <v>44.879110253201844</v>
          </cell>
          <cell r="O32">
            <v>13.153165106527466</v>
          </cell>
          <cell r="P32">
            <v>10.390628001377447</v>
          </cell>
          <cell r="Q32">
            <v>9.3611079691281152</v>
          </cell>
          <cell r="R32">
            <v>8.8800665763714637</v>
          </cell>
          <cell r="S32">
            <v>0</v>
          </cell>
          <cell r="T32">
            <v>86.664077906606337</v>
          </cell>
        </row>
        <row r="33">
          <cell r="C33">
            <v>4</v>
          </cell>
          <cell r="D33">
            <v>7.2769199192095328</v>
          </cell>
          <cell r="E33">
            <v>4</v>
          </cell>
          <cell r="F33">
            <v>5.7311463032981917</v>
          </cell>
          <cell r="G33">
            <v>4</v>
          </cell>
          <cell r="H33">
            <v>4.7270249758033005</v>
          </cell>
          <cell r="I33">
            <v>4</v>
          </cell>
          <cell r="J33">
            <v>4.0223007014323047</v>
          </cell>
          <cell r="L33">
            <v>20.07</v>
          </cell>
          <cell r="M33">
            <v>1.5899883947332782</v>
          </cell>
          <cell r="N33">
            <v>44.503775168584454</v>
          </cell>
          <cell r="O33">
            <v>11.666075061249927</v>
          </cell>
          <cell r="P33">
            <v>9.2158689726656267</v>
          </cell>
          <cell r="Q33">
            <v>8.3027459428846946</v>
          </cell>
          <cell r="R33">
            <v>7.8760908412405808</v>
          </cell>
          <cell r="S33">
            <v>0</v>
          </cell>
          <cell r="T33">
            <v>81.564555986625294</v>
          </cell>
        </row>
        <row r="34">
          <cell r="C34">
            <v>5</v>
          </cell>
          <cell r="D34">
            <v>12.431731648103256</v>
          </cell>
          <cell r="E34">
            <v>5</v>
          </cell>
          <cell r="F34">
            <v>9.790965637885094</v>
          </cell>
          <cell r="G34">
            <v>5</v>
          </cell>
          <cell r="H34">
            <v>8.0755466111343281</v>
          </cell>
          <cell r="I34">
            <v>5</v>
          </cell>
          <cell r="J34">
            <v>6.8716109952211335</v>
          </cell>
          <cell r="L34">
            <v>21</v>
          </cell>
          <cell r="M34">
            <v>1.3807175778580112</v>
          </cell>
          <cell r="N34">
            <v>38.646285004245733</v>
          </cell>
          <cell r="O34">
            <v>11.568508793880474</v>
          </cell>
          <cell r="P34">
            <v>8.1739275922573498</v>
          </cell>
          <cell r="Q34">
            <v>7.3640417800360947</v>
          </cell>
          <cell r="R34">
            <v>6.9856240835551642</v>
          </cell>
          <cell r="S34">
            <v>0</v>
          </cell>
          <cell r="T34">
            <v>72.738387253974821</v>
          </cell>
        </row>
        <row r="35">
          <cell r="C35">
            <v>5.26</v>
          </cell>
          <cell r="D35">
            <v>14.040074181583607</v>
          </cell>
          <cell r="E35">
            <v>5.26</v>
          </cell>
          <cell r="F35">
            <v>11.057661776846377</v>
          </cell>
          <cell r="G35">
            <v>5.26</v>
          </cell>
          <cell r="H35">
            <v>9.1203121726377478</v>
          </cell>
          <cell r="I35">
            <v>5.26</v>
          </cell>
          <cell r="J35">
            <v>7.7606186210277608</v>
          </cell>
          <cell r="L35">
            <v>22</v>
          </cell>
          <cell r="M35">
            <v>1.2619022796841657</v>
          </cell>
          <cell r="N35">
            <v>35.320644808359795</v>
          </cell>
          <cell r="O35">
            <v>10.045886809126809</v>
          </cell>
          <cell r="P35">
            <v>8.1055670167649367</v>
          </cell>
          <cell r="Q35">
            <v>6.5314670244234732</v>
          </cell>
          <cell r="R35">
            <v>6.1958330370221466</v>
          </cell>
          <cell r="S35">
            <v>0</v>
          </cell>
          <cell r="T35">
            <v>66.199398695697155</v>
          </cell>
        </row>
        <row r="36">
          <cell r="C36">
            <v>6</v>
          </cell>
          <cell r="D36">
            <v>12.289445602696011</v>
          </cell>
          <cell r="E36">
            <v>6</v>
          </cell>
          <cell r="F36">
            <v>12.289445602696011</v>
          </cell>
          <cell r="G36">
            <v>6</v>
          </cell>
          <cell r="H36">
            <v>8.600395305037221</v>
          </cell>
          <cell r="I36">
            <v>6</v>
          </cell>
          <cell r="J36">
            <v>12.289445602696011</v>
          </cell>
          <cell r="L36">
            <v>0</v>
          </cell>
          <cell r="M36">
            <v>9.1362202709490017</v>
          </cell>
          <cell r="N36">
            <v>255.72280538386255</v>
          </cell>
          <cell r="O36">
            <v>9.1814051397481862</v>
          </cell>
          <cell r="P36">
            <v>7.0387299024474022</v>
          </cell>
          <cell r="Q36">
            <v>6.4768427523633383</v>
          </cell>
          <cell r="R36">
            <v>5.4953353577993065</v>
          </cell>
          <cell r="S36">
            <v>0</v>
          </cell>
          <cell r="T36">
            <v>283.9151185362208</v>
          </cell>
        </row>
        <row r="37">
          <cell r="C37">
            <v>6.69</v>
          </cell>
          <cell r="D37">
            <v>10.854331812187203</v>
          </cell>
          <cell r="E37">
            <v>7</v>
          </cell>
          <cell r="F37">
            <v>10.26535643730014</v>
          </cell>
          <cell r="G37">
            <v>7</v>
          </cell>
          <cell r="H37">
            <v>7.6280390592218694</v>
          </cell>
          <cell r="I37">
            <v>7</v>
          </cell>
          <cell r="J37">
            <v>10.26535643730014</v>
          </cell>
          <cell r="L37">
            <v>1</v>
          </cell>
          <cell r="M37">
            <v>8.3500184052794317</v>
          </cell>
          <cell r="N37">
            <v>233.71701516377129</v>
          </cell>
          <cell r="O37">
            <v>66.473720750038908</v>
          </cell>
          <cell r="P37">
            <v>6.4330239959419853</v>
          </cell>
          <cell r="Q37">
            <v>5.6243747858992812</v>
          </cell>
          <cell r="R37">
            <v>5.4493765108015904</v>
          </cell>
          <cell r="S37">
            <v>0</v>
          </cell>
          <cell r="T37">
            <v>317.6975112064531</v>
          </cell>
        </row>
        <row r="38">
          <cell r="C38">
            <v>7</v>
          </cell>
          <cell r="D38">
            <v>7.6280390592218694</v>
          </cell>
          <cell r="E38">
            <v>8</v>
          </cell>
          <cell r="F38">
            <v>8.5746376355416807</v>
          </cell>
          <cell r="G38">
            <v>8</v>
          </cell>
          <cell r="H38">
            <v>6.7656169077408066</v>
          </cell>
          <cell r="I38">
            <v>8</v>
          </cell>
          <cell r="J38">
            <v>8.5746376355416807</v>
          </cell>
          <cell r="L38">
            <v>2</v>
          </cell>
          <cell r="M38">
            <v>7.631471801332018</v>
          </cell>
          <cell r="N38">
            <v>213.60489571928318</v>
          </cell>
          <cell r="O38">
            <v>60.753437993956666</v>
          </cell>
          <cell r="P38">
            <v>46.575337236046998</v>
          </cell>
          <cell r="Q38">
            <v>5.1403787986353286</v>
          </cell>
          <cell r="R38">
            <v>4.7321414179834171</v>
          </cell>
          <cell r="S38">
            <v>0</v>
          </cell>
          <cell r="T38">
            <v>7.631471801332018</v>
          </cell>
        </row>
        <row r="39">
          <cell r="C39">
            <v>8</v>
          </cell>
          <cell r="D39">
            <v>6.7656169077408066</v>
          </cell>
          <cell r="E39">
            <v>8.92</v>
          </cell>
          <cell r="F39">
            <v>7.2662473662032196</v>
          </cell>
          <cell r="G39">
            <v>9</v>
          </cell>
          <cell r="H39">
            <v>6.0006997587368929</v>
          </cell>
          <cell r="I39">
            <v>9</v>
          </cell>
          <cell r="J39">
            <v>7.1623826245029294</v>
          </cell>
        </row>
        <row r="40">
          <cell r="C40">
            <v>9</v>
          </cell>
          <cell r="D40">
            <v>6.0006997587368929</v>
          </cell>
          <cell r="E40">
            <v>9</v>
          </cell>
          <cell r="F40">
            <v>6.0006997587368929</v>
          </cell>
          <cell r="G40">
            <v>10</v>
          </cell>
          <cell r="H40">
            <v>5.3222637470511209</v>
          </cell>
          <cell r="I40">
            <v>10</v>
          </cell>
          <cell r="J40">
            <v>5.9827280218985894</v>
          </cell>
        </row>
        <row r="41">
          <cell r="C41">
            <v>10</v>
          </cell>
          <cell r="D41">
            <v>5.3222637470511209</v>
          </cell>
          <cell r="E41">
            <v>10</v>
          </cell>
          <cell r="F41">
            <v>5.3222637470511209</v>
          </cell>
          <cell r="G41">
            <v>11</v>
          </cell>
          <cell r="H41">
            <v>4.7205313600187813</v>
          </cell>
          <cell r="I41">
            <v>11</v>
          </cell>
          <cell r="J41">
            <v>4.9973642097198967</v>
          </cell>
        </row>
        <row r="42">
          <cell r="C42">
            <v>10.035</v>
          </cell>
          <cell r="D42">
            <v>5.2999613157775931</v>
          </cell>
          <cell r="E42">
            <v>11</v>
          </cell>
          <cell r="F42">
            <v>4.7205313600187813</v>
          </cell>
          <cell r="G42">
            <v>11.15</v>
          </cell>
          <cell r="H42">
            <v>4.6363376990387719</v>
          </cell>
          <cell r="I42">
            <v>12</v>
          </cell>
          <cell r="J42">
            <v>4.1742912185174195</v>
          </cell>
        </row>
        <row r="43">
          <cell r="C43">
            <v>11</v>
          </cell>
          <cell r="D43">
            <v>4.7205313600187813</v>
          </cell>
          <cell r="E43">
            <v>12</v>
          </cell>
          <cell r="F43">
            <v>4.1868305255009632</v>
          </cell>
          <cell r="G43">
            <v>12</v>
          </cell>
          <cell r="H43">
            <v>4.1868305255009632</v>
          </cell>
          <cell r="I43">
            <v>13</v>
          </cell>
          <cell r="J43">
            <v>3.4867795193115003</v>
          </cell>
        </row>
        <row r="44">
          <cell r="C44">
            <v>12</v>
          </cell>
          <cell r="D44">
            <v>4.1868305255009632</v>
          </cell>
          <cell r="E44">
            <v>13</v>
          </cell>
          <cell r="F44">
            <v>3.7134696313503404</v>
          </cell>
          <cell r="G44">
            <v>13</v>
          </cell>
          <cell r="H44">
            <v>3.7134696313503404</v>
          </cell>
          <cell r="I44">
            <v>13.38</v>
          </cell>
          <cell r="J44">
            <v>3.2562995436561604</v>
          </cell>
        </row>
        <row r="45">
          <cell r="C45">
            <v>13</v>
          </cell>
          <cell r="D45">
            <v>3.7134696313503404</v>
          </cell>
          <cell r="E45">
            <v>13.38</v>
          </cell>
          <cell r="F45">
            <v>3.5479687389423717</v>
          </cell>
          <cell r="G45">
            <v>14</v>
          </cell>
          <cell r="H45">
            <v>3.2936266751115411</v>
          </cell>
          <cell r="I45">
            <v>14</v>
          </cell>
          <cell r="J45">
            <v>3.2936266751115411</v>
          </cell>
        </row>
        <row r="46">
          <cell r="C46">
            <v>14</v>
          </cell>
          <cell r="D46">
            <v>3.2936266751115411</v>
          </cell>
          <cell r="E46">
            <v>14</v>
          </cell>
          <cell r="F46">
            <v>2.5921418064355253</v>
          </cell>
          <cell r="G46">
            <v>15</v>
          </cell>
          <cell r="H46">
            <v>2.9212509463990455</v>
          </cell>
          <cell r="I46">
            <v>15</v>
          </cell>
          <cell r="J46">
            <v>2.9212509463990455</v>
          </cell>
        </row>
        <row r="47">
          <cell r="C47">
            <v>15</v>
          </cell>
          <cell r="D47">
            <v>2.3690794607541403</v>
          </cell>
          <cell r="E47">
            <v>15</v>
          </cell>
          <cell r="F47">
            <v>2.3690794607541403</v>
          </cell>
          <cell r="G47">
            <v>16</v>
          </cell>
          <cell r="H47">
            <v>2.5909758250146311</v>
          </cell>
          <cell r="I47">
            <v>16</v>
          </cell>
          <cell r="J47">
            <v>2.5909758250146311</v>
          </cell>
        </row>
        <row r="48">
          <cell r="C48">
            <v>16</v>
          </cell>
          <cell r="D48">
            <v>2.1652123650923918</v>
          </cell>
          <cell r="E48">
            <v>16</v>
          </cell>
          <cell r="F48">
            <v>2.1652123650923918</v>
          </cell>
          <cell r="G48">
            <v>16.725000000000001</v>
          </cell>
          <cell r="H48">
            <v>2.3751271797095064</v>
          </cell>
          <cell r="I48">
            <v>17</v>
          </cell>
          <cell r="J48">
            <v>2.2980414380645353</v>
          </cell>
        </row>
        <row r="49">
          <cell r="C49">
            <v>17</v>
          </cell>
          <cell r="D49">
            <v>1.9788887049219661</v>
          </cell>
          <cell r="E49">
            <v>17</v>
          </cell>
          <cell r="F49">
            <v>1.9788887049219661</v>
          </cell>
          <cell r="G49">
            <v>17</v>
          </cell>
          <cell r="H49">
            <v>1.9788887049219661</v>
          </cell>
          <cell r="I49">
            <v>18</v>
          </cell>
          <cell r="J49">
            <v>2.0382260614229759</v>
          </cell>
        </row>
        <row r="50">
          <cell r="C50">
            <v>18</v>
          </cell>
          <cell r="D50">
            <v>1.8085988097987957</v>
          </cell>
          <cell r="E50">
            <v>18</v>
          </cell>
          <cell r="F50">
            <v>1.8085988097987957</v>
          </cell>
          <cell r="G50">
            <v>18</v>
          </cell>
          <cell r="H50">
            <v>1.8085988097987957</v>
          </cell>
          <cell r="I50">
            <v>19</v>
          </cell>
          <cell r="J50">
            <v>1.8077852769107254</v>
          </cell>
        </row>
        <row r="51">
          <cell r="C51">
            <v>19</v>
          </cell>
          <cell r="D51">
            <v>1.652962921396131</v>
          </cell>
          <cell r="E51">
            <v>19</v>
          </cell>
          <cell r="F51">
            <v>1.652962921396131</v>
          </cell>
          <cell r="G51">
            <v>19</v>
          </cell>
          <cell r="H51">
            <v>1.652962921396131</v>
          </cell>
          <cell r="I51">
            <v>20</v>
          </cell>
          <cell r="J51">
            <v>1.6033980083316131</v>
          </cell>
        </row>
        <row r="52">
          <cell r="C52">
            <v>20</v>
          </cell>
          <cell r="D52">
            <v>1.5107200141386783</v>
          </cell>
          <cell r="E52">
            <v>20</v>
          </cell>
          <cell r="F52">
            <v>1.5107200141386783</v>
          </cell>
          <cell r="G52">
            <v>20</v>
          </cell>
          <cell r="H52">
            <v>1.5107200141386783</v>
          </cell>
          <cell r="I52">
            <v>20.07</v>
          </cell>
          <cell r="J52">
            <v>1.5899883947332782</v>
          </cell>
        </row>
        <row r="53">
          <cell r="C53">
            <v>21</v>
          </cell>
          <cell r="D53">
            <v>1.3807175778580112</v>
          </cell>
          <cell r="E53">
            <v>21</v>
          </cell>
          <cell r="F53">
            <v>1.3807175778580112</v>
          </cell>
          <cell r="G53">
            <v>21</v>
          </cell>
          <cell r="H53">
            <v>1.3807175778580112</v>
          </cell>
          <cell r="I53">
            <v>21</v>
          </cell>
          <cell r="J53">
            <v>1.3807175778580112</v>
          </cell>
        </row>
        <row r="54">
          <cell r="C54">
            <v>22</v>
          </cell>
          <cell r="D54">
            <v>1.2619022796841657</v>
          </cell>
          <cell r="E54">
            <v>22</v>
          </cell>
          <cell r="F54">
            <v>1.2619022796841657</v>
          </cell>
          <cell r="G54">
            <v>22</v>
          </cell>
          <cell r="H54">
            <v>1.2619022796841657</v>
          </cell>
          <cell r="I54">
            <v>22</v>
          </cell>
          <cell r="J54">
            <v>1.2619022796841657</v>
          </cell>
        </row>
        <row r="55">
          <cell r="C55">
            <v>23</v>
          </cell>
          <cell r="D55">
            <v>1.1533114295122358</v>
          </cell>
          <cell r="E55">
            <v>23</v>
          </cell>
          <cell r="F55">
            <v>1.1533114295122358</v>
          </cell>
          <cell r="G55">
            <v>23</v>
          </cell>
          <cell r="H55">
            <v>1.1533114295122358</v>
          </cell>
          <cell r="J55">
            <v>9.1362202709490017</v>
          </cell>
        </row>
        <row r="56">
          <cell r="C56">
            <v>24</v>
          </cell>
          <cell r="D56">
            <v>1.0540651798936966</v>
          </cell>
          <cell r="E56">
            <v>24</v>
          </cell>
          <cell r="F56">
            <v>1.0540651798936966</v>
          </cell>
          <cell r="G56">
            <v>24</v>
          </cell>
          <cell r="I56">
            <v>1</v>
          </cell>
          <cell r="J56">
            <v>8.3500184052794317</v>
          </cell>
        </row>
        <row r="57">
          <cell r="C57">
            <v>25</v>
          </cell>
          <cell r="D57">
            <v>0.9633593971527914</v>
          </cell>
          <cell r="E57">
            <v>25</v>
          </cell>
          <cell r="F57">
            <v>0.9633593971527914</v>
          </cell>
          <cell r="G57">
            <v>25</v>
          </cell>
          <cell r="H57">
            <v>0.9633593971527914</v>
          </cell>
          <cell r="I57">
            <v>2</v>
          </cell>
          <cell r="J57">
            <v>7.631471801332018</v>
          </cell>
        </row>
      </sheetData>
      <sheetData sheetId="13">
        <row r="2">
          <cell r="A2" t="str">
            <v>Besarnya Hujan Rencana Periode Ulang</v>
          </cell>
        </row>
        <row r="4">
          <cell r="A4" t="str">
            <v xml:space="preserve">Jenis </v>
          </cell>
          <cell r="C4" t="str">
            <v>Hujan Periode Ulang</v>
          </cell>
        </row>
        <row r="5">
          <cell r="A5" t="str">
            <v>Sebaran</v>
          </cell>
          <cell r="B5">
            <v>2</v>
          </cell>
          <cell r="C5">
            <v>3</v>
          </cell>
          <cell r="D5">
            <v>5</v>
          </cell>
          <cell r="E5">
            <v>10</v>
          </cell>
          <cell r="F5">
            <v>20</v>
          </cell>
          <cell r="G5">
            <v>25</v>
          </cell>
          <cell r="H5">
            <v>30</v>
          </cell>
          <cell r="I5">
            <v>50</v>
          </cell>
          <cell r="J5">
            <v>100</v>
          </cell>
          <cell r="K5">
            <v>500</v>
          </cell>
          <cell r="L5">
            <v>1000</v>
          </cell>
          <cell r="M5" t="str">
            <v>PMP</v>
          </cell>
        </row>
        <row r="6">
          <cell r="A6" t="str">
            <v>Log Normal 2 Parameter</v>
          </cell>
          <cell r="B6">
            <v>50.680860541187542</v>
          </cell>
          <cell r="C6">
            <v>54.273638335850649</v>
          </cell>
          <cell r="D6">
            <v>62.071508592027534</v>
          </cell>
          <cell r="E6">
            <v>67.622270645683145</v>
          </cell>
          <cell r="F6">
            <v>72.687563735917138</v>
          </cell>
          <cell r="G6">
            <v>73.259734673799755</v>
          </cell>
          <cell r="H6">
            <v>73.836409540075778</v>
          </cell>
          <cell r="I6">
            <v>78.617734631726108</v>
          </cell>
          <cell r="J6">
            <v>82.986540968591314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Log Person Type III</v>
          </cell>
          <cell r="B7">
            <v>52.810887028940918</v>
          </cell>
          <cell r="C7">
            <v>55.724741003962706</v>
          </cell>
          <cell r="D7">
            <v>62.055248934994587</v>
          </cell>
          <cell r="E7">
            <v>67.709641621389309</v>
          </cell>
          <cell r="F7">
            <v>71.626257830989218</v>
          </cell>
          <cell r="G7">
            <v>74.239585391628268</v>
          </cell>
          <cell r="H7">
            <v>75.783608135320748</v>
          </cell>
          <cell r="I7">
            <v>80.159756636523454</v>
          </cell>
          <cell r="J7">
            <v>83.998974270453516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Gumbel</v>
          </cell>
          <cell r="B8">
            <v>52.5</v>
          </cell>
          <cell r="C8">
            <v>57.7</v>
          </cell>
          <cell r="D8">
            <v>63.6</v>
          </cell>
          <cell r="E8">
            <v>70.900000000000006</v>
          </cell>
          <cell r="F8">
            <v>77.900000000000006</v>
          </cell>
          <cell r="G8">
            <v>80.099999999999994</v>
          </cell>
          <cell r="H8">
            <v>82</v>
          </cell>
          <cell r="I8">
            <v>87</v>
          </cell>
          <cell r="J8">
            <v>93.8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Normal</v>
          </cell>
          <cell r="B9">
            <v>53.6</v>
          </cell>
          <cell r="C9">
            <v>59.2</v>
          </cell>
          <cell r="D9">
            <v>62</v>
          </cell>
          <cell r="E9">
            <v>67.400000000000006</v>
          </cell>
          <cell r="F9">
            <v>70</v>
          </cell>
          <cell r="G9">
            <v>71.5</v>
          </cell>
          <cell r="H9">
            <v>73.599999999999994</v>
          </cell>
          <cell r="I9">
            <v>75.8</v>
          </cell>
          <cell r="J9">
            <v>78.2</v>
          </cell>
          <cell r="K9">
            <v>137</v>
          </cell>
          <cell r="L9">
            <v>139.5</v>
          </cell>
          <cell r="M9">
            <v>0</v>
          </cell>
        </row>
      </sheetData>
      <sheetData sheetId="14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ASE"/>
      <sheetName val="Daftar Pos "/>
      <sheetName val="jan"/>
      <sheetName val="peb"/>
      <sheetName val="mar"/>
      <sheetName val="apr"/>
      <sheetName val="mei"/>
      <sheetName val="jun"/>
      <sheetName val="jul"/>
      <sheetName val="ags"/>
      <sheetName val="sep"/>
      <sheetName val="okt"/>
      <sheetName val="nop"/>
      <sheetName val="des"/>
      <sheetName val="Rekap Bulanan"/>
      <sheetName val="Rekap max"/>
      <sheetName val="Rekap"/>
      <sheetName val="Prin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>
        <row r="4">
          <cell r="B4">
            <v>350710001</v>
          </cell>
          <cell r="C4" t="str">
            <v>Alas Buluh</v>
          </cell>
          <cell r="D4" t="str">
            <v>-</v>
          </cell>
          <cell r="E4" t="str">
            <v>PSDA di Bondowoso</v>
          </cell>
          <cell r="F4" t="str">
            <v>Alas Bulu</v>
          </cell>
          <cell r="G4" t="str">
            <v>Wongsorejo</v>
          </cell>
          <cell r="H4" t="str">
            <v>Banyuwangi</v>
          </cell>
          <cell r="I4" t="str">
            <v>'114.40690</v>
          </cell>
          <cell r="J4" t="str">
            <v>'-8.00980</v>
          </cell>
          <cell r="K4" t="str">
            <v>-</v>
          </cell>
          <cell r="L4" t="str">
            <v>Baru Bajulmati</v>
          </cell>
          <cell r="M4" t="str">
            <v>PHB</v>
          </cell>
          <cell r="N4" t="str">
            <v>-</v>
          </cell>
          <cell r="O4" t="str">
            <v>-</v>
          </cell>
          <cell r="P4" t="str">
            <v>-</v>
          </cell>
        </row>
        <row r="5">
          <cell r="B5">
            <v>350710002</v>
          </cell>
          <cell r="C5" t="str">
            <v>Alas Malang BWI</v>
          </cell>
          <cell r="D5" t="str">
            <v>-</v>
          </cell>
          <cell r="E5" t="str">
            <v>PSDA di Bondowoso</v>
          </cell>
          <cell r="F5" t="str">
            <v>Alasmalang</v>
          </cell>
          <cell r="G5" t="str">
            <v>Singojuruh</v>
          </cell>
          <cell r="H5" t="str">
            <v>Banyuwangi</v>
          </cell>
          <cell r="I5" t="str">
            <v>'114.251100</v>
          </cell>
          <cell r="J5" t="str">
            <v>'-8.320600</v>
          </cell>
          <cell r="K5" t="str">
            <v>-</v>
          </cell>
          <cell r="L5" t="str">
            <v>Baru Bajulmati</v>
          </cell>
          <cell r="M5" t="str">
            <v>PHB</v>
          </cell>
          <cell r="N5" t="str">
            <v>-</v>
          </cell>
          <cell r="O5" t="str">
            <v>-</v>
          </cell>
          <cell r="P5" t="str">
            <v>-</v>
          </cell>
        </row>
        <row r="6">
          <cell r="B6">
            <v>350710003</v>
          </cell>
          <cell r="C6" t="str">
            <v>Bajulmati</v>
          </cell>
          <cell r="D6" t="str">
            <v>-</v>
          </cell>
          <cell r="E6" t="str">
            <v>PSDA di Bondowoso</v>
          </cell>
          <cell r="F6" t="str">
            <v>Bajulmati</v>
          </cell>
          <cell r="G6" t="str">
            <v>Wongsorejo</v>
          </cell>
          <cell r="H6" t="str">
            <v>Banyuwangi</v>
          </cell>
          <cell r="I6" t="str">
            <v>114.38630</v>
          </cell>
          <cell r="J6" t="str">
            <v>-7.92660</v>
          </cell>
          <cell r="K6" t="str">
            <v>-</v>
          </cell>
          <cell r="L6" t="str">
            <v>Baru Bajulmati</v>
          </cell>
          <cell r="M6" t="str">
            <v>PHB</v>
          </cell>
          <cell r="N6" t="str">
            <v>-</v>
          </cell>
          <cell r="O6" t="str">
            <v>-</v>
          </cell>
          <cell r="P6" t="str">
            <v>-</v>
          </cell>
        </row>
        <row r="7">
          <cell r="B7">
            <v>350710004</v>
          </cell>
          <cell r="C7" t="str">
            <v>Blambangan BWI</v>
          </cell>
          <cell r="D7" t="str">
            <v>-</v>
          </cell>
          <cell r="E7" t="str">
            <v>PSDA di Bondowoso</v>
          </cell>
          <cell r="F7" t="str">
            <v>Blambangan</v>
          </cell>
          <cell r="G7" t="str">
            <v>Muncar</v>
          </cell>
          <cell r="H7" t="str">
            <v>Banyuwangi</v>
          </cell>
          <cell r="I7" t="str">
            <v>'114.283508</v>
          </cell>
          <cell r="J7" t="str">
            <v>'-8.414039</v>
          </cell>
          <cell r="K7" t="str">
            <v>-</v>
          </cell>
          <cell r="L7" t="str">
            <v>Baru Bajulmati</v>
          </cell>
          <cell r="M7" t="str">
            <v>PHB</v>
          </cell>
          <cell r="N7" t="str">
            <v>-</v>
          </cell>
          <cell r="O7" t="str">
            <v>-</v>
          </cell>
          <cell r="P7" t="str">
            <v>-</v>
          </cell>
        </row>
        <row r="8">
          <cell r="B8">
            <v>350710005</v>
          </cell>
          <cell r="C8" t="str">
            <v>Cab.Din. Banyuwangi</v>
          </cell>
          <cell r="D8" t="str">
            <v>-</v>
          </cell>
          <cell r="E8" t="str">
            <v>PSDA di Bondowoso</v>
          </cell>
          <cell r="F8" t="str">
            <v>Penganjuran</v>
          </cell>
          <cell r="G8" t="str">
            <v>Banyuwangi</v>
          </cell>
          <cell r="H8" t="str">
            <v>Banyuwangi</v>
          </cell>
          <cell r="I8" t="str">
            <v>'114.362222</v>
          </cell>
          <cell r="J8" t="str">
            <v>'-8.217806</v>
          </cell>
          <cell r="K8" t="str">
            <v>-</v>
          </cell>
          <cell r="L8" t="str">
            <v>Baru Bajulmati</v>
          </cell>
          <cell r="M8" t="str">
            <v>PHB</v>
          </cell>
          <cell r="N8" t="str">
            <v>-</v>
          </cell>
          <cell r="O8" t="str">
            <v>-</v>
          </cell>
          <cell r="P8" t="str">
            <v>-</v>
          </cell>
        </row>
        <row r="9">
          <cell r="B9">
            <v>350710006</v>
          </cell>
          <cell r="C9" t="str">
            <v>Cluring</v>
          </cell>
          <cell r="D9" t="str">
            <v>-</v>
          </cell>
          <cell r="E9" t="str">
            <v>PSDA di Bondowoso</v>
          </cell>
          <cell r="F9" t="str">
            <v>Cluring</v>
          </cell>
          <cell r="G9" t="str">
            <v>Cluring</v>
          </cell>
          <cell r="H9" t="str">
            <v>Banyuwangi</v>
          </cell>
          <cell r="I9" t="str">
            <v>'114.200222</v>
          </cell>
          <cell r="J9" t="str">
            <v>'-8.437778</v>
          </cell>
          <cell r="K9" t="str">
            <v>-</v>
          </cell>
          <cell r="L9" t="str">
            <v>Baru Bajulmati</v>
          </cell>
          <cell r="M9" t="str">
            <v>PHB</v>
          </cell>
          <cell r="N9" t="str">
            <v>-</v>
          </cell>
          <cell r="O9" t="str">
            <v>-</v>
          </cell>
          <cell r="P9" t="str">
            <v>-</v>
          </cell>
        </row>
        <row r="10">
          <cell r="B10">
            <v>350710007</v>
          </cell>
          <cell r="C10" t="str">
            <v>Dadapan</v>
          </cell>
          <cell r="D10" t="str">
            <v>-</v>
          </cell>
          <cell r="E10" t="str">
            <v>PSDA di Bondowoso</v>
          </cell>
          <cell r="F10" t="str">
            <v>Dadapan</v>
          </cell>
          <cell r="G10" t="str">
            <v>Kabat</v>
          </cell>
          <cell r="H10" t="str">
            <v>Banyuwangi</v>
          </cell>
          <cell r="I10" t="str">
            <v>'114.337722</v>
          </cell>
          <cell r="J10" t="str">
            <v>'-8.258028</v>
          </cell>
          <cell r="K10" t="str">
            <v>-</v>
          </cell>
          <cell r="L10" t="str">
            <v>Baru Bajulmati</v>
          </cell>
          <cell r="M10" t="str">
            <v>PHB</v>
          </cell>
          <cell r="N10" t="str">
            <v>-</v>
          </cell>
          <cell r="O10" t="str">
            <v>-</v>
          </cell>
          <cell r="P10" t="str">
            <v>-</v>
          </cell>
        </row>
        <row r="11">
          <cell r="B11">
            <v>350710008</v>
          </cell>
          <cell r="C11" t="str">
            <v>Gambor</v>
          </cell>
          <cell r="D11" t="str">
            <v>-</v>
          </cell>
          <cell r="E11" t="str">
            <v>PSDA di Bondowoso</v>
          </cell>
          <cell r="F11" t="str">
            <v>Gambor</v>
          </cell>
          <cell r="G11" t="str">
            <v>Singojuruh</v>
          </cell>
          <cell r="H11" t="str">
            <v>Banyuwangi</v>
          </cell>
          <cell r="I11" t="str">
            <v>'114.2431</v>
          </cell>
          <cell r="J11" t="str">
            <v>'-8.3367</v>
          </cell>
          <cell r="K11" t="str">
            <v>-</v>
          </cell>
          <cell r="L11" t="str">
            <v>Baru Bajulmati</v>
          </cell>
          <cell r="M11" t="str">
            <v>PHB</v>
          </cell>
          <cell r="N11" t="str">
            <v>-</v>
          </cell>
          <cell r="O11" t="str">
            <v>-</v>
          </cell>
          <cell r="P11" t="str">
            <v>-</v>
          </cell>
        </row>
        <row r="12">
          <cell r="B12">
            <v>350710009</v>
          </cell>
          <cell r="C12" t="str">
            <v>Genteng I</v>
          </cell>
          <cell r="D12" t="str">
            <v>-</v>
          </cell>
          <cell r="E12" t="str">
            <v>PSDA di Bondowoso</v>
          </cell>
          <cell r="F12" t="str">
            <v>Gentengkulon</v>
          </cell>
          <cell r="G12" t="str">
            <v>Genteng</v>
          </cell>
          <cell r="H12" t="str">
            <v>Banyuwangi</v>
          </cell>
          <cell r="I12" t="str">
            <v>'114.1458</v>
          </cell>
          <cell r="J12" t="str">
            <v>'-8.3625</v>
          </cell>
          <cell r="K12" t="str">
            <v>-</v>
          </cell>
          <cell r="L12" t="str">
            <v>Baru Bajulmati</v>
          </cell>
          <cell r="M12" t="str">
            <v>PHB</v>
          </cell>
          <cell r="N12" t="str">
            <v>-</v>
          </cell>
          <cell r="O12" t="str">
            <v>-</v>
          </cell>
          <cell r="P12" t="str">
            <v>-</v>
          </cell>
        </row>
        <row r="13">
          <cell r="B13">
            <v>350710010</v>
          </cell>
          <cell r="C13" t="str">
            <v>Genteng II</v>
          </cell>
          <cell r="D13" t="str">
            <v>-</v>
          </cell>
          <cell r="E13" t="str">
            <v>PSDA di Bondowoso</v>
          </cell>
          <cell r="F13" t="str">
            <v>Gentengkulon</v>
          </cell>
          <cell r="G13" t="str">
            <v>Genteng</v>
          </cell>
          <cell r="H13" t="str">
            <v>Banyuwangi</v>
          </cell>
          <cell r="I13" t="str">
            <v>'114.1456</v>
          </cell>
          <cell r="J13" t="str">
            <v>'-8.3481</v>
          </cell>
          <cell r="K13" t="str">
            <v>-</v>
          </cell>
          <cell r="L13" t="str">
            <v>Baru Bajulmati</v>
          </cell>
          <cell r="M13" t="str">
            <v>PHB</v>
          </cell>
          <cell r="N13" t="str">
            <v>-</v>
          </cell>
          <cell r="O13" t="str">
            <v>-</v>
          </cell>
          <cell r="P13" t="str">
            <v>-</v>
          </cell>
        </row>
        <row r="14">
          <cell r="B14">
            <v>350710011</v>
          </cell>
          <cell r="C14" t="str">
            <v>Glagah BWI</v>
          </cell>
          <cell r="D14" t="str">
            <v>-</v>
          </cell>
          <cell r="E14" t="str">
            <v>PSDA di Bondowoso</v>
          </cell>
          <cell r="F14" t="str">
            <v>Glagah</v>
          </cell>
          <cell r="G14" t="str">
            <v>Glagah</v>
          </cell>
          <cell r="H14" t="str">
            <v>Banyuwangi</v>
          </cell>
          <cell r="I14" t="str">
            <v>'114.3186</v>
          </cell>
          <cell r="J14" t="str">
            <v>'-8.2045</v>
          </cell>
          <cell r="K14" t="str">
            <v>-</v>
          </cell>
          <cell r="L14" t="str">
            <v>Baru Bajulmati</v>
          </cell>
          <cell r="M14" t="str">
            <v>PHB</v>
          </cell>
          <cell r="N14" t="str">
            <v>-</v>
          </cell>
          <cell r="O14" t="str">
            <v>-</v>
          </cell>
          <cell r="P14" t="str">
            <v>-</v>
          </cell>
        </row>
        <row r="15">
          <cell r="B15">
            <v>350710012</v>
          </cell>
          <cell r="C15" t="str">
            <v>Glenfaloch</v>
          </cell>
          <cell r="D15" t="str">
            <v>-</v>
          </cell>
          <cell r="E15" t="str">
            <v>PSDA di Lumajang</v>
          </cell>
          <cell r="F15" t="str">
            <v>Tegalharjo</v>
          </cell>
          <cell r="G15" t="str">
            <v>Glenmore</v>
          </cell>
          <cell r="H15" t="str">
            <v>Banyuwangi</v>
          </cell>
          <cell r="I15" t="str">
            <v>'114.020006</v>
          </cell>
          <cell r="J15" t="str">
            <v>'-8.307286</v>
          </cell>
          <cell r="K15" t="str">
            <v>-</v>
          </cell>
          <cell r="L15" t="str">
            <v>Baru Bajulmati</v>
          </cell>
          <cell r="M15" t="str">
            <v>PHB</v>
          </cell>
          <cell r="N15" t="str">
            <v>-</v>
          </cell>
          <cell r="O15" t="str">
            <v>-</v>
          </cell>
          <cell r="P15" t="str">
            <v>-</v>
          </cell>
        </row>
        <row r="16">
          <cell r="B16">
            <v>350710013</v>
          </cell>
          <cell r="C16" t="str">
            <v>Grajagan</v>
          </cell>
          <cell r="D16" t="str">
            <v>-</v>
          </cell>
          <cell r="E16" t="str">
            <v>PSDA di Lumajang</v>
          </cell>
          <cell r="F16" t="str">
            <v>Grajagan</v>
          </cell>
          <cell r="G16" t="str">
            <v>Purwoharjo</v>
          </cell>
          <cell r="H16" t="str">
            <v>Banyuwangi</v>
          </cell>
          <cell r="I16" t="str">
            <v>'114.250222</v>
          </cell>
          <cell r="J16" t="str">
            <v>'-8.552056</v>
          </cell>
          <cell r="K16" t="str">
            <v>-</v>
          </cell>
          <cell r="L16" t="str">
            <v>Baru Bajulmati</v>
          </cell>
          <cell r="M16" t="str">
            <v>PHB</v>
          </cell>
          <cell r="N16" t="str">
            <v>-</v>
          </cell>
          <cell r="O16" t="str">
            <v>-</v>
          </cell>
          <cell r="P16" t="str">
            <v>-</v>
          </cell>
        </row>
        <row r="17">
          <cell r="B17">
            <v>350710014</v>
          </cell>
          <cell r="C17" t="str">
            <v>Jambewangi</v>
          </cell>
          <cell r="D17" t="str">
            <v>-</v>
          </cell>
          <cell r="E17" t="str">
            <v>PSDA di Lumajang</v>
          </cell>
          <cell r="F17" t="str">
            <v>Jambewangi</v>
          </cell>
          <cell r="G17" t="str">
            <v>Sempu</v>
          </cell>
          <cell r="H17" t="str">
            <v>Banyuwangi</v>
          </cell>
          <cell r="I17" t="str">
            <v>'114.1358</v>
          </cell>
          <cell r="J17" t="str">
            <v>'-8.2989</v>
          </cell>
          <cell r="K17" t="str">
            <v>-</v>
          </cell>
          <cell r="L17" t="str">
            <v>Baru Bajulmati</v>
          </cell>
          <cell r="M17" t="str">
            <v>PHB</v>
          </cell>
          <cell r="N17" t="str">
            <v>-</v>
          </cell>
          <cell r="O17" t="str">
            <v>-</v>
          </cell>
          <cell r="P17" t="str">
            <v>-</v>
          </cell>
        </row>
        <row r="18">
          <cell r="B18">
            <v>350710015</v>
          </cell>
          <cell r="C18" t="str">
            <v>Jatirono</v>
          </cell>
          <cell r="D18" t="str">
            <v>-</v>
          </cell>
          <cell r="E18" t="str">
            <v>PSDA di Lumajang</v>
          </cell>
          <cell r="F18" t="str">
            <v>Karangharjo</v>
          </cell>
          <cell r="G18" t="str">
            <v>Kalibaru</v>
          </cell>
          <cell r="H18" t="str">
            <v>Banyuwangi</v>
          </cell>
          <cell r="I18" t="str">
            <v>'114.008511</v>
          </cell>
          <cell r="J18" t="str">
            <v>'-8.275278</v>
          </cell>
          <cell r="K18" t="str">
            <v>-</v>
          </cell>
          <cell r="L18" t="str">
            <v>Baru Bajulmati</v>
          </cell>
          <cell r="M18" t="str">
            <v>PHB</v>
          </cell>
          <cell r="N18" t="str">
            <v>-</v>
          </cell>
          <cell r="O18" t="str">
            <v>-</v>
          </cell>
          <cell r="P18" t="str">
            <v>-</v>
          </cell>
        </row>
        <row r="19">
          <cell r="B19">
            <v>350710016</v>
          </cell>
          <cell r="C19" t="str">
            <v>Kabat / Macan Putih</v>
          </cell>
          <cell r="D19" t="str">
            <v>-</v>
          </cell>
          <cell r="E19" t="str">
            <v>PSDA di Bondowoso</v>
          </cell>
          <cell r="F19" t="str">
            <v>Macanputih</v>
          </cell>
          <cell r="G19" t="str">
            <v>Kabat</v>
          </cell>
          <cell r="H19" t="str">
            <v>Banyuwangi</v>
          </cell>
          <cell r="I19" t="str">
            <v>'114.290861</v>
          </cell>
          <cell r="J19" t="str">
            <v>'-8.273944</v>
          </cell>
          <cell r="K19" t="str">
            <v>-</v>
          </cell>
          <cell r="L19" t="str">
            <v>Baru Bajulmati</v>
          </cell>
          <cell r="M19" t="str">
            <v>PHB</v>
          </cell>
          <cell r="N19" t="str">
            <v>-</v>
          </cell>
          <cell r="O19" t="str">
            <v>-</v>
          </cell>
          <cell r="P19" t="str">
            <v>-</v>
          </cell>
        </row>
        <row r="20">
          <cell r="B20">
            <v>350710017</v>
          </cell>
          <cell r="C20" t="str">
            <v>Kalibaru</v>
          </cell>
          <cell r="D20" t="str">
            <v>-</v>
          </cell>
          <cell r="E20" t="str">
            <v>PSDA di Lumajang</v>
          </cell>
          <cell r="F20" t="str">
            <v>Kalibarukulon</v>
          </cell>
          <cell r="G20" t="str">
            <v>Kalibaru</v>
          </cell>
          <cell r="H20" t="str">
            <v>Banyuwangi</v>
          </cell>
          <cell r="I20" t="str">
            <v>'113.9708</v>
          </cell>
          <cell r="J20" t="str">
            <v>'-8.2889</v>
          </cell>
          <cell r="K20" t="str">
            <v>-</v>
          </cell>
          <cell r="L20" t="str">
            <v>Baru Bajulmati</v>
          </cell>
          <cell r="M20" t="str">
            <v>PHB</v>
          </cell>
          <cell r="N20" t="str">
            <v>-</v>
          </cell>
          <cell r="O20" t="str">
            <v>-</v>
          </cell>
          <cell r="P20" t="str">
            <v>-</v>
          </cell>
        </row>
        <row r="21">
          <cell r="B21">
            <v>350710018</v>
          </cell>
          <cell r="C21" t="str">
            <v>Kalipuro</v>
          </cell>
          <cell r="D21" t="str">
            <v>-</v>
          </cell>
          <cell r="E21" t="str">
            <v>PSDA di Bondowoso</v>
          </cell>
          <cell r="F21" t="str">
            <v>Kalipuro</v>
          </cell>
          <cell r="G21" t="str">
            <v>Kalipuro</v>
          </cell>
          <cell r="H21" t="str">
            <v>Banyuwangi</v>
          </cell>
          <cell r="I21" t="str">
            <v>'114.359972</v>
          </cell>
          <cell r="J21" t="str">
            <v>'-8.155472</v>
          </cell>
          <cell r="K21" t="str">
            <v>-</v>
          </cell>
          <cell r="L21" t="str">
            <v>Baru Bajulmati</v>
          </cell>
          <cell r="M21" t="str">
            <v>PHB</v>
          </cell>
          <cell r="N21" t="str">
            <v>-</v>
          </cell>
          <cell r="O21" t="str">
            <v>-</v>
          </cell>
          <cell r="P21" t="str">
            <v>-</v>
          </cell>
        </row>
        <row r="22">
          <cell r="B22">
            <v>350710019</v>
          </cell>
          <cell r="C22" t="str">
            <v>Kali Sepanjang</v>
          </cell>
          <cell r="D22" t="str">
            <v>-</v>
          </cell>
          <cell r="E22" t="str">
            <v>PSDA di Lumajang</v>
          </cell>
          <cell r="F22" t="str">
            <v>Sepanjang</v>
          </cell>
          <cell r="G22" t="str">
            <v>Glenmore</v>
          </cell>
          <cell r="H22" t="str">
            <v>Banyuwangi</v>
          </cell>
          <cell r="I22" t="str">
            <v>'114.0771</v>
          </cell>
          <cell r="J22" t="str">
            <v>'-8.2992</v>
          </cell>
          <cell r="K22" t="str">
            <v>-</v>
          </cell>
          <cell r="L22" t="str">
            <v>Baru Bajulmati</v>
          </cell>
          <cell r="M22" t="str">
            <v>PHB</v>
          </cell>
          <cell r="N22" t="str">
            <v>-</v>
          </cell>
          <cell r="O22" t="str">
            <v>-</v>
          </cell>
          <cell r="P22" t="str">
            <v>-</v>
          </cell>
        </row>
        <row r="23">
          <cell r="B23">
            <v>350710020</v>
          </cell>
          <cell r="C23" t="str">
            <v>Karang Harjo</v>
          </cell>
          <cell r="D23" t="str">
            <v>-</v>
          </cell>
          <cell r="E23" t="str">
            <v>PSDA di Lumajang</v>
          </cell>
          <cell r="F23" t="str">
            <v>Karangharjo</v>
          </cell>
          <cell r="G23" t="str">
            <v>Glenmore</v>
          </cell>
          <cell r="H23" t="str">
            <v>Banyuwangi</v>
          </cell>
          <cell r="I23" t="str">
            <v>'114.05234</v>
          </cell>
          <cell r="J23" t="str">
            <v>'-8.30925</v>
          </cell>
          <cell r="K23" t="str">
            <v>-</v>
          </cell>
          <cell r="L23" t="str">
            <v>Baru Bajulmati</v>
          </cell>
          <cell r="M23" t="str">
            <v>PHB</v>
          </cell>
          <cell r="N23" t="str">
            <v>-</v>
          </cell>
          <cell r="O23" t="str">
            <v>-</v>
          </cell>
          <cell r="P23" t="str">
            <v>-</v>
          </cell>
        </row>
        <row r="24">
          <cell r="B24">
            <v>350710021</v>
          </cell>
          <cell r="C24" t="str">
            <v>Karangdoro</v>
          </cell>
          <cell r="D24" t="str">
            <v>-</v>
          </cell>
          <cell r="E24" t="str">
            <v>PSDA di Lumajang</v>
          </cell>
          <cell r="F24" t="str">
            <v>Karangdoro</v>
          </cell>
          <cell r="G24" t="str">
            <v>Tegalsari</v>
          </cell>
          <cell r="H24" t="str">
            <v>Banyuwangi</v>
          </cell>
          <cell r="I24" t="str">
            <v>'114.100894</v>
          </cell>
          <cell r="J24" t="str">
            <v>'-8.439514</v>
          </cell>
          <cell r="K24" t="str">
            <v>-</v>
          </cell>
          <cell r="L24" t="str">
            <v>Baru Bajulmati</v>
          </cell>
          <cell r="M24" t="str">
            <v>PHB</v>
          </cell>
          <cell r="N24" t="str">
            <v>-</v>
          </cell>
          <cell r="O24" t="str">
            <v>-</v>
          </cell>
          <cell r="P24" t="str">
            <v>-</v>
          </cell>
        </row>
        <row r="25">
          <cell r="B25">
            <v>350710022</v>
          </cell>
          <cell r="C25" t="str">
            <v>Karang Tambak</v>
          </cell>
          <cell r="D25" t="str">
            <v>-</v>
          </cell>
          <cell r="E25" t="str">
            <v>PSDA di Lumajang</v>
          </cell>
          <cell r="F25" t="str">
            <v>Kandangan</v>
          </cell>
          <cell r="G25" t="str">
            <v>Pesanggaran</v>
          </cell>
          <cell r="H25" t="str">
            <v>Banyuwangi</v>
          </cell>
          <cell r="I25" t="str">
            <v>'113.986639</v>
          </cell>
          <cell r="J25" t="str">
            <v>'-8.505944</v>
          </cell>
          <cell r="K25" t="str">
            <v>-</v>
          </cell>
          <cell r="L25" t="str">
            <v>Baru Bajulmati</v>
          </cell>
          <cell r="M25" t="str">
            <v>PHB</v>
          </cell>
          <cell r="N25" t="str">
            <v>-</v>
          </cell>
          <cell r="O25" t="str">
            <v>-</v>
          </cell>
          <cell r="P25" t="str">
            <v>-</v>
          </cell>
        </row>
        <row r="26">
          <cell r="B26">
            <v>350710023</v>
          </cell>
          <cell r="C26" t="str">
            <v>Kawah Ijen</v>
          </cell>
          <cell r="D26" t="str">
            <v>-</v>
          </cell>
          <cell r="E26" t="str">
            <v>PSDA di Bondowoso</v>
          </cell>
          <cell r="F26" t="str">
            <v>Tamansari</v>
          </cell>
          <cell r="G26" t="str">
            <v>Glagah</v>
          </cell>
          <cell r="H26" t="str">
            <v>Banyuwangi</v>
          </cell>
          <cell r="I26" t="str">
            <v>'114.237056</v>
          </cell>
          <cell r="J26" t="str">
            <v>'-8.065056</v>
          </cell>
          <cell r="K26" t="str">
            <v>-</v>
          </cell>
          <cell r="L26" t="str">
            <v>Baru Bajulmati</v>
          </cell>
          <cell r="M26" t="str">
            <v>PHB</v>
          </cell>
          <cell r="N26" t="str">
            <v>-</v>
          </cell>
          <cell r="O26" t="str">
            <v>-</v>
          </cell>
          <cell r="P26" t="str">
            <v>-</v>
          </cell>
        </row>
        <row r="27">
          <cell r="B27">
            <v>350710024</v>
          </cell>
          <cell r="C27" t="str">
            <v>Kebondalem</v>
          </cell>
          <cell r="D27" t="str">
            <v>-</v>
          </cell>
          <cell r="E27" t="str">
            <v>PSDA di Lumajang</v>
          </cell>
          <cell r="F27" t="str">
            <v>Kebondalem</v>
          </cell>
          <cell r="G27" t="str">
            <v>Bangorejo</v>
          </cell>
          <cell r="H27" t="str">
            <v>Banyuwangi</v>
          </cell>
          <cell r="I27" t="str">
            <v>'114.1345</v>
          </cell>
          <cell r="J27" t="str">
            <v>'-8.4565</v>
          </cell>
          <cell r="K27" t="str">
            <v>-</v>
          </cell>
          <cell r="L27" t="str">
            <v>Baru Bajulmati</v>
          </cell>
          <cell r="M27" t="str">
            <v>PHB</v>
          </cell>
          <cell r="N27" t="str">
            <v>-</v>
          </cell>
          <cell r="O27" t="str">
            <v>-</v>
          </cell>
          <cell r="P27" t="str">
            <v>-</v>
          </cell>
        </row>
        <row r="28">
          <cell r="B28">
            <v>350710025</v>
          </cell>
          <cell r="C28" t="str">
            <v>Kesilir BWI</v>
          </cell>
          <cell r="D28" t="str">
            <v>-</v>
          </cell>
          <cell r="E28" t="str">
            <v>PSDA di Lumajang</v>
          </cell>
          <cell r="F28" t="str">
            <v>Kesilir</v>
          </cell>
          <cell r="G28" t="str">
            <v>Siliragung</v>
          </cell>
          <cell r="H28" t="str">
            <v>Banyuwangi</v>
          </cell>
          <cell r="I28" t="str">
            <v>'114.128722</v>
          </cell>
          <cell r="J28" t="str">
            <v>'-8.525167</v>
          </cell>
          <cell r="K28" t="str">
            <v>-</v>
          </cell>
          <cell r="L28" t="str">
            <v>Baru Bajulmati</v>
          </cell>
          <cell r="M28" t="str">
            <v>PHB</v>
          </cell>
          <cell r="N28" t="str">
            <v>-</v>
          </cell>
          <cell r="O28" t="str">
            <v>-</v>
          </cell>
          <cell r="P28" t="str">
            <v>-</v>
          </cell>
        </row>
        <row r="29">
          <cell r="B29">
            <v>350710026</v>
          </cell>
          <cell r="C29" t="str">
            <v>Licin</v>
          </cell>
          <cell r="D29" t="str">
            <v>-</v>
          </cell>
          <cell r="E29" t="str">
            <v>PSDA di Bondowoso</v>
          </cell>
          <cell r="F29" t="str">
            <v>Licin</v>
          </cell>
          <cell r="G29" t="str">
            <v>Licin</v>
          </cell>
          <cell r="H29" t="str">
            <v>Banyuwangi</v>
          </cell>
          <cell r="I29" t="str">
            <v>'114.267861</v>
          </cell>
          <cell r="J29" t="str">
            <v>'-8.198167</v>
          </cell>
          <cell r="K29" t="str">
            <v>-</v>
          </cell>
          <cell r="L29" t="str">
            <v>Baru Bajulmati</v>
          </cell>
          <cell r="M29" t="str">
            <v>PHB</v>
          </cell>
          <cell r="N29" t="str">
            <v>-</v>
          </cell>
          <cell r="O29" t="str">
            <v>-</v>
          </cell>
          <cell r="P29" t="str">
            <v>-</v>
          </cell>
        </row>
        <row r="30">
          <cell r="B30">
            <v>350710027</v>
          </cell>
          <cell r="C30" t="str">
            <v>Maelang</v>
          </cell>
          <cell r="D30" t="str">
            <v>-</v>
          </cell>
          <cell r="E30" t="str">
            <v>PSDA di Bondowoso</v>
          </cell>
          <cell r="F30" t="str">
            <v>Watukebo</v>
          </cell>
          <cell r="G30" t="str">
            <v>Wongsorejo</v>
          </cell>
          <cell r="H30" t="str">
            <v>Banyuwangi</v>
          </cell>
          <cell r="I30" t="str">
            <v>'114.33220</v>
          </cell>
          <cell r="J30" t="str">
            <v>'-7.95890</v>
          </cell>
          <cell r="K30" t="str">
            <v>-</v>
          </cell>
          <cell r="L30" t="str">
            <v>Baru Bajulmati</v>
          </cell>
          <cell r="M30" t="str">
            <v>PHB</v>
          </cell>
          <cell r="N30" t="str">
            <v>-</v>
          </cell>
          <cell r="O30" t="str">
            <v>-</v>
          </cell>
          <cell r="P30" t="str">
            <v>-</v>
          </cell>
        </row>
        <row r="31">
          <cell r="B31">
            <v>350710028</v>
          </cell>
          <cell r="C31" t="str">
            <v>Pagergunung</v>
          </cell>
          <cell r="D31" t="str">
            <v>-</v>
          </cell>
          <cell r="E31" t="str">
            <v>PSDA di Lumajang</v>
          </cell>
          <cell r="F31" t="str">
            <v>Karangharjo</v>
          </cell>
          <cell r="G31" t="str">
            <v>Glenmore</v>
          </cell>
          <cell r="H31" t="str">
            <v>Banyuwangi</v>
          </cell>
          <cell r="I31" t="str">
            <v>'113.983067</v>
          </cell>
          <cell r="J31" t="str">
            <v>'-8.376225</v>
          </cell>
          <cell r="K31" t="str">
            <v>-</v>
          </cell>
          <cell r="L31" t="str">
            <v>Baru Bajulmati</v>
          </cell>
          <cell r="M31" t="str">
            <v>PHB</v>
          </cell>
          <cell r="N31" t="str">
            <v>-</v>
          </cell>
          <cell r="O31" t="str">
            <v>-</v>
          </cell>
          <cell r="P31" t="str">
            <v>-</v>
          </cell>
        </row>
        <row r="32">
          <cell r="B32">
            <v>350710029</v>
          </cell>
          <cell r="C32" t="str">
            <v>Pasewaran</v>
          </cell>
          <cell r="D32" t="str">
            <v>-</v>
          </cell>
          <cell r="E32" t="str">
            <v>PSDA di Bondowoso</v>
          </cell>
          <cell r="F32" t="str">
            <v>Watukebo</v>
          </cell>
          <cell r="G32" t="str">
            <v>Wongsorejo</v>
          </cell>
          <cell r="H32" t="str">
            <v>Banyuwangi</v>
          </cell>
          <cell r="I32" t="str">
            <v>'114.24190</v>
          </cell>
          <cell r="J32" t="str">
            <v>'-7.98020</v>
          </cell>
          <cell r="K32" t="str">
            <v>-</v>
          </cell>
          <cell r="L32" t="str">
            <v>Baru Bajulmati</v>
          </cell>
          <cell r="M32" t="str">
            <v>PHB</v>
          </cell>
          <cell r="N32" t="str">
            <v>-</v>
          </cell>
          <cell r="O32" t="str">
            <v>-</v>
          </cell>
          <cell r="P32" t="str">
            <v>-</v>
          </cell>
        </row>
        <row r="33">
          <cell r="B33">
            <v>350710030</v>
          </cell>
          <cell r="C33" t="str">
            <v>Pesanggaran</v>
          </cell>
          <cell r="D33" t="str">
            <v>-</v>
          </cell>
          <cell r="E33" t="str">
            <v>PSDA di Lumajang</v>
          </cell>
          <cell r="F33" t="str">
            <v>Pesanggaran</v>
          </cell>
          <cell r="G33" t="str">
            <v>Pesanggaran</v>
          </cell>
          <cell r="H33" t="str">
            <v>Banyuwangi</v>
          </cell>
          <cell r="I33" t="str">
            <v>'114.100444</v>
          </cell>
          <cell r="J33" t="str">
            <v>'-8.561611</v>
          </cell>
          <cell r="K33" t="str">
            <v>-</v>
          </cell>
          <cell r="L33" t="str">
            <v>Baru Bajulmati</v>
          </cell>
          <cell r="M33" t="str">
            <v>PHB</v>
          </cell>
          <cell r="N33" t="str">
            <v>-</v>
          </cell>
          <cell r="O33" t="str">
            <v>-</v>
          </cell>
          <cell r="P33" t="str">
            <v>-</v>
          </cell>
        </row>
        <row r="34">
          <cell r="B34">
            <v>350710031</v>
          </cell>
          <cell r="C34" t="str">
            <v>Plosorejo</v>
          </cell>
          <cell r="D34" t="str">
            <v>-</v>
          </cell>
          <cell r="E34" t="str">
            <v>PSDA di Bondowoso</v>
          </cell>
          <cell r="F34" t="str">
            <v>Tampo</v>
          </cell>
          <cell r="G34" t="str">
            <v>Cluring</v>
          </cell>
          <cell r="H34" t="str">
            <v>Banyuwangi</v>
          </cell>
          <cell r="I34" t="str">
            <v>'114.259222</v>
          </cell>
          <cell r="J34" t="str">
            <v>'-8.452778</v>
          </cell>
          <cell r="K34" t="str">
            <v>-</v>
          </cell>
          <cell r="L34" t="str">
            <v>Baru Bajulmati</v>
          </cell>
          <cell r="M34" t="str">
            <v>PHB</v>
          </cell>
          <cell r="N34" t="str">
            <v>-</v>
          </cell>
          <cell r="O34" t="str">
            <v>-</v>
          </cell>
          <cell r="P34" t="str">
            <v>-</v>
          </cell>
        </row>
        <row r="35">
          <cell r="B35">
            <v>350710032</v>
          </cell>
          <cell r="C35" t="str">
            <v>Purwoharjo</v>
          </cell>
          <cell r="D35" t="str">
            <v>-</v>
          </cell>
          <cell r="E35" t="str">
            <v>PSDA di Lumajang</v>
          </cell>
          <cell r="F35" t="str">
            <v>Purwoharjo</v>
          </cell>
          <cell r="G35" t="str">
            <v>Purwoharjo</v>
          </cell>
          <cell r="H35" t="str">
            <v>Banyuwangi</v>
          </cell>
          <cell r="I35" t="str">
            <v>'114.2369</v>
          </cell>
          <cell r="J35" t="str">
            <v>'-8.4936</v>
          </cell>
          <cell r="K35" t="str">
            <v>-</v>
          </cell>
          <cell r="L35" t="str">
            <v>Baru Bajulmati</v>
          </cell>
          <cell r="M35" t="str">
            <v>PHB</v>
          </cell>
          <cell r="N35" t="str">
            <v>-</v>
          </cell>
          <cell r="O35" t="str">
            <v>-</v>
          </cell>
          <cell r="P35" t="str">
            <v>-</v>
          </cell>
        </row>
        <row r="36">
          <cell r="B36">
            <v>350710033</v>
          </cell>
          <cell r="C36" t="str">
            <v>Rogojampi</v>
          </cell>
          <cell r="D36" t="str">
            <v>-</v>
          </cell>
          <cell r="E36" t="str">
            <v>PSDA di Bondowoso</v>
          </cell>
          <cell r="F36" t="str">
            <v>Lemahbangdewo</v>
          </cell>
          <cell r="G36" t="str">
            <v>Rogojampi</v>
          </cell>
          <cell r="H36" t="str">
            <v>Banyuwangi</v>
          </cell>
          <cell r="I36" t="str">
            <v>'114.281083</v>
          </cell>
          <cell r="J36" t="str">
            <v>'-8.312250</v>
          </cell>
          <cell r="K36" t="str">
            <v>-</v>
          </cell>
          <cell r="L36" t="str">
            <v>Baru Bajulmati</v>
          </cell>
          <cell r="M36" t="str">
            <v>PHB</v>
          </cell>
          <cell r="N36" t="str">
            <v>-</v>
          </cell>
          <cell r="O36" t="str">
            <v>-</v>
          </cell>
          <cell r="P36" t="str">
            <v>-</v>
          </cell>
        </row>
        <row r="37">
          <cell r="B37">
            <v>350710034</v>
          </cell>
          <cell r="C37" t="str">
            <v>Selogiri</v>
          </cell>
          <cell r="D37" t="str">
            <v>-</v>
          </cell>
          <cell r="E37" t="str">
            <v>PSDA di Bondowoso</v>
          </cell>
          <cell r="F37" t="str">
            <v>Giri</v>
          </cell>
          <cell r="G37" t="str">
            <v>Giri</v>
          </cell>
          <cell r="H37" t="str">
            <v>Banyuwangi</v>
          </cell>
          <cell r="I37" t="str">
            <v>'114.353583</v>
          </cell>
          <cell r="J37" t="str">
            <v>'-8.092750</v>
          </cell>
          <cell r="K37" t="str">
            <v>-</v>
          </cell>
          <cell r="L37" t="str">
            <v>Baru Bajulmati</v>
          </cell>
          <cell r="M37" t="str">
            <v>PHB</v>
          </cell>
          <cell r="N37" t="str">
            <v>-</v>
          </cell>
          <cell r="O37" t="str">
            <v>-</v>
          </cell>
          <cell r="P37" t="str">
            <v>-</v>
          </cell>
        </row>
        <row r="38">
          <cell r="B38">
            <v>350710035</v>
          </cell>
          <cell r="C38" t="str">
            <v>Sidomulyo BWI</v>
          </cell>
          <cell r="D38" t="str">
            <v>-</v>
          </cell>
          <cell r="E38" t="str">
            <v>PSDA di Bondowoso</v>
          </cell>
          <cell r="F38" t="str">
            <v>Alas Bulu</v>
          </cell>
          <cell r="G38" t="str">
            <v>Wongsorejo</v>
          </cell>
          <cell r="H38" t="str">
            <v>Banyuwangi</v>
          </cell>
          <cell r="I38" t="str">
            <v>'114.40000</v>
          </cell>
          <cell r="J38" t="str">
            <v>'-8.017200</v>
          </cell>
          <cell r="K38" t="str">
            <v>-</v>
          </cell>
          <cell r="L38" t="str">
            <v>Baru Bajulmati</v>
          </cell>
          <cell r="M38" t="str">
            <v>PHB</v>
          </cell>
          <cell r="N38" t="str">
            <v>-</v>
          </cell>
          <cell r="O38" t="str">
            <v>-</v>
          </cell>
          <cell r="P38" t="str">
            <v>-</v>
          </cell>
        </row>
        <row r="39">
          <cell r="B39">
            <v>350710036</v>
          </cell>
          <cell r="C39" t="str">
            <v>Songgon</v>
          </cell>
          <cell r="D39" t="str">
            <v>-</v>
          </cell>
          <cell r="E39" t="str">
            <v>PSDA di Bondowoso</v>
          </cell>
          <cell r="F39" t="str">
            <v>Songgon</v>
          </cell>
          <cell r="G39" t="str">
            <v>Songgon</v>
          </cell>
          <cell r="H39" t="str">
            <v>Banyuwangi</v>
          </cell>
          <cell r="I39" t="str">
            <v>'114.1914</v>
          </cell>
          <cell r="J39" t="str">
            <v>'-8.2286</v>
          </cell>
          <cell r="K39" t="str">
            <v>-</v>
          </cell>
          <cell r="L39" t="str">
            <v>Baru Bajulmati</v>
          </cell>
          <cell r="M39" t="str">
            <v>PHB</v>
          </cell>
          <cell r="N39" t="str">
            <v>-</v>
          </cell>
          <cell r="O39" t="str">
            <v>-</v>
          </cell>
          <cell r="P39" t="str">
            <v>-</v>
          </cell>
        </row>
        <row r="40">
          <cell r="B40">
            <v>350710037</v>
          </cell>
          <cell r="C40" t="str">
            <v>Sukonatar</v>
          </cell>
          <cell r="D40" t="str">
            <v>-</v>
          </cell>
          <cell r="E40" t="str">
            <v>PSDA di Bondowoso</v>
          </cell>
          <cell r="F40" t="str">
            <v>Sukonatar</v>
          </cell>
          <cell r="G40" t="str">
            <v>Srono</v>
          </cell>
          <cell r="H40" t="str">
            <v>Banyuwangi</v>
          </cell>
          <cell r="I40" t="str">
            <v>'114.276528</v>
          </cell>
          <cell r="J40" t="str">
            <v>'-8.387139</v>
          </cell>
          <cell r="K40" t="str">
            <v>-</v>
          </cell>
          <cell r="L40" t="str">
            <v>Baru Bajulmati</v>
          </cell>
          <cell r="M40" t="str">
            <v>PHB</v>
          </cell>
          <cell r="N40" t="str">
            <v>-</v>
          </cell>
          <cell r="O40" t="str">
            <v>-</v>
          </cell>
          <cell r="P40" t="str">
            <v>-</v>
          </cell>
        </row>
        <row r="41">
          <cell r="B41">
            <v>350710038</v>
          </cell>
          <cell r="C41" t="str">
            <v>Sumber Beras</v>
          </cell>
          <cell r="D41" t="str">
            <v>-</v>
          </cell>
          <cell r="E41" t="str">
            <v>PSDA di Bondowoso</v>
          </cell>
          <cell r="F41" t="str">
            <v>Sumber Beras</v>
          </cell>
          <cell r="G41" t="str">
            <v>Muncar</v>
          </cell>
          <cell r="H41" t="str">
            <v>Banyuwangi</v>
          </cell>
          <cell r="I41" t="str">
            <v>'114.302028</v>
          </cell>
          <cell r="J41" t="str">
            <v>'-8.477833</v>
          </cell>
          <cell r="K41" t="str">
            <v>-</v>
          </cell>
          <cell r="L41" t="str">
            <v>Baru Bajulmati</v>
          </cell>
          <cell r="M41" t="str">
            <v>PHB</v>
          </cell>
          <cell r="N41" t="str">
            <v>-</v>
          </cell>
          <cell r="O41" t="str">
            <v>-</v>
          </cell>
          <cell r="P41" t="str">
            <v>-</v>
          </cell>
        </row>
        <row r="42">
          <cell r="B42">
            <v>350710039</v>
          </cell>
          <cell r="C42" t="str">
            <v>Tambong</v>
          </cell>
          <cell r="D42" t="str">
            <v>-</v>
          </cell>
          <cell r="E42" t="str">
            <v>PSDA di Bondowoso</v>
          </cell>
          <cell r="F42" t="str">
            <v>Tambong</v>
          </cell>
          <cell r="G42" t="str">
            <v>Kabat</v>
          </cell>
          <cell r="H42" t="str">
            <v>Banyuwangi</v>
          </cell>
          <cell r="I42" t="str">
            <v>'114.297667</v>
          </cell>
          <cell r="J42" t="str">
            <v>'-8.258972</v>
          </cell>
          <cell r="K42" t="str">
            <v>-</v>
          </cell>
          <cell r="L42" t="str">
            <v>Baru Bajulmati</v>
          </cell>
          <cell r="M42" t="str">
            <v>PHB</v>
          </cell>
          <cell r="N42" t="str">
            <v>-</v>
          </cell>
          <cell r="O42" t="str">
            <v>-</v>
          </cell>
          <cell r="P42" t="str">
            <v>-</v>
          </cell>
        </row>
        <row r="43">
          <cell r="B43">
            <v>350710040</v>
          </cell>
          <cell r="C43" t="str">
            <v>Tegal dlimo</v>
          </cell>
          <cell r="D43" t="str">
            <v>-</v>
          </cell>
          <cell r="E43" t="str">
            <v>PSDA di Lumajang</v>
          </cell>
          <cell r="F43" t="str">
            <v>Tegaldlimo</v>
          </cell>
          <cell r="G43" t="str">
            <v>Tegaldlimo</v>
          </cell>
          <cell r="H43" t="str">
            <v>Banyuwangi</v>
          </cell>
          <cell r="I43" t="str">
            <v>'114.276694</v>
          </cell>
          <cell r="J43" t="str">
            <v>'-8.508806</v>
          </cell>
          <cell r="K43" t="str">
            <v>-</v>
          </cell>
          <cell r="L43" t="str">
            <v>Baru Bajulmati</v>
          </cell>
          <cell r="M43" t="str">
            <v>PHB</v>
          </cell>
          <cell r="N43" t="str">
            <v>-</v>
          </cell>
          <cell r="O43" t="str">
            <v>-</v>
          </cell>
          <cell r="P43" t="str">
            <v>-</v>
          </cell>
        </row>
        <row r="44">
          <cell r="B44">
            <v>350710041</v>
          </cell>
          <cell r="C44" t="str">
            <v>Temuguruh</v>
          </cell>
          <cell r="D44" t="str">
            <v>-</v>
          </cell>
          <cell r="E44" t="str">
            <v>PSDA di Bondowoso</v>
          </cell>
          <cell r="F44" t="str">
            <v>Temuasri</v>
          </cell>
          <cell r="G44" t="str">
            <v>Sempu</v>
          </cell>
          <cell r="H44" t="str">
            <v>Banyuwangi</v>
          </cell>
          <cell r="I44" t="str">
            <v>'114.165972</v>
          </cell>
          <cell r="J44" t="str">
            <v>'-8.279194</v>
          </cell>
          <cell r="K44" t="str">
            <v>-</v>
          </cell>
          <cell r="L44" t="str">
            <v>Baru Bajulmati</v>
          </cell>
          <cell r="M44" t="str">
            <v>PHB</v>
          </cell>
          <cell r="N44" t="str">
            <v>-</v>
          </cell>
          <cell r="O44" t="str">
            <v>-</v>
          </cell>
          <cell r="P44" t="str">
            <v>-</v>
          </cell>
        </row>
        <row r="45">
          <cell r="B45">
            <v>350710042</v>
          </cell>
          <cell r="C45" t="str">
            <v>Turus</v>
          </cell>
          <cell r="D45" t="str">
            <v>-</v>
          </cell>
          <cell r="E45" t="str">
            <v>PSDA di Bondowoso</v>
          </cell>
          <cell r="F45" t="str">
            <v>Kemiri</v>
          </cell>
          <cell r="G45" t="str">
            <v>Singojuruh</v>
          </cell>
          <cell r="H45" t="str">
            <v>Banyuwangi</v>
          </cell>
          <cell r="I45" t="str">
            <v>'114.201889</v>
          </cell>
          <cell r="J45" t="str">
            <v>'-8.284667</v>
          </cell>
          <cell r="K45" t="str">
            <v>-</v>
          </cell>
          <cell r="L45" t="str">
            <v>Baru Bajulmati</v>
          </cell>
          <cell r="M45" t="str">
            <v>PHB</v>
          </cell>
          <cell r="N45" t="str">
            <v>-</v>
          </cell>
          <cell r="O45" t="str">
            <v>-</v>
          </cell>
          <cell r="P45" t="str">
            <v>-</v>
          </cell>
        </row>
        <row r="46">
          <cell r="B46">
            <v>350710043</v>
          </cell>
          <cell r="C46" t="str">
            <v>Wongsorejo</v>
          </cell>
          <cell r="D46" t="str">
            <v>-</v>
          </cell>
          <cell r="E46" t="str">
            <v>PSDA di Bondowoso</v>
          </cell>
          <cell r="F46" t="str">
            <v>Wongsorejo</v>
          </cell>
          <cell r="G46" t="str">
            <v>Wongsorejo</v>
          </cell>
          <cell r="H46" t="str">
            <v>Banyuwangi</v>
          </cell>
          <cell r="I46" t="str">
            <v>'114.40160</v>
          </cell>
          <cell r="J46" t="str">
            <v>'-7.99240</v>
          </cell>
          <cell r="K46" t="str">
            <v>-</v>
          </cell>
          <cell r="L46" t="str">
            <v>Baru Bajulmati</v>
          </cell>
          <cell r="M46" t="str">
            <v>PHB</v>
          </cell>
          <cell r="N46" t="str">
            <v>-</v>
          </cell>
          <cell r="O46" t="str">
            <v>-</v>
          </cell>
          <cell r="P46" t="str">
            <v>-</v>
          </cell>
        </row>
        <row r="47">
          <cell r="B47">
            <v>350710044</v>
          </cell>
          <cell r="C47" t="str">
            <v>Mangir</v>
          </cell>
          <cell r="D47" t="str">
            <v>-</v>
          </cell>
          <cell r="E47" t="str">
            <v>PSDA di Bondowoso</v>
          </cell>
          <cell r="F47" t="str">
            <v>Mangir</v>
          </cell>
          <cell r="G47" t="str">
            <v>Rogojampi</v>
          </cell>
          <cell r="H47" t="str">
            <v>Banyuwangi</v>
          </cell>
          <cell r="I47" t="str">
            <v>'114.28750</v>
          </cell>
          <cell r="J47" t="str">
            <v>'-8.35417</v>
          </cell>
          <cell r="K47" t="str">
            <v>-</v>
          </cell>
          <cell r="L47" t="str">
            <v>Baru Bajulmati</v>
          </cell>
          <cell r="M47" t="str">
            <v>PHB</v>
          </cell>
          <cell r="N47" t="str">
            <v>-</v>
          </cell>
          <cell r="O47" t="str">
            <v>-</v>
          </cell>
          <cell r="P47" t="str">
            <v>-</v>
          </cell>
        </row>
        <row r="48">
          <cell r="B48">
            <v>350710045</v>
          </cell>
          <cell r="C48" t="str">
            <v>Bayu Lor</v>
          </cell>
          <cell r="D48" t="str">
            <v>-</v>
          </cell>
          <cell r="E48" t="str">
            <v>PSDA di Bondowoso</v>
          </cell>
          <cell r="F48" t="str">
            <v>Bayu</v>
          </cell>
          <cell r="G48" t="str">
            <v>Songgon</v>
          </cell>
          <cell r="H48" t="str">
            <v>Banyuwangi</v>
          </cell>
          <cell r="I48" t="str">
            <v>'114.185787</v>
          </cell>
          <cell r="J48" t="str">
            <v>'-8.188463</v>
          </cell>
          <cell r="K48" t="str">
            <v>-</v>
          </cell>
          <cell r="L48" t="str">
            <v>Baru Bajulmati</v>
          </cell>
          <cell r="M48" t="str">
            <v>PHB</v>
          </cell>
          <cell r="N48" t="str">
            <v>-</v>
          </cell>
          <cell r="O48" t="str">
            <v>-</v>
          </cell>
          <cell r="P48" t="str">
            <v>-</v>
          </cell>
        </row>
      </sheetData>
      <sheetData sheetId="1" refreshError="1"/>
      <sheetData sheetId="2">
        <row r="3">
          <cell r="C3">
            <v>2022</v>
          </cell>
        </row>
        <row r="8">
          <cell r="A8">
            <v>1</v>
          </cell>
          <cell r="B8" t="str">
            <v>Alas Buluh</v>
          </cell>
          <cell r="C8">
            <v>350710001</v>
          </cell>
          <cell r="D8">
            <v>10</v>
          </cell>
          <cell r="E8">
            <v>20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</v>
          </cell>
          <cell r="L8">
            <v>0</v>
          </cell>
          <cell r="M8">
            <v>35</v>
          </cell>
          <cell r="N8">
            <v>12</v>
          </cell>
          <cell r="O8">
            <v>25</v>
          </cell>
          <cell r="P8">
            <v>6</v>
          </cell>
          <cell r="Q8">
            <v>29</v>
          </cell>
          <cell r="R8">
            <v>10</v>
          </cell>
          <cell r="S8">
            <v>0</v>
          </cell>
          <cell r="T8">
            <v>3</v>
          </cell>
          <cell r="U8">
            <v>8</v>
          </cell>
          <cell r="V8">
            <v>7</v>
          </cell>
          <cell r="W8">
            <v>22</v>
          </cell>
          <cell r="X8">
            <v>41</v>
          </cell>
          <cell r="Y8">
            <v>5</v>
          </cell>
          <cell r="Z8">
            <v>11</v>
          </cell>
          <cell r="AA8">
            <v>0</v>
          </cell>
          <cell r="AB8">
            <v>0</v>
          </cell>
          <cell r="AC8">
            <v>31</v>
          </cell>
          <cell r="AD8">
            <v>0</v>
          </cell>
          <cell r="AE8">
            <v>5</v>
          </cell>
          <cell r="AF8">
            <v>3</v>
          </cell>
          <cell r="AG8">
            <v>0</v>
          </cell>
          <cell r="AH8">
            <v>0</v>
          </cell>
          <cell r="AI8">
            <v>291</v>
          </cell>
          <cell r="AJ8">
            <v>41</v>
          </cell>
          <cell r="AK8">
            <v>19</v>
          </cell>
        </row>
        <row r="9">
          <cell r="A9">
            <v>2</v>
          </cell>
          <cell r="B9" t="str">
            <v>Alas Malang BWI</v>
          </cell>
          <cell r="C9">
            <v>350710002</v>
          </cell>
          <cell r="D9">
            <v>51</v>
          </cell>
          <cell r="E9">
            <v>8</v>
          </cell>
          <cell r="F9">
            <v>50</v>
          </cell>
          <cell r="G9">
            <v>2</v>
          </cell>
          <cell r="H9">
            <v>0</v>
          </cell>
          <cell r="I9">
            <v>0</v>
          </cell>
          <cell r="J9">
            <v>22</v>
          </cell>
          <cell r="K9">
            <v>15</v>
          </cell>
          <cell r="L9">
            <v>0</v>
          </cell>
          <cell r="M9">
            <v>72</v>
          </cell>
          <cell r="N9">
            <v>0</v>
          </cell>
          <cell r="O9">
            <v>26</v>
          </cell>
          <cell r="P9">
            <v>0</v>
          </cell>
          <cell r="Q9">
            <v>0</v>
          </cell>
          <cell r="R9">
            <v>0</v>
          </cell>
          <cell r="S9">
            <v>9</v>
          </cell>
          <cell r="T9">
            <v>0</v>
          </cell>
          <cell r="U9">
            <v>16</v>
          </cell>
          <cell r="V9">
            <v>10</v>
          </cell>
          <cell r="W9">
            <v>2</v>
          </cell>
          <cell r="X9">
            <v>8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10</v>
          </cell>
          <cell r="AD9">
            <v>24</v>
          </cell>
          <cell r="AE9">
            <v>0</v>
          </cell>
          <cell r="AF9">
            <v>20</v>
          </cell>
          <cell r="AG9">
            <v>0</v>
          </cell>
          <cell r="AH9">
            <v>0</v>
          </cell>
          <cell r="AI9">
            <v>345</v>
          </cell>
          <cell r="AJ9">
            <v>72</v>
          </cell>
          <cell r="AK9">
            <v>16</v>
          </cell>
        </row>
        <row r="10">
          <cell r="A10">
            <v>3</v>
          </cell>
          <cell r="B10" t="str">
            <v>Bajulmati</v>
          </cell>
          <cell r="C10">
            <v>350710003</v>
          </cell>
          <cell r="D10">
            <v>62</v>
          </cell>
          <cell r="E10">
            <v>12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7</v>
          </cell>
          <cell r="L10">
            <v>0</v>
          </cell>
          <cell r="M10">
            <v>27</v>
          </cell>
          <cell r="N10">
            <v>0</v>
          </cell>
          <cell r="O10">
            <v>23</v>
          </cell>
          <cell r="P10">
            <v>52</v>
          </cell>
          <cell r="Q10">
            <v>11</v>
          </cell>
          <cell r="R10">
            <v>0</v>
          </cell>
          <cell r="S10">
            <v>6</v>
          </cell>
          <cell r="T10">
            <v>0</v>
          </cell>
          <cell r="U10">
            <v>7</v>
          </cell>
          <cell r="V10">
            <v>11</v>
          </cell>
          <cell r="W10">
            <v>11</v>
          </cell>
          <cell r="X10">
            <v>31</v>
          </cell>
          <cell r="Y10">
            <v>0</v>
          </cell>
          <cell r="Z10">
            <v>10</v>
          </cell>
          <cell r="AA10">
            <v>0</v>
          </cell>
          <cell r="AB10">
            <v>0</v>
          </cell>
          <cell r="AC10">
            <v>5</v>
          </cell>
          <cell r="AD10">
            <v>0</v>
          </cell>
          <cell r="AE10">
            <v>26</v>
          </cell>
          <cell r="AF10">
            <v>19</v>
          </cell>
          <cell r="AG10">
            <v>30</v>
          </cell>
          <cell r="AH10">
            <v>5</v>
          </cell>
          <cell r="AI10">
            <v>355</v>
          </cell>
          <cell r="AJ10">
            <v>62</v>
          </cell>
          <cell r="AK10">
            <v>18</v>
          </cell>
        </row>
        <row r="11">
          <cell r="A11">
            <v>4</v>
          </cell>
          <cell r="B11" t="str">
            <v>Blambangan BWI</v>
          </cell>
          <cell r="C11">
            <v>350710004</v>
          </cell>
          <cell r="D11">
            <v>5</v>
          </cell>
          <cell r="E11">
            <v>15</v>
          </cell>
          <cell r="F11">
            <v>34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49</v>
          </cell>
          <cell r="L11">
            <v>0</v>
          </cell>
          <cell r="M11">
            <v>41</v>
          </cell>
          <cell r="N11">
            <v>0</v>
          </cell>
          <cell r="O11">
            <v>20</v>
          </cell>
          <cell r="P11">
            <v>0</v>
          </cell>
          <cell r="Q11">
            <v>16</v>
          </cell>
          <cell r="R11">
            <v>0</v>
          </cell>
          <cell r="S11">
            <v>9</v>
          </cell>
          <cell r="T11">
            <v>0</v>
          </cell>
          <cell r="U11">
            <v>5</v>
          </cell>
          <cell r="V11">
            <v>29</v>
          </cell>
          <cell r="W11">
            <v>7</v>
          </cell>
          <cell r="X11">
            <v>3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20</v>
          </cell>
          <cell r="AF11">
            <v>0</v>
          </cell>
          <cell r="AG11">
            <v>0</v>
          </cell>
          <cell r="AH11">
            <v>0</v>
          </cell>
          <cell r="AI11">
            <v>253</v>
          </cell>
          <cell r="AJ11">
            <v>49</v>
          </cell>
          <cell r="AK11">
            <v>13</v>
          </cell>
        </row>
        <row r="12">
          <cell r="A12">
            <v>5</v>
          </cell>
          <cell r="B12" t="str">
            <v>Cab.Din. Banyuwangi</v>
          </cell>
          <cell r="C12">
            <v>350710005</v>
          </cell>
          <cell r="D12">
            <v>1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7</v>
          </cell>
          <cell r="K12">
            <v>0</v>
          </cell>
          <cell r="L12">
            <v>93</v>
          </cell>
          <cell r="M12">
            <v>5</v>
          </cell>
          <cell r="N12">
            <v>4</v>
          </cell>
          <cell r="O12">
            <v>0</v>
          </cell>
          <cell r="P12">
            <v>10</v>
          </cell>
          <cell r="Q12">
            <v>0</v>
          </cell>
          <cell r="R12">
            <v>25</v>
          </cell>
          <cell r="S12">
            <v>0</v>
          </cell>
          <cell r="T12">
            <v>10</v>
          </cell>
          <cell r="U12">
            <v>45</v>
          </cell>
          <cell r="V12">
            <v>31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35</v>
          </cell>
          <cell r="AD12">
            <v>0</v>
          </cell>
          <cell r="AE12">
            <v>20</v>
          </cell>
          <cell r="AF12">
            <v>0</v>
          </cell>
          <cell r="AG12">
            <v>0</v>
          </cell>
          <cell r="AH12">
            <v>0</v>
          </cell>
          <cell r="AI12">
            <v>288</v>
          </cell>
          <cell r="AJ12">
            <v>93</v>
          </cell>
          <cell r="AK12">
            <v>13</v>
          </cell>
        </row>
        <row r="13">
          <cell r="A13">
            <v>6</v>
          </cell>
          <cell r="B13" t="str">
            <v>Cluring</v>
          </cell>
          <cell r="C13">
            <v>350710006</v>
          </cell>
          <cell r="D13">
            <v>16</v>
          </cell>
          <cell r="E13">
            <v>12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</v>
          </cell>
          <cell r="L13">
            <v>30</v>
          </cell>
          <cell r="M13">
            <v>50</v>
          </cell>
          <cell r="N13">
            <v>8</v>
          </cell>
          <cell r="O13">
            <v>5</v>
          </cell>
          <cell r="P13">
            <v>7</v>
          </cell>
          <cell r="Q13">
            <v>0</v>
          </cell>
          <cell r="R13">
            <v>0</v>
          </cell>
          <cell r="S13">
            <v>18</v>
          </cell>
          <cell r="T13">
            <v>20</v>
          </cell>
          <cell r="U13">
            <v>64</v>
          </cell>
          <cell r="V13">
            <v>25</v>
          </cell>
          <cell r="W13">
            <v>33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296</v>
          </cell>
          <cell r="AJ13">
            <v>64</v>
          </cell>
          <cell r="AK13">
            <v>13</v>
          </cell>
        </row>
        <row r="14">
          <cell r="A14">
            <v>7</v>
          </cell>
          <cell r="B14" t="str">
            <v>Dadapan</v>
          </cell>
          <cell r="C14">
            <v>350710007</v>
          </cell>
          <cell r="D14">
            <v>42</v>
          </cell>
          <cell r="E14">
            <v>16</v>
          </cell>
          <cell r="F14">
            <v>25</v>
          </cell>
          <cell r="G14">
            <v>0</v>
          </cell>
          <cell r="H14">
            <v>0</v>
          </cell>
          <cell r="I14">
            <v>0</v>
          </cell>
          <cell r="J14">
            <v>37</v>
          </cell>
          <cell r="K14">
            <v>17</v>
          </cell>
          <cell r="L14">
            <v>0</v>
          </cell>
          <cell r="M14">
            <v>117</v>
          </cell>
          <cell r="N14">
            <v>0</v>
          </cell>
          <cell r="O14">
            <v>2</v>
          </cell>
          <cell r="P14">
            <v>0</v>
          </cell>
          <cell r="Q14">
            <v>42</v>
          </cell>
          <cell r="R14">
            <v>0</v>
          </cell>
          <cell r="S14">
            <v>43</v>
          </cell>
          <cell r="T14">
            <v>0</v>
          </cell>
          <cell r="U14">
            <v>14</v>
          </cell>
          <cell r="V14">
            <v>44</v>
          </cell>
          <cell r="W14">
            <v>27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32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458</v>
          </cell>
          <cell r="AJ14">
            <v>117</v>
          </cell>
          <cell r="AK14">
            <v>13</v>
          </cell>
        </row>
        <row r="15">
          <cell r="A15">
            <v>8</v>
          </cell>
          <cell r="B15" t="str">
            <v>Gambor</v>
          </cell>
          <cell r="C15">
            <v>350710008</v>
          </cell>
          <cell r="D15">
            <v>22</v>
          </cell>
          <cell r="E15">
            <v>7</v>
          </cell>
          <cell r="F15">
            <v>49</v>
          </cell>
          <cell r="G15">
            <v>0</v>
          </cell>
          <cell r="H15">
            <v>0</v>
          </cell>
          <cell r="I15">
            <v>0</v>
          </cell>
          <cell r="J15">
            <v>15</v>
          </cell>
          <cell r="K15">
            <v>0</v>
          </cell>
          <cell r="L15">
            <v>16</v>
          </cell>
          <cell r="M15">
            <v>76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12</v>
          </cell>
          <cell r="S15">
            <v>26</v>
          </cell>
          <cell r="T15">
            <v>0</v>
          </cell>
          <cell r="U15">
            <v>44</v>
          </cell>
          <cell r="V15">
            <v>13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8</v>
          </cell>
          <cell r="AD15">
            <v>29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317</v>
          </cell>
          <cell r="AJ15">
            <v>76</v>
          </cell>
          <cell r="AK15">
            <v>12</v>
          </cell>
        </row>
        <row r="16">
          <cell r="A16">
            <v>9</v>
          </cell>
          <cell r="B16" t="str">
            <v>Genteng I</v>
          </cell>
          <cell r="C16">
            <v>350710009</v>
          </cell>
          <cell r="D16">
            <v>0</v>
          </cell>
          <cell r="E16">
            <v>15</v>
          </cell>
          <cell r="F16">
            <v>5</v>
          </cell>
          <cell r="G16">
            <v>5</v>
          </cell>
          <cell r="H16">
            <v>0</v>
          </cell>
          <cell r="I16">
            <v>0</v>
          </cell>
          <cell r="J16">
            <v>0</v>
          </cell>
          <cell r="K16">
            <v>10</v>
          </cell>
          <cell r="L16">
            <v>0</v>
          </cell>
          <cell r="M16">
            <v>43</v>
          </cell>
          <cell r="N16">
            <v>25</v>
          </cell>
          <cell r="O16">
            <v>39</v>
          </cell>
          <cell r="P16">
            <v>7</v>
          </cell>
          <cell r="Q16">
            <v>31</v>
          </cell>
          <cell r="R16">
            <v>0</v>
          </cell>
          <cell r="S16">
            <v>6</v>
          </cell>
          <cell r="T16">
            <v>62</v>
          </cell>
          <cell r="U16">
            <v>21</v>
          </cell>
          <cell r="V16">
            <v>6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19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294</v>
          </cell>
          <cell r="AJ16">
            <v>62</v>
          </cell>
          <cell r="AK16">
            <v>14</v>
          </cell>
        </row>
        <row r="17">
          <cell r="A17">
            <v>10</v>
          </cell>
          <cell r="B17" t="str">
            <v>Genteng II</v>
          </cell>
          <cell r="C17">
            <v>350710010</v>
          </cell>
          <cell r="D17">
            <v>0</v>
          </cell>
          <cell r="E17">
            <v>0</v>
          </cell>
          <cell r="F17">
            <v>25</v>
          </cell>
          <cell r="G17">
            <v>5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38</v>
          </cell>
          <cell r="M17">
            <v>45</v>
          </cell>
          <cell r="N17">
            <v>30</v>
          </cell>
          <cell r="O17">
            <v>32</v>
          </cell>
          <cell r="P17">
            <v>5</v>
          </cell>
          <cell r="Q17">
            <v>25</v>
          </cell>
          <cell r="R17">
            <v>0</v>
          </cell>
          <cell r="S17">
            <v>0</v>
          </cell>
          <cell r="T17">
            <v>30</v>
          </cell>
          <cell r="U17">
            <v>27</v>
          </cell>
          <cell r="V17">
            <v>5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12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279</v>
          </cell>
          <cell r="AJ17">
            <v>45</v>
          </cell>
          <cell r="AK17">
            <v>12</v>
          </cell>
        </row>
        <row r="18">
          <cell r="A18">
            <v>11</v>
          </cell>
          <cell r="B18" t="str">
            <v>Glagah BWI</v>
          </cell>
          <cell r="C18">
            <v>350710011</v>
          </cell>
          <cell r="D18">
            <v>5</v>
          </cell>
          <cell r="E18">
            <v>10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15</v>
          </cell>
          <cell r="O18">
            <v>20</v>
          </cell>
          <cell r="P18">
            <v>10</v>
          </cell>
          <cell r="Q18">
            <v>5</v>
          </cell>
          <cell r="R18">
            <v>15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15</v>
          </cell>
          <cell r="AH18">
            <v>5</v>
          </cell>
          <cell r="AI18">
            <v>100</v>
          </cell>
          <cell r="AJ18">
            <v>20</v>
          </cell>
          <cell r="AK18">
            <v>9</v>
          </cell>
        </row>
        <row r="19">
          <cell r="A19">
            <v>12</v>
          </cell>
          <cell r="B19" t="str">
            <v>Glenfaloch</v>
          </cell>
          <cell r="C19">
            <v>350710012</v>
          </cell>
          <cell r="D19">
            <v>0</v>
          </cell>
          <cell r="E19">
            <v>35</v>
          </cell>
          <cell r="F19">
            <v>0</v>
          </cell>
          <cell r="G19">
            <v>3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10</v>
          </cell>
          <cell r="N19">
            <v>27</v>
          </cell>
          <cell r="O19">
            <v>2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12</v>
          </cell>
          <cell r="U19">
            <v>0</v>
          </cell>
          <cell r="V19">
            <v>23</v>
          </cell>
          <cell r="W19">
            <v>2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16</v>
          </cell>
          <cell r="AC19">
            <v>13</v>
          </cell>
          <cell r="AD19">
            <v>0</v>
          </cell>
          <cell r="AE19">
            <v>6</v>
          </cell>
          <cell r="AF19">
            <v>0</v>
          </cell>
          <cell r="AG19">
            <v>0</v>
          </cell>
          <cell r="AH19">
            <v>0</v>
          </cell>
          <cell r="AI19">
            <v>150</v>
          </cell>
          <cell r="AJ19">
            <v>35</v>
          </cell>
          <cell r="AK19">
            <v>12</v>
          </cell>
        </row>
        <row r="20">
          <cell r="A20">
            <v>13</v>
          </cell>
          <cell r="B20" t="str">
            <v>Grajagan</v>
          </cell>
          <cell r="C20">
            <v>350710013</v>
          </cell>
          <cell r="D20">
            <v>4</v>
          </cell>
          <cell r="E20">
            <v>6</v>
          </cell>
          <cell r="F20">
            <v>7</v>
          </cell>
          <cell r="G20">
            <v>4</v>
          </cell>
          <cell r="H20">
            <v>0</v>
          </cell>
          <cell r="I20">
            <v>0</v>
          </cell>
          <cell r="J20">
            <v>0</v>
          </cell>
          <cell r="K20">
            <v>8</v>
          </cell>
          <cell r="L20">
            <v>2</v>
          </cell>
          <cell r="M20">
            <v>0</v>
          </cell>
          <cell r="N20">
            <v>3</v>
          </cell>
          <cell r="O20">
            <v>7</v>
          </cell>
          <cell r="P20">
            <v>48</v>
          </cell>
          <cell r="Q20">
            <v>4</v>
          </cell>
          <cell r="R20">
            <v>0</v>
          </cell>
          <cell r="S20">
            <v>4</v>
          </cell>
          <cell r="T20">
            <v>0</v>
          </cell>
          <cell r="U20">
            <v>26</v>
          </cell>
          <cell r="V20">
            <v>0</v>
          </cell>
          <cell r="W20">
            <v>17</v>
          </cell>
          <cell r="X20">
            <v>0</v>
          </cell>
          <cell r="Y20">
            <v>0</v>
          </cell>
          <cell r="Z20">
            <v>3</v>
          </cell>
          <cell r="AA20">
            <v>0</v>
          </cell>
          <cell r="AB20">
            <v>0</v>
          </cell>
          <cell r="AC20">
            <v>0</v>
          </cell>
          <cell r="AD20">
            <v>8</v>
          </cell>
          <cell r="AE20">
            <v>2</v>
          </cell>
          <cell r="AF20">
            <v>6</v>
          </cell>
          <cell r="AG20">
            <v>0</v>
          </cell>
          <cell r="AH20">
            <v>0</v>
          </cell>
          <cell r="AI20">
            <v>159</v>
          </cell>
          <cell r="AJ20">
            <v>48</v>
          </cell>
          <cell r="AK20">
            <v>17</v>
          </cell>
        </row>
        <row r="21">
          <cell r="A21">
            <v>14</v>
          </cell>
          <cell r="B21" t="str">
            <v>Jambewangi</v>
          </cell>
          <cell r="C21">
            <v>350710014</v>
          </cell>
          <cell r="D21">
            <v>18</v>
          </cell>
          <cell r="E21">
            <v>45</v>
          </cell>
          <cell r="F21">
            <v>6</v>
          </cell>
          <cell r="G21">
            <v>0</v>
          </cell>
          <cell r="H21">
            <v>4</v>
          </cell>
          <cell r="I21">
            <v>0</v>
          </cell>
          <cell r="J21">
            <v>0</v>
          </cell>
          <cell r="K21">
            <v>16</v>
          </cell>
          <cell r="L21">
            <v>0</v>
          </cell>
          <cell r="M21">
            <v>73</v>
          </cell>
          <cell r="N21">
            <v>13</v>
          </cell>
          <cell r="O21">
            <v>10</v>
          </cell>
          <cell r="P21">
            <v>0</v>
          </cell>
          <cell r="Q21">
            <v>102</v>
          </cell>
          <cell r="R21">
            <v>0</v>
          </cell>
          <cell r="S21">
            <v>3</v>
          </cell>
          <cell r="T21">
            <v>19</v>
          </cell>
          <cell r="U21">
            <v>8</v>
          </cell>
          <cell r="V21">
            <v>7</v>
          </cell>
          <cell r="W21">
            <v>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46</v>
          </cell>
          <cell r="AC21">
            <v>0</v>
          </cell>
          <cell r="AD21">
            <v>43</v>
          </cell>
          <cell r="AE21">
            <v>0</v>
          </cell>
          <cell r="AF21">
            <v>21</v>
          </cell>
          <cell r="AG21">
            <v>46</v>
          </cell>
          <cell r="AH21">
            <v>0</v>
          </cell>
          <cell r="AI21">
            <v>495</v>
          </cell>
          <cell r="AJ21">
            <v>102</v>
          </cell>
          <cell r="AK21">
            <v>18</v>
          </cell>
        </row>
        <row r="22">
          <cell r="A22">
            <v>15</v>
          </cell>
          <cell r="B22" t="str">
            <v>Jatirono</v>
          </cell>
          <cell r="C22">
            <v>350710015</v>
          </cell>
          <cell r="D22">
            <v>0</v>
          </cell>
          <cell r="E22">
            <v>0</v>
          </cell>
          <cell r="F22">
            <v>15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16</v>
          </cell>
          <cell r="M22">
            <v>9</v>
          </cell>
          <cell r="N22">
            <v>9</v>
          </cell>
          <cell r="O22">
            <v>0</v>
          </cell>
          <cell r="P22">
            <v>3</v>
          </cell>
          <cell r="Q22">
            <v>0</v>
          </cell>
          <cell r="R22">
            <v>0</v>
          </cell>
          <cell r="S22">
            <v>2</v>
          </cell>
          <cell r="T22">
            <v>3</v>
          </cell>
          <cell r="U22">
            <v>5</v>
          </cell>
          <cell r="V22">
            <v>22</v>
          </cell>
          <cell r="W22">
            <v>5</v>
          </cell>
          <cell r="X22">
            <v>0</v>
          </cell>
          <cell r="Y22">
            <v>3</v>
          </cell>
          <cell r="Z22">
            <v>0</v>
          </cell>
          <cell r="AA22">
            <v>0</v>
          </cell>
          <cell r="AB22">
            <v>10</v>
          </cell>
          <cell r="AC22">
            <v>26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128</v>
          </cell>
          <cell r="AJ22">
            <v>26</v>
          </cell>
          <cell r="AK22">
            <v>13</v>
          </cell>
        </row>
        <row r="23">
          <cell r="A23">
            <v>16</v>
          </cell>
          <cell r="B23" t="str">
            <v>Kabat / Macan Putih</v>
          </cell>
          <cell r="C23">
            <v>350710016</v>
          </cell>
          <cell r="D23">
            <v>19</v>
          </cell>
          <cell r="E23">
            <v>17</v>
          </cell>
          <cell r="F23">
            <v>42</v>
          </cell>
          <cell r="G23">
            <v>0</v>
          </cell>
          <cell r="H23">
            <v>0</v>
          </cell>
          <cell r="I23">
            <v>0</v>
          </cell>
          <cell r="J23">
            <v>26</v>
          </cell>
          <cell r="K23">
            <v>13</v>
          </cell>
          <cell r="L23">
            <v>0</v>
          </cell>
          <cell r="M23">
            <v>55</v>
          </cell>
          <cell r="N23">
            <v>0</v>
          </cell>
          <cell r="O23">
            <v>0</v>
          </cell>
          <cell r="P23">
            <v>0</v>
          </cell>
          <cell r="Q23">
            <v>45</v>
          </cell>
          <cell r="R23">
            <v>0</v>
          </cell>
          <cell r="S23">
            <v>15</v>
          </cell>
          <cell r="T23">
            <v>0</v>
          </cell>
          <cell r="U23">
            <v>11</v>
          </cell>
          <cell r="V23">
            <v>29</v>
          </cell>
          <cell r="W23">
            <v>16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33</v>
          </cell>
          <cell r="AE23">
            <v>0</v>
          </cell>
          <cell r="AF23">
            <v>29</v>
          </cell>
          <cell r="AG23">
            <v>0</v>
          </cell>
          <cell r="AH23">
            <v>0</v>
          </cell>
          <cell r="AI23">
            <v>350</v>
          </cell>
          <cell r="AJ23">
            <v>55</v>
          </cell>
          <cell r="AK23">
            <v>13</v>
          </cell>
        </row>
        <row r="24">
          <cell r="A24">
            <v>17</v>
          </cell>
          <cell r="B24" t="str">
            <v>Kalibaru</v>
          </cell>
          <cell r="C24">
            <v>350710017</v>
          </cell>
          <cell r="D24">
            <v>18</v>
          </cell>
          <cell r="E24">
            <v>21</v>
          </cell>
          <cell r="F24">
            <v>24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5</v>
          </cell>
          <cell r="L24">
            <v>0</v>
          </cell>
          <cell r="M24">
            <v>28</v>
          </cell>
          <cell r="N24">
            <v>31</v>
          </cell>
          <cell r="O24">
            <v>23</v>
          </cell>
          <cell r="P24">
            <v>9</v>
          </cell>
          <cell r="Q24">
            <v>4</v>
          </cell>
          <cell r="R24">
            <v>0</v>
          </cell>
          <cell r="S24">
            <v>34</v>
          </cell>
          <cell r="T24">
            <v>21</v>
          </cell>
          <cell r="U24">
            <v>10</v>
          </cell>
          <cell r="V24">
            <v>7</v>
          </cell>
          <cell r="W24">
            <v>29</v>
          </cell>
          <cell r="X24">
            <v>6</v>
          </cell>
          <cell r="Y24">
            <v>4</v>
          </cell>
          <cell r="Z24">
            <v>3</v>
          </cell>
          <cell r="AA24">
            <v>1</v>
          </cell>
          <cell r="AB24">
            <v>0</v>
          </cell>
          <cell r="AC24">
            <v>24</v>
          </cell>
          <cell r="AD24">
            <v>41</v>
          </cell>
          <cell r="AE24">
            <v>0</v>
          </cell>
          <cell r="AF24">
            <v>0</v>
          </cell>
          <cell r="AG24">
            <v>9</v>
          </cell>
          <cell r="AH24">
            <v>0</v>
          </cell>
          <cell r="AI24">
            <v>352</v>
          </cell>
          <cell r="AJ24">
            <v>41</v>
          </cell>
          <cell r="AK24">
            <v>21</v>
          </cell>
        </row>
        <row r="25">
          <cell r="A25">
            <v>18</v>
          </cell>
          <cell r="B25" t="str">
            <v>Kalipuro</v>
          </cell>
          <cell r="C25">
            <v>350710018</v>
          </cell>
          <cell r="D25">
            <v>0</v>
          </cell>
          <cell r="E25">
            <v>10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30</v>
          </cell>
          <cell r="L25">
            <v>96</v>
          </cell>
          <cell r="M25">
            <v>60</v>
          </cell>
          <cell r="N25">
            <v>30</v>
          </cell>
          <cell r="O25">
            <v>0</v>
          </cell>
          <cell r="P25">
            <v>97</v>
          </cell>
          <cell r="Q25">
            <v>0</v>
          </cell>
          <cell r="R25">
            <v>0</v>
          </cell>
          <cell r="S25">
            <v>0</v>
          </cell>
          <cell r="T25">
            <v>30</v>
          </cell>
          <cell r="U25">
            <v>3</v>
          </cell>
          <cell r="V25">
            <v>40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</v>
          </cell>
          <cell r="AD25">
            <v>0</v>
          </cell>
          <cell r="AE25">
            <v>0</v>
          </cell>
          <cell r="AF25">
            <v>0</v>
          </cell>
          <cell r="AG25">
            <v>95</v>
          </cell>
          <cell r="AH25">
            <v>0</v>
          </cell>
          <cell r="AI25">
            <v>494</v>
          </cell>
          <cell r="AJ25">
            <v>97</v>
          </cell>
          <cell r="AK25">
            <v>11</v>
          </cell>
        </row>
        <row r="26">
          <cell r="A26">
            <v>19</v>
          </cell>
          <cell r="B26" t="str">
            <v>Kali Sepanjang</v>
          </cell>
          <cell r="C26">
            <v>350710019</v>
          </cell>
          <cell r="D26">
            <v>79</v>
          </cell>
          <cell r="E26">
            <v>61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29</v>
          </cell>
          <cell r="K26">
            <v>0</v>
          </cell>
          <cell r="L26">
            <v>43</v>
          </cell>
          <cell r="M26">
            <v>36</v>
          </cell>
          <cell r="N26">
            <v>66</v>
          </cell>
          <cell r="O26">
            <v>37</v>
          </cell>
          <cell r="P26">
            <v>24</v>
          </cell>
          <cell r="Q26">
            <v>13</v>
          </cell>
          <cell r="R26">
            <v>44</v>
          </cell>
          <cell r="S26">
            <v>42</v>
          </cell>
          <cell r="T26">
            <v>33</v>
          </cell>
          <cell r="U26">
            <v>41</v>
          </cell>
          <cell r="V26">
            <v>30</v>
          </cell>
          <cell r="W26">
            <v>11</v>
          </cell>
          <cell r="X26">
            <v>0</v>
          </cell>
          <cell r="Y26">
            <v>13</v>
          </cell>
          <cell r="Z26">
            <v>0</v>
          </cell>
          <cell r="AA26">
            <v>0</v>
          </cell>
          <cell r="AB26">
            <v>21</v>
          </cell>
          <cell r="AC26">
            <v>17</v>
          </cell>
          <cell r="AD26">
            <v>31</v>
          </cell>
          <cell r="AE26">
            <v>25</v>
          </cell>
          <cell r="AF26">
            <v>34</v>
          </cell>
          <cell r="AG26">
            <v>0</v>
          </cell>
          <cell r="AH26">
            <v>0</v>
          </cell>
          <cell r="AI26">
            <v>730</v>
          </cell>
          <cell r="AJ26">
            <v>79</v>
          </cell>
          <cell r="AK26">
            <v>21</v>
          </cell>
        </row>
        <row r="27">
          <cell r="A27">
            <v>20</v>
          </cell>
          <cell r="B27" t="str">
            <v>Karang Harjo</v>
          </cell>
          <cell r="C27">
            <v>350710020</v>
          </cell>
          <cell r="D27">
            <v>2</v>
          </cell>
          <cell r="E27">
            <v>24</v>
          </cell>
          <cell r="F27">
            <v>17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38</v>
          </cell>
          <cell r="L27">
            <v>0</v>
          </cell>
          <cell r="M27">
            <v>23</v>
          </cell>
          <cell r="N27">
            <v>19</v>
          </cell>
          <cell r="O27">
            <v>73</v>
          </cell>
          <cell r="P27">
            <v>1</v>
          </cell>
          <cell r="Q27">
            <v>4</v>
          </cell>
          <cell r="R27">
            <v>0</v>
          </cell>
          <cell r="S27">
            <v>21</v>
          </cell>
          <cell r="T27">
            <v>3</v>
          </cell>
          <cell r="U27">
            <v>8</v>
          </cell>
          <cell r="V27">
            <v>3</v>
          </cell>
          <cell r="W27">
            <v>25</v>
          </cell>
          <cell r="X27">
            <v>0</v>
          </cell>
          <cell r="Y27">
            <v>0</v>
          </cell>
          <cell r="Z27">
            <v>1</v>
          </cell>
          <cell r="AA27">
            <v>0</v>
          </cell>
          <cell r="AB27">
            <v>0</v>
          </cell>
          <cell r="AC27">
            <v>16</v>
          </cell>
          <cell r="AD27">
            <v>7</v>
          </cell>
          <cell r="AE27">
            <v>0</v>
          </cell>
          <cell r="AF27">
            <v>4</v>
          </cell>
          <cell r="AG27">
            <v>0</v>
          </cell>
          <cell r="AH27">
            <v>0</v>
          </cell>
          <cell r="AI27">
            <v>290</v>
          </cell>
          <cell r="AJ27">
            <v>73</v>
          </cell>
          <cell r="AK27">
            <v>19</v>
          </cell>
        </row>
        <row r="28">
          <cell r="A28">
            <v>21</v>
          </cell>
          <cell r="B28" t="str">
            <v>Karangdoro</v>
          </cell>
          <cell r="C28">
            <v>350710021</v>
          </cell>
          <cell r="D28">
            <v>24</v>
          </cell>
          <cell r="E28">
            <v>83</v>
          </cell>
          <cell r="F28">
            <v>52</v>
          </cell>
          <cell r="G28">
            <v>7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19</v>
          </cell>
          <cell r="N28">
            <v>0</v>
          </cell>
          <cell r="O28">
            <v>5</v>
          </cell>
          <cell r="P28">
            <v>23</v>
          </cell>
          <cell r="Q28">
            <v>0</v>
          </cell>
          <cell r="R28">
            <v>0</v>
          </cell>
          <cell r="S28">
            <v>9</v>
          </cell>
          <cell r="T28">
            <v>11</v>
          </cell>
          <cell r="U28">
            <v>20</v>
          </cell>
          <cell r="V28">
            <v>0</v>
          </cell>
          <cell r="W28">
            <v>15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268</v>
          </cell>
          <cell r="AJ28">
            <v>83</v>
          </cell>
          <cell r="AK28">
            <v>11</v>
          </cell>
        </row>
        <row r="29">
          <cell r="A29">
            <v>22</v>
          </cell>
          <cell r="B29" t="str">
            <v>Karang Tambak</v>
          </cell>
          <cell r="C29">
            <v>350710022</v>
          </cell>
          <cell r="D29">
            <v>0</v>
          </cell>
          <cell r="E29">
            <v>85</v>
          </cell>
          <cell r="F29">
            <v>0</v>
          </cell>
          <cell r="G29">
            <v>20</v>
          </cell>
          <cell r="H29">
            <v>0</v>
          </cell>
          <cell r="I29">
            <v>9</v>
          </cell>
          <cell r="J29">
            <v>0</v>
          </cell>
          <cell r="K29">
            <v>19</v>
          </cell>
          <cell r="L29">
            <v>0</v>
          </cell>
          <cell r="M29">
            <v>43</v>
          </cell>
          <cell r="N29">
            <v>0</v>
          </cell>
          <cell r="O29">
            <v>5</v>
          </cell>
          <cell r="P29">
            <v>17</v>
          </cell>
          <cell r="Q29">
            <v>0</v>
          </cell>
          <cell r="R29">
            <v>0</v>
          </cell>
          <cell r="S29">
            <v>31</v>
          </cell>
          <cell r="T29">
            <v>1</v>
          </cell>
          <cell r="U29">
            <v>15</v>
          </cell>
          <cell r="V29">
            <v>0</v>
          </cell>
          <cell r="W29">
            <v>33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13</v>
          </cell>
          <cell r="AF29">
            <v>0</v>
          </cell>
          <cell r="AG29">
            <v>0</v>
          </cell>
          <cell r="AH29">
            <v>0</v>
          </cell>
          <cell r="AI29">
            <v>291</v>
          </cell>
          <cell r="AJ29">
            <v>85</v>
          </cell>
          <cell r="AK29">
            <v>12</v>
          </cell>
        </row>
        <row r="30">
          <cell r="A30">
            <v>23</v>
          </cell>
          <cell r="B30" t="str">
            <v>Kebondalem</v>
          </cell>
          <cell r="C30">
            <v>350710024</v>
          </cell>
          <cell r="D30">
            <v>0</v>
          </cell>
          <cell r="E30">
            <v>85</v>
          </cell>
          <cell r="F30">
            <v>42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</v>
          </cell>
          <cell r="N30">
            <v>0</v>
          </cell>
          <cell r="O30">
            <v>0</v>
          </cell>
          <cell r="P30">
            <v>45</v>
          </cell>
          <cell r="Q30">
            <v>0</v>
          </cell>
          <cell r="R30">
            <v>0</v>
          </cell>
          <cell r="S30">
            <v>15</v>
          </cell>
          <cell r="T30">
            <v>0</v>
          </cell>
          <cell r="U30">
            <v>29</v>
          </cell>
          <cell r="V30">
            <v>0</v>
          </cell>
          <cell r="W30">
            <v>15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238</v>
          </cell>
          <cell r="AJ30">
            <v>85</v>
          </cell>
          <cell r="AK30">
            <v>7</v>
          </cell>
        </row>
        <row r="31">
          <cell r="A31">
            <v>24</v>
          </cell>
          <cell r="B31" t="str">
            <v>Kesilir BWI</v>
          </cell>
          <cell r="C31">
            <v>350710025</v>
          </cell>
          <cell r="D31">
            <v>0</v>
          </cell>
          <cell r="E31">
            <v>28</v>
          </cell>
          <cell r="F31">
            <v>14</v>
          </cell>
          <cell r="G31">
            <v>4</v>
          </cell>
          <cell r="H31">
            <v>1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17</v>
          </cell>
          <cell r="N31">
            <v>5</v>
          </cell>
          <cell r="O31">
            <v>2</v>
          </cell>
          <cell r="P31">
            <v>11</v>
          </cell>
          <cell r="Q31">
            <v>0</v>
          </cell>
          <cell r="R31">
            <v>0</v>
          </cell>
          <cell r="S31">
            <v>4</v>
          </cell>
          <cell r="T31">
            <v>5</v>
          </cell>
          <cell r="U31">
            <v>2</v>
          </cell>
          <cell r="V31">
            <v>1</v>
          </cell>
          <cell r="W31">
            <v>2</v>
          </cell>
          <cell r="X31">
            <v>0</v>
          </cell>
          <cell r="Y31">
            <v>0</v>
          </cell>
          <cell r="Z31">
            <v>1</v>
          </cell>
          <cell r="AA31">
            <v>0</v>
          </cell>
          <cell r="AB31">
            <v>0</v>
          </cell>
          <cell r="AC31">
            <v>5</v>
          </cell>
          <cell r="AD31">
            <v>11</v>
          </cell>
          <cell r="AE31">
            <v>5</v>
          </cell>
          <cell r="AF31">
            <v>1</v>
          </cell>
          <cell r="AG31">
            <v>0</v>
          </cell>
          <cell r="AH31">
            <v>0</v>
          </cell>
          <cell r="AI31">
            <v>119</v>
          </cell>
          <cell r="AJ31">
            <v>28</v>
          </cell>
          <cell r="AK31">
            <v>18</v>
          </cell>
        </row>
        <row r="32">
          <cell r="A32">
            <v>25</v>
          </cell>
          <cell r="B32" t="str">
            <v>Licin</v>
          </cell>
          <cell r="C32">
            <v>350710026</v>
          </cell>
          <cell r="D32">
            <v>61</v>
          </cell>
          <cell r="E32">
            <v>17</v>
          </cell>
          <cell r="F32">
            <v>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81</v>
          </cell>
          <cell r="N32">
            <v>47</v>
          </cell>
          <cell r="O32">
            <v>26</v>
          </cell>
          <cell r="P32">
            <v>41</v>
          </cell>
          <cell r="Q32">
            <v>0</v>
          </cell>
          <cell r="R32">
            <v>0</v>
          </cell>
          <cell r="S32">
            <v>9</v>
          </cell>
          <cell r="T32">
            <v>0</v>
          </cell>
          <cell r="U32">
            <v>17</v>
          </cell>
          <cell r="V32">
            <v>42</v>
          </cell>
          <cell r="W32">
            <v>57</v>
          </cell>
          <cell r="X32">
            <v>3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6</v>
          </cell>
          <cell r="AD32">
            <v>20</v>
          </cell>
          <cell r="AE32">
            <v>0</v>
          </cell>
          <cell r="AF32">
            <v>11</v>
          </cell>
          <cell r="AG32">
            <v>9</v>
          </cell>
          <cell r="AH32">
            <v>0</v>
          </cell>
          <cell r="AI32">
            <v>449</v>
          </cell>
          <cell r="AJ32">
            <v>81</v>
          </cell>
          <cell r="AK32">
            <v>16</v>
          </cell>
        </row>
        <row r="33">
          <cell r="A33">
            <v>26</v>
          </cell>
          <cell r="B33" t="str">
            <v>Maelang</v>
          </cell>
          <cell r="C33">
            <v>350710027</v>
          </cell>
          <cell r="D33">
            <v>25</v>
          </cell>
          <cell r="E33">
            <v>59</v>
          </cell>
          <cell r="F33">
            <v>63</v>
          </cell>
          <cell r="G33">
            <v>0</v>
          </cell>
          <cell r="H33">
            <v>0</v>
          </cell>
          <cell r="I33">
            <v>0</v>
          </cell>
          <cell r="J33">
            <v>13</v>
          </cell>
          <cell r="K33">
            <v>0</v>
          </cell>
          <cell r="L33">
            <v>75</v>
          </cell>
          <cell r="M33">
            <v>0</v>
          </cell>
          <cell r="N33">
            <v>0</v>
          </cell>
          <cell r="O33">
            <v>0</v>
          </cell>
          <cell r="P33">
            <v>32</v>
          </cell>
          <cell r="Q33">
            <v>0</v>
          </cell>
          <cell r="R33">
            <v>28</v>
          </cell>
          <cell r="S33">
            <v>0</v>
          </cell>
          <cell r="T33">
            <v>10</v>
          </cell>
          <cell r="U33">
            <v>0</v>
          </cell>
          <cell r="V33">
            <v>19</v>
          </cell>
          <cell r="W33">
            <v>9</v>
          </cell>
          <cell r="X33">
            <v>12</v>
          </cell>
          <cell r="Y33">
            <v>0</v>
          </cell>
          <cell r="Z33">
            <v>6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38</v>
          </cell>
          <cell r="AF33">
            <v>23</v>
          </cell>
          <cell r="AG33">
            <v>3</v>
          </cell>
          <cell r="AH33">
            <v>0</v>
          </cell>
          <cell r="AI33">
            <v>415</v>
          </cell>
          <cell r="AJ33">
            <v>75</v>
          </cell>
          <cell r="AK33">
            <v>15</v>
          </cell>
        </row>
        <row r="34">
          <cell r="A34">
            <v>27</v>
          </cell>
          <cell r="B34" t="str">
            <v>Pagergunung</v>
          </cell>
          <cell r="C34">
            <v>350710028</v>
          </cell>
          <cell r="D34">
            <v>42</v>
          </cell>
          <cell r="E34">
            <v>6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19</v>
          </cell>
          <cell r="K34">
            <v>0</v>
          </cell>
          <cell r="L34">
            <v>8</v>
          </cell>
          <cell r="M34">
            <v>16</v>
          </cell>
          <cell r="N34">
            <v>3</v>
          </cell>
          <cell r="O34">
            <v>23</v>
          </cell>
          <cell r="P34">
            <v>0</v>
          </cell>
          <cell r="Q34">
            <v>0</v>
          </cell>
          <cell r="R34">
            <v>14</v>
          </cell>
          <cell r="S34">
            <v>0</v>
          </cell>
          <cell r="T34">
            <v>51</v>
          </cell>
          <cell r="U34">
            <v>10</v>
          </cell>
          <cell r="V34">
            <v>13</v>
          </cell>
          <cell r="W34">
            <v>6</v>
          </cell>
          <cell r="X34">
            <v>0</v>
          </cell>
          <cell r="Y34">
            <v>0</v>
          </cell>
          <cell r="Z34">
            <v>4</v>
          </cell>
          <cell r="AA34">
            <v>0</v>
          </cell>
          <cell r="AB34">
            <v>3</v>
          </cell>
          <cell r="AC34">
            <v>8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  <cell r="AH34">
            <v>0</v>
          </cell>
          <cell r="AI34">
            <v>227</v>
          </cell>
          <cell r="AJ34">
            <v>51</v>
          </cell>
          <cell r="AK34">
            <v>16</v>
          </cell>
        </row>
        <row r="35">
          <cell r="A35">
            <v>28</v>
          </cell>
          <cell r="B35" t="str">
            <v>Pasewaran</v>
          </cell>
          <cell r="C35">
            <v>350710029</v>
          </cell>
          <cell r="D35">
            <v>41</v>
          </cell>
          <cell r="E35">
            <v>46</v>
          </cell>
          <cell r="F35">
            <v>0</v>
          </cell>
          <cell r="G35">
            <v>0</v>
          </cell>
          <cell r="H35">
            <v>0</v>
          </cell>
          <cell r="I35">
            <v>14</v>
          </cell>
          <cell r="J35">
            <v>12</v>
          </cell>
          <cell r="K35">
            <v>24</v>
          </cell>
          <cell r="L35">
            <v>0</v>
          </cell>
          <cell r="M35">
            <v>52</v>
          </cell>
          <cell r="N35">
            <v>0</v>
          </cell>
          <cell r="O35">
            <v>37</v>
          </cell>
          <cell r="P35">
            <v>48</v>
          </cell>
          <cell r="Q35">
            <v>40</v>
          </cell>
          <cell r="R35">
            <v>9</v>
          </cell>
          <cell r="S35">
            <v>6</v>
          </cell>
          <cell r="T35">
            <v>56</v>
          </cell>
          <cell r="U35">
            <v>0</v>
          </cell>
          <cell r="V35">
            <v>3</v>
          </cell>
          <cell r="W35">
            <v>11</v>
          </cell>
          <cell r="X35">
            <v>27</v>
          </cell>
          <cell r="Y35">
            <v>0</v>
          </cell>
          <cell r="Z35">
            <v>3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35</v>
          </cell>
          <cell r="AG35">
            <v>4</v>
          </cell>
          <cell r="AH35">
            <v>7</v>
          </cell>
          <cell r="AI35">
            <v>475</v>
          </cell>
          <cell r="AJ35">
            <v>56</v>
          </cell>
          <cell r="AK35">
            <v>19</v>
          </cell>
        </row>
        <row r="36">
          <cell r="A36">
            <v>29</v>
          </cell>
          <cell r="B36" t="str">
            <v>Pesanggaran</v>
          </cell>
          <cell r="C36">
            <v>350710030</v>
          </cell>
          <cell r="D36">
            <v>0</v>
          </cell>
          <cell r="E36">
            <v>12</v>
          </cell>
          <cell r="F36">
            <v>31</v>
          </cell>
          <cell r="G36">
            <v>11</v>
          </cell>
          <cell r="H36">
            <v>1</v>
          </cell>
          <cell r="I36">
            <v>5</v>
          </cell>
          <cell r="J36">
            <v>0</v>
          </cell>
          <cell r="K36">
            <v>0</v>
          </cell>
          <cell r="L36">
            <v>0</v>
          </cell>
          <cell r="M36">
            <v>16</v>
          </cell>
          <cell r="N36">
            <v>9</v>
          </cell>
          <cell r="O36">
            <v>0</v>
          </cell>
          <cell r="P36">
            <v>5</v>
          </cell>
          <cell r="Q36">
            <v>0</v>
          </cell>
          <cell r="R36">
            <v>0</v>
          </cell>
          <cell r="S36">
            <v>3</v>
          </cell>
          <cell r="T36">
            <v>5</v>
          </cell>
          <cell r="U36">
            <v>6</v>
          </cell>
          <cell r="V36">
            <v>0</v>
          </cell>
          <cell r="W36">
            <v>19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12</v>
          </cell>
          <cell r="AD36">
            <v>2</v>
          </cell>
          <cell r="AE36">
            <v>3</v>
          </cell>
          <cell r="AF36">
            <v>0</v>
          </cell>
          <cell r="AG36">
            <v>0</v>
          </cell>
          <cell r="AH36">
            <v>0</v>
          </cell>
          <cell r="AI36">
            <v>141</v>
          </cell>
          <cell r="AJ36">
            <v>31</v>
          </cell>
          <cell r="AK36">
            <v>16</v>
          </cell>
        </row>
        <row r="37">
          <cell r="A37">
            <v>30</v>
          </cell>
          <cell r="B37" t="str">
            <v>Plosorejo</v>
          </cell>
          <cell r="C37">
            <v>350710031</v>
          </cell>
          <cell r="D37">
            <v>0</v>
          </cell>
          <cell r="E37">
            <v>74</v>
          </cell>
          <cell r="F37">
            <v>50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32</v>
          </cell>
          <cell r="N37">
            <v>50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63</v>
          </cell>
          <cell r="U37">
            <v>53</v>
          </cell>
          <cell r="V37">
            <v>33</v>
          </cell>
          <cell r="W37">
            <v>41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396</v>
          </cell>
          <cell r="AJ37">
            <v>74</v>
          </cell>
          <cell r="AK37">
            <v>8</v>
          </cell>
        </row>
        <row r="38">
          <cell r="A38">
            <v>31</v>
          </cell>
          <cell r="B38" t="str">
            <v>Purwoharjo</v>
          </cell>
          <cell r="C38">
            <v>350710032</v>
          </cell>
          <cell r="D38">
            <v>27</v>
          </cell>
          <cell r="E38">
            <v>62</v>
          </cell>
          <cell r="F38">
            <v>13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6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20</v>
          </cell>
          <cell r="U38">
            <v>22</v>
          </cell>
          <cell r="V38">
            <v>4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154</v>
          </cell>
          <cell r="AJ38">
            <v>62</v>
          </cell>
          <cell r="AK38">
            <v>7</v>
          </cell>
        </row>
        <row r="39">
          <cell r="A39">
            <v>32</v>
          </cell>
          <cell r="B39" t="str">
            <v>Rogojampi</v>
          </cell>
          <cell r="C39">
            <v>350710033</v>
          </cell>
          <cell r="D39">
            <v>68</v>
          </cell>
          <cell r="E39">
            <v>16</v>
          </cell>
          <cell r="F39">
            <v>30</v>
          </cell>
          <cell r="G39">
            <v>0</v>
          </cell>
          <cell r="H39">
            <v>0</v>
          </cell>
          <cell r="I39">
            <v>0</v>
          </cell>
          <cell r="J39">
            <v>16</v>
          </cell>
          <cell r="K39">
            <v>15</v>
          </cell>
          <cell r="L39">
            <v>0</v>
          </cell>
          <cell r="M39">
            <v>74</v>
          </cell>
          <cell r="N39">
            <v>0</v>
          </cell>
          <cell r="O39">
            <v>67</v>
          </cell>
          <cell r="P39">
            <v>0</v>
          </cell>
          <cell r="Q39">
            <v>26</v>
          </cell>
          <cell r="R39">
            <v>0</v>
          </cell>
          <cell r="S39">
            <v>7</v>
          </cell>
          <cell r="T39">
            <v>0</v>
          </cell>
          <cell r="U39">
            <v>68</v>
          </cell>
          <cell r="V39">
            <v>8</v>
          </cell>
          <cell r="W39">
            <v>7</v>
          </cell>
          <cell r="X39">
            <v>5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7</v>
          </cell>
          <cell r="AD39">
            <v>41</v>
          </cell>
          <cell r="AE39">
            <v>0</v>
          </cell>
          <cell r="AF39">
            <v>44</v>
          </cell>
          <cell r="AG39">
            <v>0</v>
          </cell>
          <cell r="AH39">
            <v>0</v>
          </cell>
          <cell r="AI39">
            <v>499</v>
          </cell>
          <cell r="AJ39">
            <v>74</v>
          </cell>
          <cell r="AK39">
            <v>16</v>
          </cell>
        </row>
        <row r="40">
          <cell r="A40">
            <v>33</v>
          </cell>
          <cell r="B40" t="str">
            <v>Selogiri</v>
          </cell>
          <cell r="C40">
            <v>350710034</v>
          </cell>
          <cell r="D40">
            <v>8</v>
          </cell>
          <cell r="E40">
            <v>34</v>
          </cell>
          <cell r="F40">
            <v>16</v>
          </cell>
          <cell r="G40">
            <v>2</v>
          </cell>
          <cell r="H40">
            <v>1</v>
          </cell>
          <cell r="I40">
            <v>27</v>
          </cell>
          <cell r="J40">
            <v>3</v>
          </cell>
          <cell r="K40">
            <v>30</v>
          </cell>
          <cell r="L40">
            <v>18</v>
          </cell>
          <cell r="M40">
            <v>72</v>
          </cell>
          <cell r="N40">
            <v>21</v>
          </cell>
          <cell r="O40">
            <v>37</v>
          </cell>
          <cell r="P40">
            <v>1</v>
          </cell>
          <cell r="Q40">
            <v>19</v>
          </cell>
          <cell r="R40">
            <v>0</v>
          </cell>
          <cell r="S40">
            <v>1</v>
          </cell>
          <cell r="T40">
            <v>0</v>
          </cell>
          <cell r="U40">
            <v>6</v>
          </cell>
          <cell r="V40">
            <v>28</v>
          </cell>
          <cell r="W40">
            <v>54</v>
          </cell>
          <cell r="X40">
            <v>3</v>
          </cell>
          <cell r="Y40">
            <v>0</v>
          </cell>
          <cell r="Z40">
            <v>9</v>
          </cell>
          <cell r="AA40">
            <v>0</v>
          </cell>
          <cell r="AB40">
            <v>0</v>
          </cell>
          <cell r="AC40">
            <v>0</v>
          </cell>
          <cell r="AD40">
            <v>27</v>
          </cell>
          <cell r="AE40">
            <v>37</v>
          </cell>
          <cell r="AF40">
            <v>66</v>
          </cell>
          <cell r="AG40">
            <v>0</v>
          </cell>
          <cell r="AH40">
            <v>38</v>
          </cell>
          <cell r="AI40">
            <v>558</v>
          </cell>
          <cell r="AJ40">
            <v>72</v>
          </cell>
          <cell r="AK40">
            <v>24</v>
          </cell>
        </row>
        <row r="41">
          <cell r="A41">
            <v>34</v>
          </cell>
          <cell r="B41" t="str">
            <v>Sidomulyo BWI</v>
          </cell>
          <cell r="C41">
            <v>350710035</v>
          </cell>
          <cell r="D41">
            <v>8</v>
          </cell>
          <cell r="E41">
            <v>5</v>
          </cell>
          <cell r="F41">
            <v>0</v>
          </cell>
          <cell r="G41">
            <v>0</v>
          </cell>
          <cell r="H41">
            <v>2</v>
          </cell>
          <cell r="I41">
            <v>0</v>
          </cell>
          <cell r="J41">
            <v>0</v>
          </cell>
          <cell r="K41">
            <v>0</v>
          </cell>
          <cell r="L41">
            <v>17</v>
          </cell>
          <cell r="M41">
            <v>0</v>
          </cell>
          <cell r="N41">
            <v>0</v>
          </cell>
          <cell r="O41">
            <v>4</v>
          </cell>
          <cell r="P41">
            <v>11</v>
          </cell>
          <cell r="Q41">
            <v>5</v>
          </cell>
          <cell r="R41">
            <v>12</v>
          </cell>
          <cell r="S41">
            <v>0</v>
          </cell>
          <cell r="T41">
            <v>45</v>
          </cell>
          <cell r="U41">
            <v>15</v>
          </cell>
          <cell r="V41">
            <v>16</v>
          </cell>
          <cell r="W41">
            <v>0</v>
          </cell>
          <cell r="X41">
            <v>36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25</v>
          </cell>
          <cell r="AD41">
            <v>12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213</v>
          </cell>
          <cell r="AJ41">
            <v>45</v>
          </cell>
          <cell r="AK41">
            <v>14</v>
          </cell>
        </row>
        <row r="42">
          <cell r="A42">
            <v>35</v>
          </cell>
          <cell r="B42" t="str">
            <v>Songgon</v>
          </cell>
          <cell r="C42">
            <v>350710036</v>
          </cell>
          <cell r="D42">
            <v>29</v>
          </cell>
          <cell r="E42">
            <v>20</v>
          </cell>
          <cell r="F42">
            <v>7</v>
          </cell>
          <cell r="G42">
            <v>1</v>
          </cell>
          <cell r="H42">
            <v>0</v>
          </cell>
          <cell r="I42">
            <v>0</v>
          </cell>
          <cell r="J42">
            <v>2</v>
          </cell>
          <cell r="K42">
            <v>19</v>
          </cell>
          <cell r="L42">
            <v>0</v>
          </cell>
          <cell r="M42">
            <v>117</v>
          </cell>
          <cell r="N42">
            <v>6</v>
          </cell>
          <cell r="O42">
            <v>31</v>
          </cell>
          <cell r="P42">
            <v>44</v>
          </cell>
          <cell r="Q42">
            <v>0</v>
          </cell>
          <cell r="R42">
            <v>19</v>
          </cell>
          <cell r="S42">
            <v>0</v>
          </cell>
          <cell r="T42">
            <v>2</v>
          </cell>
          <cell r="U42">
            <v>28</v>
          </cell>
          <cell r="V42">
            <v>95</v>
          </cell>
          <cell r="W42">
            <v>36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5</v>
          </cell>
          <cell r="AD42">
            <v>30</v>
          </cell>
          <cell r="AE42">
            <v>0</v>
          </cell>
          <cell r="AF42">
            <v>10</v>
          </cell>
          <cell r="AG42">
            <v>26</v>
          </cell>
          <cell r="AH42">
            <v>0</v>
          </cell>
          <cell r="AI42">
            <v>527</v>
          </cell>
          <cell r="AJ42">
            <v>117</v>
          </cell>
          <cell r="AK42">
            <v>19</v>
          </cell>
        </row>
        <row r="43">
          <cell r="A43">
            <v>36</v>
          </cell>
          <cell r="B43" t="str">
            <v>Sukonatar</v>
          </cell>
          <cell r="C43">
            <v>350710037</v>
          </cell>
          <cell r="D43">
            <v>0</v>
          </cell>
          <cell r="E43">
            <v>0</v>
          </cell>
          <cell r="F43">
            <v>18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18</v>
          </cell>
          <cell r="M43">
            <v>70</v>
          </cell>
          <cell r="N43">
            <v>0</v>
          </cell>
          <cell r="O43">
            <v>9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50</v>
          </cell>
          <cell r="U43">
            <v>25</v>
          </cell>
          <cell r="V43">
            <v>16</v>
          </cell>
          <cell r="W43">
            <v>11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36</v>
          </cell>
          <cell r="AF43">
            <v>0</v>
          </cell>
          <cell r="AG43">
            <v>0</v>
          </cell>
          <cell r="AH43">
            <v>0</v>
          </cell>
          <cell r="AI43">
            <v>253</v>
          </cell>
          <cell r="AJ43">
            <v>70</v>
          </cell>
          <cell r="AK43">
            <v>9</v>
          </cell>
        </row>
        <row r="44">
          <cell r="A44">
            <v>37</v>
          </cell>
          <cell r="B44" t="str">
            <v>Sumber Beras</v>
          </cell>
          <cell r="C44">
            <v>350710038</v>
          </cell>
          <cell r="D44">
            <v>6</v>
          </cell>
          <cell r="E44">
            <v>42</v>
          </cell>
          <cell r="F44">
            <v>88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</v>
          </cell>
          <cell r="N44">
            <v>0</v>
          </cell>
          <cell r="O44">
            <v>4</v>
          </cell>
          <cell r="P44">
            <v>0</v>
          </cell>
          <cell r="Q44">
            <v>0</v>
          </cell>
          <cell r="R44">
            <v>0</v>
          </cell>
          <cell r="S44">
            <v>9</v>
          </cell>
          <cell r="T44">
            <v>28</v>
          </cell>
          <cell r="U44">
            <v>17</v>
          </cell>
          <cell r="V44">
            <v>3</v>
          </cell>
          <cell r="W44">
            <v>37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14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308</v>
          </cell>
          <cell r="AJ44">
            <v>88</v>
          </cell>
          <cell r="AK44">
            <v>12</v>
          </cell>
        </row>
        <row r="45">
          <cell r="A45">
            <v>38</v>
          </cell>
          <cell r="B45" t="str">
            <v>Tambong</v>
          </cell>
          <cell r="C45">
            <v>350710039</v>
          </cell>
          <cell r="D45">
            <v>26</v>
          </cell>
          <cell r="E45">
            <v>10</v>
          </cell>
          <cell r="F45">
            <v>68</v>
          </cell>
          <cell r="G45">
            <v>0</v>
          </cell>
          <cell r="H45">
            <v>0</v>
          </cell>
          <cell r="I45">
            <v>0</v>
          </cell>
          <cell r="J45">
            <v>20</v>
          </cell>
          <cell r="K45">
            <v>18</v>
          </cell>
          <cell r="L45">
            <v>0</v>
          </cell>
          <cell r="M45">
            <v>48</v>
          </cell>
          <cell r="N45">
            <v>0</v>
          </cell>
          <cell r="O45">
            <v>40</v>
          </cell>
          <cell r="P45">
            <v>0</v>
          </cell>
          <cell r="Q45">
            <v>28</v>
          </cell>
          <cell r="R45">
            <v>0</v>
          </cell>
          <cell r="S45">
            <v>12</v>
          </cell>
          <cell r="T45">
            <v>0</v>
          </cell>
          <cell r="U45">
            <v>15</v>
          </cell>
          <cell r="V45">
            <v>20</v>
          </cell>
          <cell r="W45">
            <v>19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45</v>
          </cell>
          <cell r="AG45">
            <v>0</v>
          </cell>
          <cell r="AH45">
            <v>0</v>
          </cell>
          <cell r="AI45">
            <v>394</v>
          </cell>
          <cell r="AJ45">
            <v>68</v>
          </cell>
          <cell r="AK45">
            <v>14</v>
          </cell>
        </row>
        <row r="46">
          <cell r="A46">
            <v>39</v>
          </cell>
          <cell r="B46" t="str">
            <v>Tegal dlimo</v>
          </cell>
          <cell r="C46">
            <v>350710040</v>
          </cell>
          <cell r="D46">
            <v>0</v>
          </cell>
          <cell r="E46">
            <v>45</v>
          </cell>
          <cell r="F46">
            <v>22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</v>
          </cell>
          <cell r="N46">
            <v>7</v>
          </cell>
          <cell r="O46">
            <v>3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23</v>
          </cell>
          <cell r="U46">
            <v>28</v>
          </cell>
          <cell r="V46">
            <v>2</v>
          </cell>
          <cell r="W46">
            <v>27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8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170</v>
          </cell>
          <cell r="AJ46">
            <v>45</v>
          </cell>
          <cell r="AK46">
            <v>10</v>
          </cell>
        </row>
        <row r="47">
          <cell r="A47">
            <v>40</v>
          </cell>
          <cell r="B47" t="str">
            <v>Temuguruh</v>
          </cell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5</v>
          </cell>
          <cell r="K47">
            <v>0</v>
          </cell>
          <cell r="L47">
            <v>85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27</v>
          </cell>
          <cell r="S47">
            <v>0</v>
          </cell>
          <cell r="T47">
            <v>0</v>
          </cell>
          <cell r="U47">
            <v>0</v>
          </cell>
          <cell r="V47">
            <v>19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45</v>
          </cell>
          <cell r="AB47">
            <v>0</v>
          </cell>
          <cell r="AC47">
            <v>0</v>
          </cell>
          <cell r="AD47">
            <v>0</v>
          </cell>
          <cell r="AE47">
            <v>27</v>
          </cell>
          <cell r="AF47">
            <v>31</v>
          </cell>
          <cell r="AG47">
            <v>0</v>
          </cell>
          <cell r="AH47">
            <v>0</v>
          </cell>
          <cell r="AI47">
            <v>239</v>
          </cell>
          <cell r="AJ47">
            <v>85</v>
          </cell>
          <cell r="AK47">
            <v>7</v>
          </cell>
        </row>
        <row r="48">
          <cell r="A48">
            <v>41</v>
          </cell>
          <cell r="B48" t="str">
            <v>Turus</v>
          </cell>
          <cell r="C48">
            <v>350710042</v>
          </cell>
          <cell r="D48">
            <v>21</v>
          </cell>
          <cell r="E48">
            <v>20</v>
          </cell>
          <cell r="F48">
            <v>35</v>
          </cell>
          <cell r="G48">
            <v>6</v>
          </cell>
          <cell r="H48">
            <v>0</v>
          </cell>
          <cell r="I48">
            <v>0</v>
          </cell>
          <cell r="J48">
            <v>54</v>
          </cell>
          <cell r="K48">
            <v>2</v>
          </cell>
          <cell r="L48">
            <v>0</v>
          </cell>
          <cell r="M48">
            <v>130</v>
          </cell>
          <cell r="N48">
            <v>12</v>
          </cell>
          <cell r="O48">
            <v>9</v>
          </cell>
          <cell r="P48">
            <v>0</v>
          </cell>
          <cell r="Q48">
            <v>63</v>
          </cell>
          <cell r="R48">
            <v>0</v>
          </cell>
          <cell r="S48">
            <v>25</v>
          </cell>
          <cell r="T48">
            <v>0</v>
          </cell>
          <cell r="U48">
            <v>5</v>
          </cell>
          <cell r="V48">
            <v>8</v>
          </cell>
          <cell r="W48">
            <v>13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15</v>
          </cell>
          <cell r="AD48">
            <v>8</v>
          </cell>
          <cell r="AE48">
            <v>0</v>
          </cell>
          <cell r="AF48">
            <v>69</v>
          </cell>
          <cell r="AG48">
            <v>2</v>
          </cell>
          <cell r="AH48">
            <v>0</v>
          </cell>
          <cell r="AI48">
            <v>497</v>
          </cell>
          <cell r="AJ48">
            <v>130</v>
          </cell>
          <cell r="AK48">
            <v>18</v>
          </cell>
        </row>
        <row r="49">
          <cell r="A49">
            <v>42</v>
          </cell>
          <cell r="B49" t="str">
            <v>Wongsorejo</v>
          </cell>
          <cell r="C49">
            <v>350710043</v>
          </cell>
          <cell r="D49">
            <v>32</v>
          </cell>
          <cell r="E49">
            <v>8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6</v>
          </cell>
          <cell r="L49">
            <v>0</v>
          </cell>
          <cell r="M49">
            <v>24</v>
          </cell>
          <cell r="N49">
            <v>0</v>
          </cell>
          <cell r="O49">
            <v>22</v>
          </cell>
          <cell r="P49">
            <v>10</v>
          </cell>
          <cell r="Q49">
            <v>58</v>
          </cell>
          <cell r="R49">
            <v>0</v>
          </cell>
          <cell r="S49">
            <v>2</v>
          </cell>
          <cell r="T49">
            <v>0</v>
          </cell>
          <cell r="U49">
            <v>4</v>
          </cell>
          <cell r="V49">
            <v>6</v>
          </cell>
          <cell r="W49">
            <v>25</v>
          </cell>
          <cell r="X49">
            <v>73</v>
          </cell>
          <cell r="Y49">
            <v>0</v>
          </cell>
          <cell r="Z49">
            <v>8</v>
          </cell>
          <cell r="AA49">
            <v>0</v>
          </cell>
          <cell r="AB49">
            <v>0</v>
          </cell>
          <cell r="AC49">
            <v>25</v>
          </cell>
          <cell r="AD49">
            <v>0</v>
          </cell>
          <cell r="AE49">
            <v>0</v>
          </cell>
          <cell r="AF49">
            <v>2</v>
          </cell>
          <cell r="AG49">
            <v>2</v>
          </cell>
          <cell r="AH49">
            <v>0</v>
          </cell>
          <cell r="AI49">
            <v>307</v>
          </cell>
          <cell r="AJ49">
            <v>73</v>
          </cell>
          <cell r="AK49">
            <v>16</v>
          </cell>
        </row>
        <row r="50">
          <cell r="A50">
            <v>43</v>
          </cell>
          <cell r="B50" t="str">
            <v>Mangir</v>
          </cell>
          <cell r="C50">
            <v>350710044</v>
          </cell>
          <cell r="D50">
            <v>8</v>
          </cell>
          <cell r="E50">
            <v>0</v>
          </cell>
          <cell r="F50">
            <v>24</v>
          </cell>
          <cell r="G50">
            <v>0</v>
          </cell>
          <cell r="H50">
            <v>0</v>
          </cell>
          <cell r="I50">
            <v>0</v>
          </cell>
          <cell r="J50">
            <v>8</v>
          </cell>
          <cell r="K50">
            <v>23</v>
          </cell>
          <cell r="L50">
            <v>0</v>
          </cell>
          <cell r="M50">
            <v>27</v>
          </cell>
          <cell r="N50">
            <v>0</v>
          </cell>
          <cell r="O50">
            <v>0</v>
          </cell>
          <cell r="P50">
            <v>0</v>
          </cell>
          <cell r="Q50">
            <v>5</v>
          </cell>
          <cell r="R50">
            <v>7</v>
          </cell>
          <cell r="S50">
            <v>30</v>
          </cell>
          <cell r="T50">
            <v>0</v>
          </cell>
          <cell r="U50">
            <v>3</v>
          </cell>
          <cell r="V50">
            <v>7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2</v>
          </cell>
          <cell r="AD50">
            <v>7</v>
          </cell>
          <cell r="AE50">
            <v>0</v>
          </cell>
          <cell r="AF50">
            <v>27</v>
          </cell>
          <cell r="AG50">
            <v>0</v>
          </cell>
          <cell r="AH50">
            <v>0</v>
          </cell>
          <cell r="AI50">
            <v>178</v>
          </cell>
          <cell r="AJ50">
            <v>30</v>
          </cell>
          <cell r="AK50">
            <v>13</v>
          </cell>
        </row>
        <row r="51">
          <cell r="A51">
            <v>44</v>
          </cell>
          <cell r="B51" t="str">
            <v>Bayu Lor</v>
          </cell>
          <cell r="C51">
            <v>350710045</v>
          </cell>
          <cell r="D51">
            <v>18</v>
          </cell>
          <cell r="E51">
            <v>2</v>
          </cell>
          <cell r="F51">
            <v>0</v>
          </cell>
          <cell r="G51">
            <v>2</v>
          </cell>
          <cell r="H51">
            <v>0</v>
          </cell>
          <cell r="I51">
            <v>0</v>
          </cell>
          <cell r="J51">
            <v>5</v>
          </cell>
          <cell r="K51">
            <v>0</v>
          </cell>
          <cell r="L51">
            <v>117</v>
          </cell>
          <cell r="M51">
            <v>6</v>
          </cell>
          <cell r="N51">
            <v>45</v>
          </cell>
          <cell r="O51">
            <v>12</v>
          </cell>
          <cell r="P51">
            <v>54</v>
          </cell>
          <cell r="Q51">
            <v>0</v>
          </cell>
          <cell r="R51">
            <v>2</v>
          </cell>
          <cell r="S51">
            <v>0</v>
          </cell>
          <cell r="T51">
            <v>9</v>
          </cell>
          <cell r="U51">
            <v>41</v>
          </cell>
          <cell r="V51">
            <v>8</v>
          </cell>
          <cell r="W51">
            <v>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6</v>
          </cell>
          <cell r="AC51">
            <v>25</v>
          </cell>
          <cell r="AD51">
            <v>0</v>
          </cell>
          <cell r="AE51">
            <v>5</v>
          </cell>
          <cell r="AF51">
            <v>12</v>
          </cell>
          <cell r="AG51">
            <v>0</v>
          </cell>
          <cell r="AH51">
            <v>0</v>
          </cell>
          <cell r="AI51">
            <v>370</v>
          </cell>
          <cell r="AJ51">
            <v>117</v>
          </cell>
          <cell r="AK51">
            <v>18</v>
          </cell>
        </row>
      </sheetData>
      <sheetData sheetId="3">
        <row r="8">
          <cell r="C8">
            <v>350710001</v>
          </cell>
          <cell r="D8">
            <v>2</v>
          </cell>
          <cell r="E8">
            <v>0</v>
          </cell>
          <cell r="F8">
            <v>0</v>
          </cell>
          <cell r="G8">
            <v>0</v>
          </cell>
          <cell r="H8">
            <v>6</v>
          </cell>
          <cell r="I8">
            <v>6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7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13</v>
          </cell>
          <cell r="U8">
            <v>3</v>
          </cell>
          <cell r="V8">
            <v>0</v>
          </cell>
          <cell r="W8">
            <v>0</v>
          </cell>
          <cell r="X8">
            <v>5</v>
          </cell>
          <cell r="Y8">
            <v>10</v>
          </cell>
          <cell r="Z8">
            <v>0</v>
          </cell>
          <cell r="AA8">
            <v>0</v>
          </cell>
          <cell r="AB8">
            <v>6</v>
          </cell>
          <cell r="AC8">
            <v>19</v>
          </cell>
          <cell r="AD8">
            <v>34</v>
          </cell>
          <cell r="AE8">
            <v>0</v>
          </cell>
          <cell r="AI8">
            <v>118</v>
          </cell>
          <cell r="AJ8">
            <v>34</v>
          </cell>
          <cell r="AK8">
            <v>13</v>
          </cell>
        </row>
        <row r="9">
          <cell r="C9">
            <v>350710002</v>
          </cell>
          <cell r="D9">
            <v>0</v>
          </cell>
          <cell r="E9">
            <v>14</v>
          </cell>
          <cell r="F9">
            <v>10</v>
          </cell>
          <cell r="G9">
            <v>0</v>
          </cell>
          <cell r="H9">
            <v>0</v>
          </cell>
          <cell r="I9">
            <v>13</v>
          </cell>
          <cell r="J9">
            <v>0</v>
          </cell>
          <cell r="K9">
            <v>9</v>
          </cell>
          <cell r="L9">
            <v>4</v>
          </cell>
          <cell r="M9">
            <v>23</v>
          </cell>
          <cell r="N9">
            <v>4</v>
          </cell>
          <cell r="O9">
            <v>0</v>
          </cell>
          <cell r="P9">
            <v>0</v>
          </cell>
          <cell r="Q9">
            <v>0</v>
          </cell>
          <cell r="R9">
            <v>7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3</v>
          </cell>
          <cell r="Z9">
            <v>0</v>
          </cell>
          <cell r="AA9">
            <v>2</v>
          </cell>
          <cell r="AB9">
            <v>4</v>
          </cell>
          <cell r="AC9">
            <v>0</v>
          </cell>
          <cell r="AD9">
            <v>3</v>
          </cell>
          <cell r="AE9">
            <v>0</v>
          </cell>
          <cell r="AI9">
            <v>98</v>
          </cell>
          <cell r="AJ9">
            <v>23</v>
          </cell>
          <cell r="AK9">
            <v>13</v>
          </cell>
        </row>
        <row r="10">
          <cell r="C10">
            <v>350710003</v>
          </cell>
          <cell r="D10">
            <v>41</v>
          </cell>
          <cell r="E10">
            <v>21</v>
          </cell>
          <cell r="F10">
            <v>0</v>
          </cell>
          <cell r="G10">
            <v>0</v>
          </cell>
          <cell r="H10">
            <v>0</v>
          </cell>
          <cell r="I10">
            <v>69</v>
          </cell>
          <cell r="J10">
            <v>8</v>
          </cell>
          <cell r="K10">
            <v>0</v>
          </cell>
          <cell r="L10">
            <v>0</v>
          </cell>
          <cell r="M10">
            <v>11</v>
          </cell>
          <cell r="N10">
            <v>3</v>
          </cell>
          <cell r="O10">
            <v>11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12</v>
          </cell>
          <cell r="U10">
            <v>7</v>
          </cell>
          <cell r="V10">
            <v>3</v>
          </cell>
          <cell r="W10">
            <v>0</v>
          </cell>
          <cell r="X10">
            <v>32</v>
          </cell>
          <cell r="Y10">
            <v>11</v>
          </cell>
          <cell r="Z10">
            <v>0</v>
          </cell>
          <cell r="AA10">
            <v>0</v>
          </cell>
          <cell r="AB10">
            <v>8</v>
          </cell>
          <cell r="AC10">
            <v>4</v>
          </cell>
          <cell r="AD10">
            <v>107</v>
          </cell>
          <cell r="AE10">
            <v>0</v>
          </cell>
          <cell r="AI10">
            <v>348</v>
          </cell>
          <cell r="AJ10">
            <v>107</v>
          </cell>
          <cell r="AK10">
            <v>15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15</v>
          </cell>
          <cell r="G11">
            <v>0</v>
          </cell>
          <cell r="H11">
            <v>0</v>
          </cell>
          <cell r="I11">
            <v>27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7</v>
          </cell>
          <cell r="O11">
            <v>15</v>
          </cell>
          <cell r="P11">
            <v>8</v>
          </cell>
          <cell r="Q11">
            <v>11</v>
          </cell>
          <cell r="R11">
            <v>3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  <cell r="AA11">
            <v>0</v>
          </cell>
          <cell r="AB11">
            <v>0</v>
          </cell>
          <cell r="AC11">
            <v>7</v>
          </cell>
          <cell r="AD11">
            <v>13</v>
          </cell>
          <cell r="AE11">
            <v>0</v>
          </cell>
          <cell r="AI11">
            <v>111</v>
          </cell>
          <cell r="AJ11">
            <v>27</v>
          </cell>
          <cell r="AK11">
            <v>10</v>
          </cell>
        </row>
        <row r="12">
          <cell r="C12">
            <v>350710005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17</v>
          </cell>
          <cell r="I12">
            <v>0</v>
          </cell>
          <cell r="J12">
            <v>0</v>
          </cell>
          <cell r="K12">
            <v>2</v>
          </cell>
          <cell r="L12">
            <v>25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15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10</v>
          </cell>
          <cell r="Y12">
            <v>0</v>
          </cell>
          <cell r="Z12">
            <v>3</v>
          </cell>
          <cell r="AA12">
            <v>1</v>
          </cell>
          <cell r="AB12">
            <v>8</v>
          </cell>
          <cell r="AC12">
            <v>0</v>
          </cell>
          <cell r="AD12">
            <v>0</v>
          </cell>
          <cell r="AE12">
            <v>0</v>
          </cell>
          <cell r="AI12">
            <v>84</v>
          </cell>
          <cell r="AJ12">
            <v>25</v>
          </cell>
          <cell r="AK12">
            <v>10</v>
          </cell>
        </row>
        <row r="13">
          <cell r="C13">
            <v>350710006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8</v>
          </cell>
          <cell r="K13">
            <v>12</v>
          </cell>
          <cell r="L13">
            <v>6</v>
          </cell>
          <cell r="M13">
            <v>12</v>
          </cell>
          <cell r="N13">
            <v>9</v>
          </cell>
          <cell r="O13">
            <v>7</v>
          </cell>
          <cell r="P13">
            <v>6</v>
          </cell>
          <cell r="Q13">
            <v>6</v>
          </cell>
          <cell r="R13">
            <v>5</v>
          </cell>
          <cell r="S13">
            <v>0</v>
          </cell>
          <cell r="T13">
            <v>0</v>
          </cell>
          <cell r="U13">
            <v>0</v>
          </cell>
          <cell r="V13">
            <v>5</v>
          </cell>
          <cell r="W13">
            <v>29</v>
          </cell>
          <cell r="X13">
            <v>5</v>
          </cell>
          <cell r="Y13">
            <v>6</v>
          </cell>
          <cell r="Z13">
            <v>5</v>
          </cell>
          <cell r="AA13">
            <v>7</v>
          </cell>
          <cell r="AB13">
            <v>0</v>
          </cell>
          <cell r="AC13">
            <v>37</v>
          </cell>
          <cell r="AD13">
            <v>10</v>
          </cell>
          <cell r="AE13">
            <v>0</v>
          </cell>
          <cell r="AI13">
            <v>175</v>
          </cell>
          <cell r="AJ13">
            <v>37</v>
          </cell>
          <cell r="AK13">
            <v>17</v>
          </cell>
        </row>
        <row r="14">
          <cell r="C14">
            <v>350710007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42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12</v>
          </cell>
          <cell r="Z14">
            <v>3</v>
          </cell>
          <cell r="AA14">
            <v>5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I14">
            <v>74</v>
          </cell>
          <cell r="AJ14">
            <v>42</v>
          </cell>
          <cell r="AK14">
            <v>5</v>
          </cell>
        </row>
        <row r="15">
          <cell r="C15">
            <v>350710008</v>
          </cell>
          <cell r="D15">
            <v>0</v>
          </cell>
          <cell r="E15">
            <v>14</v>
          </cell>
          <cell r="F15">
            <v>0</v>
          </cell>
          <cell r="G15">
            <v>0</v>
          </cell>
          <cell r="H15">
            <v>0</v>
          </cell>
          <cell r="I15">
            <v>36</v>
          </cell>
          <cell r="J15">
            <v>0</v>
          </cell>
          <cell r="K15">
            <v>6</v>
          </cell>
          <cell r="L15">
            <v>36</v>
          </cell>
          <cell r="M15">
            <v>34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8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27</v>
          </cell>
          <cell r="AC15">
            <v>0</v>
          </cell>
          <cell r="AD15">
            <v>6</v>
          </cell>
          <cell r="AE15">
            <v>0</v>
          </cell>
          <cell r="AI15">
            <v>167</v>
          </cell>
          <cell r="AJ15">
            <v>36</v>
          </cell>
          <cell r="AK15">
            <v>8</v>
          </cell>
        </row>
        <row r="16">
          <cell r="C16">
            <v>350710009</v>
          </cell>
          <cell r="D16">
            <v>0</v>
          </cell>
          <cell r="E16">
            <v>7</v>
          </cell>
          <cell r="F16">
            <v>0</v>
          </cell>
          <cell r="G16">
            <v>0</v>
          </cell>
          <cell r="H16">
            <v>0</v>
          </cell>
          <cell r="I16">
            <v>5</v>
          </cell>
          <cell r="J16">
            <v>36</v>
          </cell>
          <cell r="K16">
            <v>18</v>
          </cell>
          <cell r="L16">
            <v>0</v>
          </cell>
          <cell r="M16">
            <v>26</v>
          </cell>
          <cell r="N16">
            <v>6</v>
          </cell>
          <cell r="O16">
            <v>0</v>
          </cell>
          <cell r="P16">
            <v>0</v>
          </cell>
          <cell r="Q16">
            <v>0</v>
          </cell>
          <cell r="R16">
            <v>7</v>
          </cell>
          <cell r="S16">
            <v>16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18</v>
          </cell>
          <cell r="Z16">
            <v>0</v>
          </cell>
          <cell r="AA16">
            <v>0</v>
          </cell>
          <cell r="AB16">
            <v>0</v>
          </cell>
          <cell r="AC16">
            <v>26</v>
          </cell>
          <cell r="AD16">
            <v>9</v>
          </cell>
          <cell r="AE16">
            <v>7</v>
          </cell>
          <cell r="AI16">
            <v>181</v>
          </cell>
          <cell r="AJ16">
            <v>36</v>
          </cell>
          <cell r="AK16">
            <v>12</v>
          </cell>
        </row>
        <row r="17">
          <cell r="C17">
            <v>350710010</v>
          </cell>
          <cell r="D17">
            <v>0</v>
          </cell>
          <cell r="E17">
            <v>30</v>
          </cell>
          <cell r="F17">
            <v>0</v>
          </cell>
          <cell r="G17">
            <v>0</v>
          </cell>
          <cell r="H17">
            <v>0</v>
          </cell>
          <cell r="I17">
            <v>5</v>
          </cell>
          <cell r="J17">
            <v>6</v>
          </cell>
          <cell r="K17">
            <v>10</v>
          </cell>
          <cell r="L17">
            <v>5</v>
          </cell>
          <cell r="M17">
            <v>16</v>
          </cell>
          <cell r="N17">
            <v>5</v>
          </cell>
          <cell r="O17">
            <v>0</v>
          </cell>
          <cell r="P17">
            <v>0</v>
          </cell>
          <cell r="Q17">
            <v>0</v>
          </cell>
          <cell r="R17">
            <v>25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18</v>
          </cell>
          <cell r="Z17">
            <v>0</v>
          </cell>
          <cell r="AA17">
            <v>0</v>
          </cell>
          <cell r="AB17">
            <v>0</v>
          </cell>
          <cell r="AC17">
            <v>7</v>
          </cell>
          <cell r="AD17">
            <v>6</v>
          </cell>
          <cell r="AE17">
            <v>5</v>
          </cell>
          <cell r="AI17">
            <v>138</v>
          </cell>
          <cell r="AJ17">
            <v>30</v>
          </cell>
          <cell r="AK17">
            <v>12</v>
          </cell>
        </row>
        <row r="18">
          <cell r="C18">
            <v>350710011</v>
          </cell>
          <cell r="D18">
            <v>5</v>
          </cell>
          <cell r="E18">
            <v>21</v>
          </cell>
          <cell r="F18">
            <v>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</v>
          </cell>
          <cell r="V18">
            <v>20</v>
          </cell>
          <cell r="W18">
            <v>15</v>
          </cell>
          <cell r="X18">
            <v>20</v>
          </cell>
          <cell r="Y18">
            <v>25</v>
          </cell>
          <cell r="Z18">
            <v>45</v>
          </cell>
          <cell r="AA18">
            <v>45</v>
          </cell>
          <cell r="AB18">
            <v>20</v>
          </cell>
          <cell r="AC18">
            <v>0</v>
          </cell>
          <cell r="AD18">
            <v>0</v>
          </cell>
          <cell r="AE18">
            <v>0</v>
          </cell>
          <cell r="AI18">
            <v>231</v>
          </cell>
          <cell r="AJ18">
            <v>45</v>
          </cell>
          <cell r="AK18">
            <v>11</v>
          </cell>
        </row>
        <row r="19">
          <cell r="C19">
            <v>350710012</v>
          </cell>
          <cell r="D19">
            <v>9</v>
          </cell>
          <cell r="E19">
            <v>54</v>
          </cell>
          <cell r="F19">
            <v>58</v>
          </cell>
          <cell r="G19">
            <v>0</v>
          </cell>
          <cell r="H19">
            <v>0</v>
          </cell>
          <cell r="I19">
            <v>0</v>
          </cell>
          <cell r="J19">
            <v>2</v>
          </cell>
          <cell r="K19">
            <v>18</v>
          </cell>
          <cell r="L19">
            <v>26</v>
          </cell>
          <cell r="M19">
            <v>3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50</v>
          </cell>
          <cell r="S19">
            <v>0</v>
          </cell>
          <cell r="T19">
            <v>41</v>
          </cell>
          <cell r="U19">
            <v>15</v>
          </cell>
          <cell r="V19">
            <v>0</v>
          </cell>
          <cell r="W19">
            <v>0</v>
          </cell>
          <cell r="X19">
            <v>22</v>
          </cell>
          <cell r="Y19">
            <v>0</v>
          </cell>
          <cell r="Z19">
            <v>0</v>
          </cell>
          <cell r="AA19">
            <v>0</v>
          </cell>
          <cell r="AB19">
            <v>68</v>
          </cell>
          <cell r="AC19">
            <v>0</v>
          </cell>
          <cell r="AD19">
            <v>0</v>
          </cell>
          <cell r="AE19">
            <v>0</v>
          </cell>
          <cell r="AI19">
            <v>366</v>
          </cell>
          <cell r="AJ19">
            <v>68</v>
          </cell>
          <cell r="AK19">
            <v>12</v>
          </cell>
        </row>
        <row r="20">
          <cell r="C20">
            <v>350710013</v>
          </cell>
          <cell r="D20">
            <v>0</v>
          </cell>
          <cell r="E20">
            <v>0</v>
          </cell>
          <cell r="F20">
            <v>36</v>
          </cell>
          <cell r="G20">
            <v>7</v>
          </cell>
          <cell r="H20">
            <v>15</v>
          </cell>
          <cell r="I20">
            <v>0</v>
          </cell>
          <cell r="J20">
            <v>26</v>
          </cell>
          <cell r="K20">
            <v>0</v>
          </cell>
          <cell r="L20">
            <v>5</v>
          </cell>
          <cell r="M20">
            <v>23</v>
          </cell>
          <cell r="N20">
            <v>0</v>
          </cell>
          <cell r="O20">
            <v>0</v>
          </cell>
          <cell r="P20">
            <v>0</v>
          </cell>
          <cell r="Q20">
            <v>18</v>
          </cell>
          <cell r="R20">
            <v>8</v>
          </cell>
          <cell r="S20">
            <v>11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10</v>
          </cell>
          <cell r="Z20">
            <v>0</v>
          </cell>
          <cell r="AA20">
            <v>9</v>
          </cell>
          <cell r="AB20">
            <v>0</v>
          </cell>
          <cell r="AC20">
            <v>5</v>
          </cell>
          <cell r="AD20">
            <v>17</v>
          </cell>
          <cell r="AE20">
            <v>0</v>
          </cell>
          <cell r="AI20">
            <v>190</v>
          </cell>
          <cell r="AJ20">
            <v>36</v>
          </cell>
          <cell r="AK20">
            <v>13</v>
          </cell>
        </row>
        <row r="21">
          <cell r="C21">
            <v>350710014</v>
          </cell>
          <cell r="D21">
            <v>0</v>
          </cell>
          <cell r="E21">
            <v>46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26</v>
          </cell>
          <cell r="K21">
            <v>48</v>
          </cell>
          <cell r="L21">
            <v>4</v>
          </cell>
          <cell r="M21">
            <v>22</v>
          </cell>
          <cell r="N21">
            <v>21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17</v>
          </cell>
          <cell r="T21">
            <v>0</v>
          </cell>
          <cell r="U21">
            <v>0</v>
          </cell>
          <cell r="V21">
            <v>0</v>
          </cell>
          <cell r="W21">
            <v>2</v>
          </cell>
          <cell r="X21">
            <v>36</v>
          </cell>
          <cell r="Y21">
            <v>0</v>
          </cell>
          <cell r="Z21">
            <v>0</v>
          </cell>
          <cell r="AA21">
            <v>2</v>
          </cell>
          <cell r="AB21">
            <v>0</v>
          </cell>
          <cell r="AC21">
            <v>11</v>
          </cell>
          <cell r="AD21">
            <v>24</v>
          </cell>
          <cell r="AE21">
            <v>0</v>
          </cell>
          <cell r="AI21">
            <v>259</v>
          </cell>
          <cell r="AJ21">
            <v>48</v>
          </cell>
          <cell r="AK21">
            <v>12</v>
          </cell>
        </row>
        <row r="22">
          <cell r="C22">
            <v>350710015</v>
          </cell>
          <cell r="D22">
            <v>2</v>
          </cell>
          <cell r="E22">
            <v>0</v>
          </cell>
          <cell r="F22">
            <v>0</v>
          </cell>
          <cell r="G22">
            <v>0</v>
          </cell>
          <cell r="H22">
            <v>4</v>
          </cell>
          <cell r="I22">
            <v>12</v>
          </cell>
          <cell r="J22">
            <v>0</v>
          </cell>
          <cell r="K22">
            <v>9</v>
          </cell>
          <cell r="L22">
            <v>3</v>
          </cell>
          <cell r="M22">
            <v>0</v>
          </cell>
          <cell r="N22">
            <v>0</v>
          </cell>
          <cell r="O22">
            <v>0</v>
          </cell>
          <cell r="P22">
            <v>5</v>
          </cell>
          <cell r="Q22">
            <v>4</v>
          </cell>
          <cell r="R22">
            <v>8</v>
          </cell>
          <cell r="S22">
            <v>0</v>
          </cell>
          <cell r="T22">
            <v>8</v>
          </cell>
          <cell r="U22">
            <v>14</v>
          </cell>
          <cell r="V22">
            <v>0</v>
          </cell>
          <cell r="W22">
            <v>0</v>
          </cell>
          <cell r="X22">
            <v>3</v>
          </cell>
          <cell r="Y22">
            <v>0</v>
          </cell>
          <cell r="Z22">
            <v>2</v>
          </cell>
          <cell r="AA22">
            <v>0</v>
          </cell>
          <cell r="AB22">
            <v>27</v>
          </cell>
          <cell r="AC22">
            <v>1</v>
          </cell>
          <cell r="AD22">
            <v>0</v>
          </cell>
          <cell r="AE22">
            <v>0</v>
          </cell>
          <cell r="AI22">
            <v>102</v>
          </cell>
          <cell r="AJ22">
            <v>27</v>
          </cell>
          <cell r="AK22">
            <v>14</v>
          </cell>
        </row>
        <row r="23">
          <cell r="C23">
            <v>350710016</v>
          </cell>
          <cell r="D23">
            <v>0</v>
          </cell>
          <cell r="E23">
            <v>7</v>
          </cell>
          <cell r="F23">
            <v>0</v>
          </cell>
          <cell r="G23">
            <v>9</v>
          </cell>
          <cell r="H23">
            <v>0</v>
          </cell>
          <cell r="I23">
            <v>33</v>
          </cell>
          <cell r="J23">
            <v>0</v>
          </cell>
          <cell r="K23">
            <v>2</v>
          </cell>
          <cell r="L23">
            <v>37</v>
          </cell>
          <cell r="M23">
            <v>19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12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5</v>
          </cell>
          <cell r="Z23">
            <v>0</v>
          </cell>
          <cell r="AA23">
            <v>6</v>
          </cell>
          <cell r="AB23">
            <v>10</v>
          </cell>
          <cell r="AC23">
            <v>8</v>
          </cell>
          <cell r="AD23">
            <v>0</v>
          </cell>
          <cell r="AE23">
            <v>0</v>
          </cell>
          <cell r="AI23">
            <v>148</v>
          </cell>
          <cell r="AJ23">
            <v>37</v>
          </cell>
          <cell r="AK23">
            <v>11</v>
          </cell>
        </row>
        <row r="24">
          <cell r="C24">
            <v>350710017</v>
          </cell>
          <cell r="D24">
            <v>4</v>
          </cell>
          <cell r="E24">
            <v>17</v>
          </cell>
          <cell r="F24">
            <v>7</v>
          </cell>
          <cell r="G24">
            <v>19</v>
          </cell>
          <cell r="H24">
            <v>12</v>
          </cell>
          <cell r="I24">
            <v>6</v>
          </cell>
          <cell r="J24">
            <v>8</v>
          </cell>
          <cell r="K24">
            <v>5</v>
          </cell>
          <cell r="L24">
            <v>2</v>
          </cell>
          <cell r="M24">
            <v>4</v>
          </cell>
          <cell r="N24">
            <v>5</v>
          </cell>
          <cell r="O24">
            <v>32</v>
          </cell>
          <cell r="P24">
            <v>28</v>
          </cell>
          <cell r="Q24">
            <v>47</v>
          </cell>
          <cell r="R24">
            <v>39</v>
          </cell>
          <cell r="S24">
            <v>43</v>
          </cell>
          <cell r="T24">
            <v>0</v>
          </cell>
          <cell r="U24">
            <v>52</v>
          </cell>
          <cell r="V24">
            <v>48</v>
          </cell>
          <cell r="W24">
            <v>37</v>
          </cell>
          <cell r="X24">
            <v>11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52</v>
          </cell>
          <cell r="AD24">
            <v>24</v>
          </cell>
          <cell r="AE24">
            <v>0</v>
          </cell>
          <cell r="AI24">
            <v>502</v>
          </cell>
          <cell r="AJ24">
            <v>52</v>
          </cell>
          <cell r="AK24">
            <v>22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10</v>
          </cell>
          <cell r="N25">
            <v>0</v>
          </cell>
          <cell r="O25">
            <v>0</v>
          </cell>
          <cell r="P25">
            <v>0</v>
          </cell>
          <cell r="Q25">
            <v>70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10</v>
          </cell>
          <cell r="Y25">
            <v>0</v>
          </cell>
          <cell r="Z25">
            <v>0</v>
          </cell>
          <cell r="AA25">
            <v>4</v>
          </cell>
          <cell r="AB25">
            <v>30</v>
          </cell>
          <cell r="AC25">
            <v>0</v>
          </cell>
          <cell r="AD25">
            <v>0</v>
          </cell>
          <cell r="AE25">
            <v>0</v>
          </cell>
          <cell r="AI25">
            <v>124</v>
          </cell>
          <cell r="AJ25">
            <v>70</v>
          </cell>
          <cell r="AK25">
            <v>5</v>
          </cell>
        </row>
        <row r="26">
          <cell r="C26">
            <v>350710019</v>
          </cell>
          <cell r="D26">
            <v>73</v>
          </cell>
          <cell r="E26">
            <v>41</v>
          </cell>
          <cell r="F26">
            <v>0</v>
          </cell>
          <cell r="G26">
            <v>0</v>
          </cell>
          <cell r="H26">
            <v>19</v>
          </cell>
          <cell r="I26">
            <v>38</v>
          </cell>
          <cell r="J26">
            <v>41</v>
          </cell>
          <cell r="K26">
            <v>33</v>
          </cell>
          <cell r="L26">
            <v>37</v>
          </cell>
          <cell r="M26">
            <v>21</v>
          </cell>
          <cell r="N26">
            <v>0</v>
          </cell>
          <cell r="O26">
            <v>37</v>
          </cell>
          <cell r="P26">
            <v>29</v>
          </cell>
          <cell r="Q26">
            <v>16</v>
          </cell>
          <cell r="R26">
            <v>66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4</v>
          </cell>
          <cell r="X26">
            <v>33</v>
          </cell>
          <cell r="Y26">
            <v>21</v>
          </cell>
          <cell r="Z26">
            <v>16</v>
          </cell>
          <cell r="AA26">
            <v>14</v>
          </cell>
          <cell r="AB26">
            <v>21</v>
          </cell>
          <cell r="AC26">
            <v>79</v>
          </cell>
          <cell r="AD26">
            <v>9</v>
          </cell>
          <cell r="AE26">
            <v>4</v>
          </cell>
          <cell r="AI26">
            <v>652</v>
          </cell>
          <cell r="AJ26">
            <v>79</v>
          </cell>
          <cell r="AK26">
            <v>21</v>
          </cell>
        </row>
        <row r="27">
          <cell r="C27">
            <v>350710020</v>
          </cell>
          <cell r="D27">
            <v>0</v>
          </cell>
          <cell r="E27">
            <v>31</v>
          </cell>
          <cell r="F27">
            <v>22</v>
          </cell>
          <cell r="G27">
            <v>23</v>
          </cell>
          <cell r="H27">
            <v>0</v>
          </cell>
          <cell r="I27">
            <v>5</v>
          </cell>
          <cell r="J27">
            <v>13</v>
          </cell>
          <cell r="K27">
            <v>2</v>
          </cell>
          <cell r="L27">
            <v>29</v>
          </cell>
          <cell r="M27">
            <v>12</v>
          </cell>
          <cell r="N27">
            <v>3</v>
          </cell>
          <cell r="O27">
            <v>0</v>
          </cell>
          <cell r="P27">
            <v>0</v>
          </cell>
          <cell r="Q27">
            <v>43</v>
          </cell>
          <cell r="R27">
            <v>0</v>
          </cell>
          <cell r="S27">
            <v>36</v>
          </cell>
          <cell r="T27">
            <v>0</v>
          </cell>
          <cell r="U27">
            <v>22</v>
          </cell>
          <cell r="V27">
            <v>8</v>
          </cell>
          <cell r="W27">
            <v>1</v>
          </cell>
          <cell r="X27">
            <v>0</v>
          </cell>
          <cell r="Y27">
            <v>18</v>
          </cell>
          <cell r="Z27">
            <v>0</v>
          </cell>
          <cell r="AA27">
            <v>11</v>
          </cell>
          <cell r="AB27">
            <v>0</v>
          </cell>
          <cell r="AC27">
            <v>32</v>
          </cell>
          <cell r="AD27">
            <v>2</v>
          </cell>
          <cell r="AE27">
            <v>0</v>
          </cell>
          <cell r="AI27">
            <v>313</v>
          </cell>
          <cell r="AJ27">
            <v>43</v>
          </cell>
          <cell r="AK27">
            <v>18</v>
          </cell>
        </row>
        <row r="28">
          <cell r="C28">
            <v>350710021</v>
          </cell>
          <cell r="D28">
            <v>0</v>
          </cell>
          <cell r="E28">
            <v>9</v>
          </cell>
          <cell r="F28">
            <v>11</v>
          </cell>
          <cell r="G28">
            <v>0</v>
          </cell>
          <cell r="H28">
            <v>0</v>
          </cell>
          <cell r="I28">
            <v>0</v>
          </cell>
          <cell r="J28">
            <v>21</v>
          </cell>
          <cell r="K28">
            <v>42</v>
          </cell>
          <cell r="L28">
            <v>29</v>
          </cell>
          <cell r="M28">
            <v>27</v>
          </cell>
          <cell r="N28">
            <v>0</v>
          </cell>
          <cell r="O28">
            <v>0</v>
          </cell>
          <cell r="P28">
            <v>18</v>
          </cell>
          <cell r="Q28">
            <v>7</v>
          </cell>
          <cell r="R28">
            <v>0</v>
          </cell>
          <cell r="S28">
            <v>3</v>
          </cell>
          <cell r="T28">
            <v>0</v>
          </cell>
          <cell r="U28">
            <v>0</v>
          </cell>
          <cell r="V28">
            <v>0</v>
          </cell>
          <cell r="W28">
            <v>52</v>
          </cell>
          <cell r="X28">
            <v>0</v>
          </cell>
          <cell r="Y28">
            <v>13</v>
          </cell>
          <cell r="Z28">
            <v>0</v>
          </cell>
          <cell r="AA28">
            <v>10</v>
          </cell>
          <cell r="AB28">
            <v>0</v>
          </cell>
          <cell r="AC28">
            <v>0</v>
          </cell>
          <cell r="AD28">
            <v>58</v>
          </cell>
          <cell r="AE28">
            <v>4</v>
          </cell>
          <cell r="AI28">
            <v>304</v>
          </cell>
          <cell r="AJ28">
            <v>58</v>
          </cell>
          <cell r="AK28">
            <v>14</v>
          </cell>
        </row>
        <row r="29">
          <cell r="C29">
            <v>350710022</v>
          </cell>
          <cell r="D29">
            <v>0</v>
          </cell>
          <cell r="E29">
            <v>0</v>
          </cell>
          <cell r="F29">
            <v>10</v>
          </cell>
          <cell r="G29">
            <v>3</v>
          </cell>
          <cell r="H29">
            <v>0</v>
          </cell>
          <cell r="I29">
            <v>0</v>
          </cell>
          <cell r="J29">
            <v>49</v>
          </cell>
          <cell r="K29">
            <v>6</v>
          </cell>
          <cell r="L29">
            <v>0</v>
          </cell>
          <cell r="M29">
            <v>38</v>
          </cell>
          <cell r="N29">
            <v>17</v>
          </cell>
          <cell r="O29">
            <v>6</v>
          </cell>
          <cell r="P29">
            <v>4</v>
          </cell>
          <cell r="Q29">
            <v>5</v>
          </cell>
          <cell r="R29">
            <v>9</v>
          </cell>
          <cell r="S29">
            <v>0</v>
          </cell>
          <cell r="T29">
            <v>6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51</v>
          </cell>
          <cell r="Z29">
            <v>0</v>
          </cell>
          <cell r="AA29">
            <v>7</v>
          </cell>
          <cell r="AB29">
            <v>3</v>
          </cell>
          <cell r="AC29">
            <v>67</v>
          </cell>
          <cell r="AD29">
            <v>3</v>
          </cell>
          <cell r="AE29">
            <v>20</v>
          </cell>
          <cell r="AI29">
            <v>304</v>
          </cell>
          <cell r="AJ29">
            <v>67</v>
          </cell>
          <cell r="AK29">
            <v>17</v>
          </cell>
        </row>
        <row r="30">
          <cell r="C30">
            <v>350710024</v>
          </cell>
          <cell r="D30">
            <v>0</v>
          </cell>
          <cell r="E30">
            <v>15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23</v>
          </cell>
          <cell r="L30">
            <v>0</v>
          </cell>
          <cell r="M30">
            <v>45</v>
          </cell>
          <cell r="N30">
            <v>0</v>
          </cell>
          <cell r="O30">
            <v>0</v>
          </cell>
          <cell r="P30">
            <v>0</v>
          </cell>
          <cell r="Q30">
            <v>36</v>
          </cell>
          <cell r="R30">
            <v>8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12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15</v>
          </cell>
          <cell r="AE30">
            <v>0</v>
          </cell>
          <cell r="AI30">
            <v>154</v>
          </cell>
          <cell r="AJ30">
            <v>45</v>
          </cell>
          <cell r="AK30">
            <v>7</v>
          </cell>
        </row>
        <row r="31">
          <cell r="C31">
            <v>350710025</v>
          </cell>
          <cell r="D31">
            <v>0</v>
          </cell>
          <cell r="E31">
            <v>4</v>
          </cell>
          <cell r="F31">
            <v>0</v>
          </cell>
          <cell r="G31">
            <v>0</v>
          </cell>
          <cell r="H31">
            <v>3</v>
          </cell>
          <cell r="I31">
            <v>0</v>
          </cell>
          <cell r="J31">
            <v>14</v>
          </cell>
          <cell r="K31">
            <v>18</v>
          </cell>
          <cell r="L31">
            <v>1</v>
          </cell>
          <cell r="M31">
            <v>7</v>
          </cell>
          <cell r="N31">
            <v>11</v>
          </cell>
          <cell r="O31">
            <v>1</v>
          </cell>
          <cell r="P31">
            <v>0</v>
          </cell>
          <cell r="Q31">
            <v>5</v>
          </cell>
          <cell r="R31">
            <v>11</v>
          </cell>
          <cell r="S31">
            <v>2</v>
          </cell>
          <cell r="T31">
            <v>2</v>
          </cell>
          <cell r="U31">
            <v>0</v>
          </cell>
          <cell r="V31">
            <v>0</v>
          </cell>
          <cell r="W31">
            <v>0</v>
          </cell>
          <cell r="X31">
            <v>7</v>
          </cell>
          <cell r="Y31">
            <v>14</v>
          </cell>
          <cell r="Z31">
            <v>2</v>
          </cell>
          <cell r="AA31">
            <v>5</v>
          </cell>
          <cell r="AB31">
            <v>1</v>
          </cell>
          <cell r="AC31">
            <v>1</v>
          </cell>
          <cell r="AD31">
            <v>8</v>
          </cell>
          <cell r="AE31">
            <v>0</v>
          </cell>
          <cell r="AI31">
            <v>117</v>
          </cell>
          <cell r="AJ31">
            <v>18</v>
          </cell>
          <cell r="AK31">
            <v>19</v>
          </cell>
        </row>
        <row r="32">
          <cell r="C32">
            <v>350710026</v>
          </cell>
          <cell r="D32">
            <v>0</v>
          </cell>
          <cell r="E32">
            <v>18</v>
          </cell>
          <cell r="F32">
            <v>0</v>
          </cell>
          <cell r="G32">
            <v>12</v>
          </cell>
          <cell r="H32">
            <v>0</v>
          </cell>
          <cell r="I32">
            <v>11</v>
          </cell>
          <cell r="J32">
            <v>4</v>
          </cell>
          <cell r="K32">
            <v>0</v>
          </cell>
          <cell r="L32">
            <v>8</v>
          </cell>
          <cell r="M32">
            <v>6</v>
          </cell>
          <cell r="N32">
            <v>29</v>
          </cell>
          <cell r="O32">
            <v>0</v>
          </cell>
          <cell r="P32">
            <v>0</v>
          </cell>
          <cell r="Q32">
            <v>3</v>
          </cell>
          <cell r="R32">
            <v>0</v>
          </cell>
          <cell r="S32">
            <v>2</v>
          </cell>
          <cell r="T32">
            <v>5</v>
          </cell>
          <cell r="U32">
            <v>3</v>
          </cell>
          <cell r="V32">
            <v>0</v>
          </cell>
          <cell r="W32">
            <v>9</v>
          </cell>
          <cell r="X32">
            <v>11</v>
          </cell>
          <cell r="Y32">
            <v>0</v>
          </cell>
          <cell r="Z32">
            <v>6</v>
          </cell>
          <cell r="AA32">
            <v>0</v>
          </cell>
          <cell r="AB32">
            <v>0</v>
          </cell>
          <cell r="AC32">
            <v>19</v>
          </cell>
          <cell r="AD32">
            <v>6</v>
          </cell>
          <cell r="AE32">
            <v>17</v>
          </cell>
          <cell r="AI32">
            <v>169</v>
          </cell>
          <cell r="AJ32">
            <v>29</v>
          </cell>
          <cell r="AK32">
            <v>17</v>
          </cell>
        </row>
        <row r="33">
          <cell r="C33">
            <v>350710027</v>
          </cell>
          <cell r="D33">
            <v>0</v>
          </cell>
          <cell r="E33">
            <v>1</v>
          </cell>
          <cell r="F33">
            <v>0</v>
          </cell>
          <cell r="G33">
            <v>34</v>
          </cell>
          <cell r="H33">
            <v>103</v>
          </cell>
          <cell r="I33">
            <v>67</v>
          </cell>
          <cell r="J33">
            <v>0</v>
          </cell>
          <cell r="K33">
            <v>0</v>
          </cell>
          <cell r="L33">
            <v>40</v>
          </cell>
          <cell r="M33">
            <v>1</v>
          </cell>
          <cell r="N33">
            <v>3</v>
          </cell>
          <cell r="O33">
            <v>0</v>
          </cell>
          <cell r="P33">
            <v>30</v>
          </cell>
          <cell r="Q33">
            <v>0</v>
          </cell>
          <cell r="R33">
            <v>0</v>
          </cell>
          <cell r="S33">
            <v>28</v>
          </cell>
          <cell r="T33">
            <v>45</v>
          </cell>
          <cell r="U33">
            <v>13</v>
          </cell>
          <cell r="V33">
            <v>0</v>
          </cell>
          <cell r="W33">
            <v>72</v>
          </cell>
          <cell r="X33">
            <v>13</v>
          </cell>
          <cell r="Y33">
            <v>0</v>
          </cell>
          <cell r="Z33">
            <v>0</v>
          </cell>
          <cell r="AA33">
            <v>21</v>
          </cell>
          <cell r="AB33">
            <v>5</v>
          </cell>
          <cell r="AC33">
            <v>90</v>
          </cell>
          <cell r="AD33">
            <v>0</v>
          </cell>
          <cell r="AE33">
            <v>0</v>
          </cell>
          <cell r="AI33">
            <v>566</v>
          </cell>
          <cell r="AJ33">
            <v>103</v>
          </cell>
          <cell r="AK33">
            <v>16</v>
          </cell>
        </row>
        <row r="34">
          <cell r="C34">
            <v>350710028</v>
          </cell>
          <cell r="D34">
            <v>17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18</v>
          </cell>
          <cell r="J34">
            <v>16</v>
          </cell>
          <cell r="K34">
            <v>50</v>
          </cell>
          <cell r="L34">
            <v>18</v>
          </cell>
          <cell r="M34">
            <v>3</v>
          </cell>
          <cell r="N34">
            <v>0</v>
          </cell>
          <cell r="O34">
            <v>11</v>
          </cell>
          <cell r="P34">
            <v>7</v>
          </cell>
          <cell r="Q34">
            <v>0</v>
          </cell>
          <cell r="R34">
            <v>26</v>
          </cell>
          <cell r="S34">
            <v>0</v>
          </cell>
          <cell r="T34">
            <v>23</v>
          </cell>
          <cell r="U34">
            <v>35</v>
          </cell>
          <cell r="V34">
            <v>24</v>
          </cell>
          <cell r="W34">
            <v>0</v>
          </cell>
          <cell r="X34">
            <v>29</v>
          </cell>
          <cell r="Y34">
            <v>0</v>
          </cell>
          <cell r="Z34">
            <v>5</v>
          </cell>
          <cell r="AA34">
            <v>0</v>
          </cell>
          <cell r="AB34">
            <v>34</v>
          </cell>
          <cell r="AC34">
            <v>4</v>
          </cell>
          <cell r="AD34">
            <v>0</v>
          </cell>
          <cell r="AE34">
            <v>0</v>
          </cell>
          <cell r="AI34">
            <v>321</v>
          </cell>
          <cell r="AJ34">
            <v>50</v>
          </cell>
          <cell r="AK34">
            <v>17</v>
          </cell>
        </row>
        <row r="35">
          <cell r="C35">
            <v>350710029</v>
          </cell>
          <cell r="D35">
            <v>11</v>
          </cell>
          <cell r="E35">
            <v>31</v>
          </cell>
          <cell r="F35">
            <v>0</v>
          </cell>
          <cell r="G35">
            <v>38</v>
          </cell>
          <cell r="H35">
            <v>11</v>
          </cell>
          <cell r="I35">
            <v>82</v>
          </cell>
          <cell r="J35">
            <v>133</v>
          </cell>
          <cell r="K35">
            <v>0</v>
          </cell>
          <cell r="L35">
            <v>21</v>
          </cell>
          <cell r="M35">
            <v>37</v>
          </cell>
          <cell r="N35">
            <v>21</v>
          </cell>
          <cell r="O35">
            <v>49</v>
          </cell>
          <cell r="P35">
            <v>7</v>
          </cell>
          <cell r="Q35">
            <v>52</v>
          </cell>
          <cell r="R35">
            <v>32</v>
          </cell>
          <cell r="S35">
            <v>0</v>
          </cell>
          <cell r="T35">
            <v>42</v>
          </cell>
          <cell r="U35">
            <v>19</v>
          </cell>
          <cell r="V35">
            <v>0</v>
          </cell>
          <cell r="W35">
            <v>0</v>
          </cell>
          <cell r="X35">
            <v>13</v>
          </cell>
          <cell r="Y35">
            <v>0</v>
          </cell>
          <cell r="Z35">
            <v>6</v>
          </cell>
          <cell r="AA35">
            <v>15</v>
          </cell>
          <cell r="AB35">
            <v>0</v>
          </cell>
          <cell r="AC35">
            <v>28</v>
          </cell>
          <cell r="AD35">
            <v>40</v>
          </cell>
          <cell r="AE35">
            <v>0</v>
          </cell>
          <cell r="AI35">
            <v>688</v>
          </cell>
          <cell r="AJ35">
            <v>133</v>
          </cell>
          <cell r="AK35">
            <v>20</v>
          </cell>
        </row>
        <row r="36">
          <cell r="C36">
            <v>350710030</v>
          </cell>
          <cell r="D36">
            <v>0</v>
          </cell>
          <cell r="E36">
            <v>0</v>
          </cell>
          <cell r="F36">
            <v>5</v>
          </cell>
          <cell r="G36">
            <v>0</v>
          </cell>
          <cell r="H36">
            <v>0</v>
          </cell>
          <cell r="I36">
            <v>0</v>
          </cell>
          <cell r="J36">
            <v>72</v>
          </cell>
          <cell r="K36">
            <v>54</v>
          </cell>
          <cell r="L36">
            <v>0</v>
          </cell>
          <cell r="M36">
            <v>7</v>
          </cell>
          <cell r="N36">
            <v>1</v>
          </cell>
          <cell r="O36">
            <v>0</v>
          </cell>
          <cell r="P36">
            <v>0</v>
          </cell>
          <cell r="Q36">
            <v>9</v>
          </cell>
          <cell r="R36">
            <v>38</v>
          </cell>
          <cell r="S36">
            <v>4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4</v>
          </cell>
          <cell r="Y36">
            <v>24</v>
          </cell>
          <cell r="Z36">
            <v>0</v>
          </cell>
          <cell r="AA36">
            <v>0.2</v>
          </cell>
          <cell r="AB36">
            <v>0</v>
          </cell>
          <cell r="AC36">
            <v>0</v>
          </cell>
          <cell r="AD36">
            <v>2</v>
          </cell>
          <cell r="AE36">
            <v>0</v>
          </cell>
          <cell r="AI36">
            <v>220.2</v>
          </cell>
          <cell r="AJ36">
            <v>72</v>
          </cell>
          <cell r="AK36">
            <v>12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20</v>
          </cell>
          <cell r="K37">
            <v>10</v>
          </cell>
          <cell r="L37">
            <v>9</v>
          </cell>
          <cell r="M37">
            <v>40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26</v>
          </cell>
          <cell r="S37">
            <v>0</v>
          </cell>
          <cell r="T37">
            <v>0</v>
          </cell>
          <cell r="U37">
            <v>38</v>
          </cell>
          <cell r="V37">
            <v>0</v>
          </cell>
          <cell r="W37">
            <v>27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68</v>
          </cell>
          <cell r="AD37">
            <v>26</v>
          </cell>
          <cell r="AE37">
            <v>0</v>
          </cell>
          <cell r="AI37">
            <v>264</v>
          </cell>
          <cell r="AJ37">
            <v>68</v>
          </cell>
          <cell r="AK37">
            <v>9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39</v>
          </cell>
          <cell r="G38">
            <v>0</v>
          </cell>
          <cell r="H38">
            <v>0</v>
          </cell>
          <cell r="I38">
            <v>0</v>
          </cell>
          <cell r="J38">
            <v>49</v>
          </cell>
          <cell r="K38">
            <v>0</v>
          </cell>
          <cell r="L38">
            <v>0</v>
          </cell>
          <cell r="M38">
            <v>21</v>
          </cell>
          <cell r="N38">
            <v>0</v>
          </cell>
          <cell r="O38">
            <v>3</v>
          </cell>
          <cell r="P38">
            <v>2</v>
          </cell>
          <cell r="Q38">
            <v>0</v>
          </cell>
          <cell r="R38">
            <v>4</v>
          </cell>
          <cell r="S38">
            <v>3</v>
          </cell>
          <cell r="T38">
            <v>35</v>
          </cell>
          <cell r="U38">
            <v>0</v>
          </cell>
          <cell r="V38">
            <v>0</v>
          </cell>
          <cell r="W38">
            <v>1</v>
          </cell>
          <cell r="X38">
            <v>0</v>
          </cell>
          <cell r="Y38">
            <v>2</v>
          </cell>
          <cell r="Z38">
            <v>0</v>
          </cell>
          <cell r="AA38">
            <v>12</v>
          </cell>
          <cell r="AB38">
            <v>0</v>
          </cell>
          <cell r="AC38">
            <v>23</v>
          </cell>
          <cell r="AD38">
            <v>6</v>
          </cell>
          <cell r="AE38">
            <v>3</v>
          </cell>
          <cell r="AI38">
            <v>203</v>
          </cell>
          <cell r="AJ38">
            <v>49</v>
          </cell>
          <cell r="AK38">
            <v>14</v>
          </cell>
        </row>
        <row r="39">
          <cell r="C39">
            <v>350710033</v>
          </cell>
          <cell r="D39">
            <v>0</v>
          </cell>
          <cell r="E39">
            <v>4</v>
          </cell>
          <cell r="F39">
            <v>1</v>
          </cell>
          <cell r="G39">
            <v>2</v>
          </cell>
          <cell r="H39">
            <v>0</v>
          </cell>
          <cell r="I39">
            <v>5</v>
          </cell>
          <cell r="J39">
            <v>0</v>
          </cell>
          <cell r="K39">
            <v>18</v>
          </cell>
          <cell r="L39">
            <v>16</v>
          </cell>
          <cell r="M39">
            <v>12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10</v>
          </cell>
          <cell r="S39">
            <v>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9</v>
          </cell>
          <cell r="Z39">
            <v>0</v>
          </cell>
          <cell r="AA39">
            <v>1</v>
          </cell>
          <cell r="AB39">
            <v>17</v>
          </cell>
          <cell r="AC39">
            <v>0</v>
          </cell>
          <cell r="AD39">
            <v>22</v>
          </cell>
          <cell r="AE39">
            <v>0</v>
          </cell>
          <cell r="AI39">
            <v>118</v>
          </cell>
          <cell r="AJ39">
            <v>22</v>
          </cell>
          <cell r="AK39">
            <v>13</v>
          </cell>
        </row>
        <row r="40">
          <cell r="C40">
            <v>350710034</v>
          </cell>
          <cell r="D40">
            <v>0</v>
          </cell>
          <cell r="E40">
            <v>2</v>
          </cell>
          <cell r="F40">
            <v>0</v>
          </cell>
          <cell r="G40">
            <v>0</v>
          </cell>
          <cell r="H40">
            <v>1</v>
          </cell>
          <cell r="I40">
            <v>13</v>
          </cell>
          <cell r="J40">
            <v>16</v>
          </cell>
          <cell r="K40">
            <v>0</v>
          </cell>
          <cell r="L40">
            <v>1</v>
          </cell>
          <cell r="M40">
            <v>17</v>
          </cell>
          <cell r="N40">
            <v>3</v>
          </cell>
          <cell r="O40">
            <v>2</v>
          </cell>
          <cell r="P40">
            <v>104</v>
          </cell>
          <cell r="Q40">
            <v>1</v>
          </cell>
          <cell r="R40">
            <v>0</v>
          </cell>
          <cell r="S40">
            <v>0</v>
          </cell>
          <cell r="T40">
            <v>39</v>
          </cell>
          <cell r="U40">
            <v>11</v>
          </cell>
          <cell r="V40">
            <v>0</v>
          </cell>
          <cell r="W40">
            <v>2</v>
          </cell>
          <cell r="X40">
            <v>9</v>
          </cell>
          <cell r="Y40">
            <v>12</v>
          </cell>
          <cell r="Z40">
            <v>1</v>
          </cell>
          <cell r="AA40">
            <v>2</v>
          </cell>
          <cell r="AB40">
            <v>4</v>
          </cell>
          <cell r="AC40">
            <v>53</v>
          </cell>
          <cell r="AD40">
            <v>0</v>
          </cell>
          <cell r="AE40">
            <v>4</v>
          </cell>
          <cell r="AI40">
            <v>297</v>
          </cell>
          <cell r="AJ40">
            <v>104</v>
          </cell>
          <cell r="AK40">
            <v>20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4</v>
          </cell>
          <cell r="H41">
            <v>0</v>
          </cell>
          <cell r="I41">
            <v>16</v>
          </cell>
          <cell r="J41">
            <v>28</v>
          </cell>
          <cell r="K41">
            <v>0</v>
          </cell>
          <cell r="L41">
            <v>0</v>
          </cell>
          <cell r="M41">
            <v>7</v>
          </cell>
          <cell r="N41">
            <v>19</v>
          </cell>
          <cell r="O41">
            <v>16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</v>
          </cell>
          <cell r="W41">
            <v>0</v>
          </cell>
          <cell r="X41">
            <v>0</v>
          </cell>
          <cell r="Y41">
            <v>3</v>
          </cell>
          <cell r="Z41">
            <v>0</v>
          </cell>
          <cell r="AA41">
            <v>0</v>
          </cell>
          <cell r="AB41">
            <v>0</v>
          </cell>
          <cell r="AC41">
            <v>14</v>
          </cell>
          <cell r="AD41">
            <v>23</v>
          </cell>
          <cell r="AE41">
            <v>0</v>
          </cell>
          <cell r="AI41">
            <v>135</v>
          </cell>
          <cell r="AJ41">
            <v>28</v>
          </cell>
          <cell r="AK41">
            <v>10</v>
          </cell>
        </row>
        <row r="42">
          <cell r="C42">
            <v>350710036</v>
          </cell>
          <cell r="D42">
            <v>0</v>
          </cell>
          <cell r="E42">
            <v>15</v>
          </cell>
          <cell r="F42">
            <v>0</v>
          </cell>
          <cell r="G42">
            <v>0</v>
          </cell>
          <cell r="H42">
            <v>0</v>
          </cell>
          <cell r="I42">
            <v>3</v>
          </cell>
          <cell r="J42">
            <v>8</v>
          </cell>
          <cell r="K42">
            <v>59</v>
          </cell>
          <cell r="L42">
            <v>2</v>
          </cell>
          <cell r="M42">
            <v>40</v>
          </cell>
          <cell r="N42">
            <v>7</v>
          </cell>
          <cell r="O42">
            <v>2</v>
          </cell>
          <cell r="P42">
            <v>0</v>
          </cell>
          <cell r="Q42">
            <v>71</v>
          </cell>
          <cell r="R42">
            <v>0</v>
          </cell>
          <cell r="S42">
            <v>0</v>
          </cell>
          <cell r="T42">
            <v>10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36</v>
          </cell>
          <cell r="Z42">
            <v>0</v>
          </cell>
          <cell r="AA42">
            <v>41</v>
          </cell>
          <cell r="AB42">
            <v>0</v>
          </cell>
          <cell r="AC42">
            <v>35</v>
          </cell>
          <cell r="AD42">
            <v>0</v>
          </cell>
          <cell r="AE42">
            <v>2</v>
          </cell>
          <cell r="AI42">
            <v>331</v>
          </cell>
          <cell r="AJ42">
            <v>71</v>
          </cell>
          <cell r="AK42">
            <v>14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16</v>
          </cell>
          <cell r="G43">
            <v>0</v>
          </cell>
          <cell r="H43">
            <v>0</v>
          </cell>
          <cell r="I43">
            <v>0</v>
          </cell>
          <cell r="J43">
            <v>16</v>
          </cell>
          <cell r="K43">
            <v>0</v>
          </cell>
          <cell r="L43">
            <v>12</v>
          </cell>
          <cell r="M43">
            <v>16</v>
          </cell>
          <cell r="N43">
            <v>0</v>
          </cell>
          <cell r="O43">
            <v>0</v>
          </cell>
          <cell r="P43">
            <v>8</v>
          </cell>
          <cell r="Q43">
            <v>0</v>
          </cell>
          <cell r="R43">
            <v>8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6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I43">
            <v>82</v>
          </cell>
          <cell r="AJ43">
            <v>16</v>
          </cell>
          <cell r="AK43">
            <v>7</v>
          </cell>
        </row>
        <row r="44">
          <cell r="C44">
            <v>350710038</v>
          </cell>
          <cell r="D44">
            <v>0</v>
          </cell>
          <cell r="E44">
            <v>9</v>
          </cell>
          <cell r="F44">
            <v>6</v>
          </cell>
          <cell r="G44">
            <v>13</v>
          </cell>
          <cell r="H44">
            <v>9</v>
          </cell>
          <cell r="I44">
            <v>4</v>
          </cell>
          <cell r="J44">
            <v>0</v>
          </cell>
          <cell r="K44">
            <v>11</v>
          </cell>
          <cell r="L44">
            <v>9</v>
          </cell>
          <cell r="M44">
            <v>38</v>
          </cell>
          <cell r="N44">
            <v>0</v>
          </cell>
          <cell r="O44">
            <v>0</v>
          </cell>
          <cell r="P44">
            <v>0</v>
          </cell>
          <cell r="Q44">
            <v>4</v>
          </cell>
          <cell r="R44">
            <v>13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28</v>
          </cell>
          <cell r="X44">
            <v>0</v>
          </cell>
          <cell r="Y44">
            <v>0</v>
          </cell>
          <cell r="Z44">
            <v>0</v>
          </cell>
          <cell r="AA44">
            <v>3</v>
          </cell>
          <cell r="AB44">
            <v>6</v>
          </cell>
          <cell r="AC44">
            <v>27</v>
          </cell>
          <cell r="AD44">
            <v>12</v>
          </cell>
          <cell r="AE44">
            <v>7</v>
          </cell>
          <cell r="AI44">
            <v>199</v>
          </cell>
          <cell r="AJ44">
            <v>38</v>
          </cell>
          <cell r="AK44">
            <v>16</v>
          </cell>
        </row>
        <row r="45">
          <cell r="C45">
            <v>350710039</v>
          </cell>
          <cell r="D45">
            <v>0</v>
          </cell>
          <cell r="E45">
            <v>11</v>
          </cell>
          <cell r="F45">
            <v>0</v>
          </cell>
          <cell r="G45">
            <v>13</v>
          </cell>
          <cell r="H45">
            <v>0</v>
          </cell>
          <cell r="I45">
            <v>29</v>
          </cell>
          <cell r="J45">
            <v>0</v>
          </cell>
          <cell r="K45">
            <v>7</v>
          </cell>
          <cell r="L45">
            <v>42</v>
          </cell>
          <cell r="M45">
            <v>11</v>
          </cell>
          <cell r="N45">
            <v>1</v>
          </cell>
          <cell r="O45">
            <v>0</v>
          </cell>
          <cell r="P45">
            <v>0</v>
          </cell>
          <cell r="Q45">
            <v>0</v>
          </cell>
          <cell r="R45">
            <v>10</v>
          </cell>
          <cell r="S45">
            <v>9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</v>
          </cell>
          <cell r="Z45">
            <v>0</v>
          </cell>
          <cell r="AA45">
            <v>7</v>
          </cell>
          <cell r="AB45">
            <v>8</v>
          </cell>
          <cell r="AC45">
            <v>11</v>
          </cell>
          <cell r="AD45">
            <v>6</v>
          </cell>
          <cell r="AE45">
            <v>0</v>
          </cell>
          <cell r="AI45">
            <v>173</v>
          </cell>
          <cell r="AJ45">
            <v>42</v>
          </cell>
          <cell r="AK45">
            <v>14</v>
          </cell>
        </row>
        <row r="46">
          <cell r="C46">
            <v>350710040</v>
          </cell>
          <cell r="D46">
            <v>0</v>
          </cell>
          <cell r="E46">
            <v>11</v>
          </cell>
          <cell r="F46">
            <v>18</v>
          </cell>
          <cell r="G46">
            <v>0</v>
          </cell>
          <cell r="H46">
            <v>4</v>
          </cell>
          <cell r="I46">
            <v>0</v>
          </cell>
          <cell r="J46">
            <v>49</v>
          </cell>
          <cell r="K46">
            <v>0</v>
          </cell>
          <cell r="L46">
            <v>5</v>
          </cell>
          <cell r="M46">
            <v>18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18</v>
          </cell>
          <cell r="S46">
            <v>0</v>
          </cell>
          <cell r="T46">
            <v>13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8</v>
          </cell>
          <cell r="Z46">
            <v>0</v>
          </cell>
          <cell r="AA46">
            <v>0</v>
          </cell>
          <cell r="AB46">
            <v>0</v>
          </cell>
          <cell r="AC46">
            <v>26</v>
          </cell>
          <cell r="AD46">
            <v>0</v>
          </cell>
          <cell r="AE46">
            <v>0</v>
          </cell>
          <cell r="AI46">
            <v>170</v>
          </cell>
          <cell r="AJ46">
            <v>49</v>
          </cell>
          <cell r="AK46">
            <v>10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23</v>
          </cell>
          <cell r="G47">
            <v>0</v>
          </cell>
          <cell r="H47">
            <v>0</v>
          </cell>
          <cell r="I47">
            <v>19</v>
          </cell>
          <cell r="J47">
            <v>40</v>
          </cell>
          <cell r="K47">
            <v>22</v>
          </cell>
          <cell r="L47">
            <v>14</v>
          </cell>
          <cell r="M47">
            <v>9</v>
          </cell>
          <cell r="N47">
            <v>0</v>
          </cell>
          <cell r="O47">
            <v>0</v>
          </cell>
          <cell r="P47">
            <v>0</v>
          </cell>
          <cell r="Q47">
            <v>6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17</v>
          </cell>
          <cell r="W47">
            <v>0</v>
          </cell>
          <cell r="X47">
            <v>19</v>
          </cell>
          <cell r="Y47">
            <v>0</v>
          </cell>
          <cell r="Z47">
            <v>0</v>
          </cell>
          <cell r="AA47">
            <v>0</v>
          </cell>
          <cell r="AB47">
            <v>16</v>
          </cell>
          <cell r="AC47">
            <v>8</v>
          </cell>
          <cell r="AD47">
            <v>0</v>
          </cell>
          <cell r="AE47">
            <v>11</v>
          </cell>
          <cell r="AI47">
            <v>204</v>
          </cell>
          <cell r="AJ47">
            <v>40</v>
          </cell>
          <cell r="AK47">
            <v>12</v>
          </cell>
        </row>
        <row r="48">
          <cell r="C48">
            <v>350710042</v>
          </cell>
          <cell r="D48">
            <v>0</v>
          </cell>
          <cell r="E48">
            <v>27</v>
          </cell>
          <cell r="F48">
            <v>0</v>
          </cell>
          <cell r="G48">
            <v>0</v>
          </cell>
          <cell r="H48">
            <v>4</v>
          </cell>
          <cell r="I48">
            <v>120</v>
          </cell>
          <cell r="J48">
            <v>0</v>
          </cell>
          <cell r="K48">
            <v>61</v>
          </cell>
          <cell r="L48">
            <v>2</v>
          </cell>
          <cell r="M48">
            <v>5</v>
          </cell>
          <cell r="N48">
            <v>4</v>
          </cell>
          <cell r="O48">
            <v>0</v>
          </cell>
          <cell r="P48">
            <v>0</v>
          </cell>
          <cell r="Q48">
            <v>0</v>
          </cell>
          <cell r="R48">
            <v>3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39</v>
          </cell>
          <cell r="AB48">
            <v>0</v>
          </cell>
          <cell r="AC48">
            <v>32</v>
          </cell>
          <cell r="AD48">
            <v>1</v>
          </cell>
          <cell r="AE48">
            <v>3</v>
          </cell>
          <cell r="AI48">
            <v>301</v>
          </cell>
          <cell r="AJ48">
            <v>120</v>
          </cell>
          <cell r="AK48">
            <v>12</v>
          </cell>
        </row>
        <row r="49">
          <cell r="C49">
            <v>350710043</v>
          </cell>
          <cell r="D49">
            <v>8</v>
          </cell>
          <cell r="E49">
            <v>0</v>
          </cell>
          <cell r="F49">
            <v>0</v>
          </cell>
          <cell r="G49">
            <v>0</v>
          </cell>
          <cell r="H49">
            <v>10</v>
          </cell>
          <cell r="I49">
            <v>13</v>
          </cell>
          <cell r="J49">
            <v>0</v>
          </cell>
          <cell r="K49">
            <v>0</v>
          </cell>
          <cell r="L49">
            <v>0</v>
          </cell>
          <cell r="M49">
            <v>4</v>
          </cell>
          <cell r="N49">
            <v>9</v>
          </cell>
          <cell r="O49">
            <v>0</v>
          </cell>
          <cell r="P49">
            <v>2</v>
          </cell>
          <cell r="Q49">
            <v>0</v>
          </cell>
          <cell r="R49">
            <v>0</v>
          </cell>
          <cell r="S49">
            <v>0</v>
          </cell>
          <cell r="T49">
            <v>23</v>
          </cell>
          <cell r="U49">
            <v>4</v>
          </cell>
          <cell r="V49">
            <v>0</v>
          </cell>
          <cell r="W49">
            <v>0</v>
          </cell>
          <cell r="X49">
            <v>8</v>
          </cell>
          <cell r="Y49">
            <v>3</v>
          </cell>
          <cell r="Z49">
            <v>0</v>
          </cell>
          <cell r="AA49">
            <v>0</v>
          </cell>
          <cell r="AB49">
            <v>5</v>
          </cell>
          <cell r="AC49">
            <v>13</v>
          </cell>
          <cell r="AD49">
            <v>47</v>
          </cell>
          <cell r="AE49">
            <v>0</v>
          </cell>
          <cell r="AI49">
            <v>149</v>
          </cell>
          <cell r="AJ49">
            <v>47</v>
          </cell>
          <cell r="AK49">
            <v>13</v>
          </cell>
        </row>
        <row r="50">
          <cell r="C50">
            <v>350710044</v>
          </cell>
          <cell r="D50">
            <v>0</v>
          </cell>
          <cell r="E50">
            <v>3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8</v>
          </cell>
          <cell r="L50">
            <v>9</v>
          </cell>
          <cell r="M50">
            <v>16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7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8</v>
          </cell>
          <cell r="Z50">
            <v>0</v>
          </cell>
          <cell r="AA50">
            <v>2</v>
          </cell>
          <cell r="AB50">
            <v>2</v>
          </cell>
          <cell r="AC50">
            <v>1</v>
          </cell>
          <cell r="AD50">
            <v>2</v>
          </cell>
          <cell r="AE50">
            <v>0</v>
          </cell>
          <cell r="AI50">
            <v>58</v>
          </cell>
          <cell r="AJ50">
            <v>16</v>
          </cell>
          <cell r="AK50">
            <v>10</v>
          </cell>
        </row>
        <row r="51">
          <cell r="C51">
            <v>350710045</v>
          </cell>
          <cell r="D51">
            <v>32</v>
          </cell>
          <cell r="E51">
            <v>6.5</v>
          </cell>
          <cell r="F51">
            <v>11</v>
          </cell>
          <cell r="G51">
            <v>0</v>
          </cell>
          <cell r="H51">
            <v>38</v>
          </cell>
          <cell r="I51">
            <v>5</v>
          </cell>
          <cell r="J51">
            <v>3</v>
          </cell>
          <cell r="K51">
            <v>9</v>
          </cell>
          <cell r="L51">
            <v>120</v>
          </cell>
          <cell r="M51">
            <v>11</v>
          </cell>
          <cell r="N51">
            <v>7</v>
          </cell>
          <cell r="O51">
            <v>18</v>
          </cell>
          <cell r="P51">
            <v>0</v>
          </cell>
          <cell r="Q51">
            <v>29</v>
          </cell>
          <cell r="R51">
            <v>1</v>
          </cell>
          <cell r="S51">
            <v>8</v>
          </cell>
          <cell r="T51">
            <v>3</v>
          </cell>
          <cell r="U51">
            <v>3.5</v>
          </cell>
          <cell r="V51">
            <v>35</v>
          </cell>
          <cell r="W51">
            <v>2.5</v>
          </cell>
          <cell r="X51">
            <v>13.5</v>
          </cell>
          <cell r="Y51">
            <v>0</v>
          </cell>
          <cell r="Z51">
            <v>5</v>
          </cell>
          <cell r="AA51">
            <v>0</v>
          </cell>
          <cell r="AB51">
            <v>1.5</v>
          </cell>
          <cell r="AC51">
            <v>5</v>
          </cell>
          <cell r="AD51">
            <v>23</v>
          </cell>
          <cell r="AE51">
            <v>17</v>
          </cell>
          <cell r="AI51">
            <v>407.5</v>
          </cell>
          <cell r="AJ51">
            <v>120</v>
          </cell>
          <cell r="AK51">
            <v>24</v>
          </cell>
        </row>
      </sheetData>
      <sheetData sheetId="4">
        <row r="8">
          <cell r="C8">
            <v>350710001</v>
          </cell>
          <cell r="D8">
            <v>5</v>
          </cell>
          <cell r="E8">
            <v>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31</v>
          </cell>
          <cell r="M8">
            <v>0</v>
          </cell>
          <cell r="N8">
            <v>5</v>
          </cell>
          <cell r="O8">
            <v>0</v>
          </cell>
          <cell r="P8">
            <v>0</v>
          </cell>
          <cell r="Q8">
            <v>4</v>
          </cell>
          <cell r="R8">
            <v>5</v>
          </cell>
          <cell r="S8">
            <v>2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36</v>
          </cell>
          <cell r="Y8">
            <v>16</v>
          </cell>
          <cell r="Z8">
            <v>6</v>
          </cell>
          <cell r="AA8">
            <v>0</v>
          </cell>
          <cell r="AB8">
            <v>4</v>
          </cell>
          <cell r="AC8">
            <v>7</v>
          </cell>
          <cell r="AD8">
            <v>0</v>
          </cell>
          <cell r="AE8">
            <v>0</v>
          </cell>
          <cell r="AF8">
            <v>3</v>
          </cell>
          <cell r="AG8">
            <v>2</v>
          </cell>
          <cell r="AH8">
            <v>0</v>
          </cell>
          <cell r="AI8">
            <v>130</v>
          </cell>
          <cell r="AJ8">
            <v>36</v>
          </cell>
          <cell r="AK8">
            <v>14</v>
          </cell>
        </row>
        <row r="9">
          <cell r="C9">
            <v>350710002</v>
          </cell>
          <cell r="D9">
            <v>4</v>
          </cell>
          <cell r="E9">
            <v>2</v>
          </cell>
          <cell r="F9">
            <v>6</v>
          </cell>
          <cell r="G9">
            <v>8</v>
          </cell>
          <cell r="H9">
            <v>0</v>
          </cell>
          <cell r="I9">
            <v>0</v>
          </cell>
          <cell r="J9">
            <v>0</v>
          </cell>
          <cell r="K9">
            <v>9</v>
          </cell>
          <cell r="L9">
            <v>56</v>
          </cell>
          <cell r="M9">
            <v>6</v>
          </cell>
          <cell r="N9">
            <v>66</v>
          </cell>
          <cell r="O9">
            <v>8</v>
          </cell>
          <cell r="P9">
            <v>0</v>
          </cell>
          <cell r="Q9">
            <v>0</v>
          </cell>
          <cell r="R9">
            <v>26</v>
          </cell>
          <cell r="S9">
            <v>7</v>
          </cell>
          <cell r="T9">
            <v>0</v>
          </cell>
          <cell r="U9">
            <v>0</v>
          </cell>
          <cell r="V9">
            <v>0</v>
          </cell>
          <cell r="W9">
            <v>3</v>
          </cell>
          <cell r="X9">
            <v>36</v>
          </cell>
          <cell r="Y9">
            <v>109</v>
          </cell>
          <cell r="Z9">
            <v>2</v>
          </cell>
          <cell r="AA9">
            <v>0</v>
          </cell>
          <cell r="AB9">
            <v>46</v>
          </cell>
          <cell r="AC9">
            <v>6</v>
          </cell>
          <cell r="AD9">
            <v>6</v>
          </cell>
          <cell r="AE9">
            <v>12</v>
          </cell>
          <cell r="AF9">
            <v>0</v>
          </cell>
          <cell r="AG9">
            <v>2</v>
          </cell>
          <cell r="AH9">
            <v>0</v>
          </cell>
          <cell r="AI9">
            <v>420</v>
          </cell>
          <cell r="AJ9">
            <v>109</v>
          </cell>
          <cell r="AK9">
            <v>20</v>
          </cell>
        </row>
        <row r="10">
          <cell r="C10">
            <v>350710003</v>
          </cell>
          <cell r="D10">
            <v>11</v>
          </cell>
          <cell r="E10">
            <v>3</v>
          </cell>
          <cell r="F10">
            <v>0</v>
          </cell>
          <cell r="G10">
            <v>0</v>
          </cell>
          <cell r="H10">
            <v>0</v>
          </cell>
          <cell r="I10">
            <v>22</v>
          </cell>
          <cell r="J10">
            <v>0</v>
          </cell>
          <cell r="K10">
            <v>0</v>
          </cell>
          <cell r="L10">
            <v>10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10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5</v>
          </cell>
          <cell r="X10">
            <v>25</v>
          </cell>
          <cell r="Y10">
            <v>9</v>
          </cell>
          <cell r="Z10">
            <v>2</v>
          </cell>
          <cell r="AA10">
            <v>2</v>
          </cell>
          <cell r="AB10">
            <v>23</v>
          </cell>
          <cell r="AC10">
            <v>0</v>
          </cell>
          <cell r="AD10">
            <v>0</v>
          </cell>
          <cell r="AE10">
            <v>3</v>
          </cell>
          <cell r="AF10">
            <v>0</v>
          </cell>
          <cell r="AG10">
            <v>0</v>
          </cell>
          <cell r="AH10">
            <v>0</v>
          </cell>
          <cell r="AI10">
            <v>127</v>
          </cell>
          <cell r="AJ10">
            <v>25</v>
          </cell>
          <cell r="AK10">
            <v>13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29</v>
          </cell>
          <cell r="K11">
            <v>0</v>
          </cell>
          <cell r="L11">
            <v>0</v>
          </cell>
          <cell r="M11">
            <v>37</v>
          </cell>
          <cell r="N11">
            <v>10</v>
          </cell>
          <cell r="O11">
            <v>6</v>
          </cell>
          <cell r="P11">
            <v>0</v>
          </cell>
          <cell r="Q11">
            <v>40</v>
          </cell>
          <cell r="R11">
            <v>0</v>
          </cell>
          <cell r="S11">
            <v>8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15</v>
          </cell>
          <cell r="Y11">
            <v>85</v>
          </cell>
          <cell r="Z11">
            <v>0</v>
          </cell>
          <cell r="AA11">
            <v>7</v>
          </cell>
          <cell r="AB11">
            <v>0</v>
          </cell>
          <cell r="AC11">
            <v>0</v>
          </cell>
          <cell r="AD11">
            <v>45</v>
          </cell>
          <cell r="AE11">
            <v>0</v>
          </cell>
          <cell r="AF11">
            <v>35</v>
          </cell>
          <cell r="AG11">
            <v>0</v>
          </cell>
          <cell r="AH11">
            <v>0</v>
          </cell>
          <cell r="AI11">
            <v>317</v>
          </cell>
          <cell r="AJ11">
            <v>85</v>
          </cell>
          <cell r="AK11">
            <v>11</v>
          </cell>
        </row>
        <row r="12">
          <cell r="C12">
            <v>350710005</v>
          </cell>
          <cell r="D12">
            <v>20</v>
          </cell>
          <cell r="E12">
            <v>15</v>
          </cell>
          <cell r="F12">
            <v>12</v>
          </cell>
          <cell r="G12">
            <v>0</v>
          </cell>
          <cell r="H12">
            <v>0</v>
          </cell>
          <cell r="I12">
            <v>0</v>
          </cell>
          <cell r="J12">
            <v>45</v>
          </cell>
          <cell r="K12">
            <v>35</v>
          </cell>
          <cell r="L12">
            <v>0</v>
          </cell>
          <cell r="M12">
            <v>22</v>
          </cell>
          <cell r="N12">
            <v>3</v>
          </cell>
          <cell r="O12">
            <v>2</v>
          </cell>
          <cell r="P12">
            <v>3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26</v>
          </cell>
          <cell r="X12">
            <v>25</v>
          </cell>
          <cell r="Y12">
            <v>10</v>
          </cell>
          <cell r="Z12">
            <v>12</v>
          </cell>
          <cell r="AA12">
            <v>20</v>
          </cell>
          <cell r="AB12">
            <v>25</v>
          </cell>
          <cell r="AC12">
            <v>0</v>
          </cell>
          <cell r="AD12">
            <v>0</v>
          </cell>
          <cell r="AE12">
            <v>0</v>
          </cell>
          <cell r="AF12">
            <v>5</v>
          </cell>
          <cell r="AG12">
            <v>0</v>
          </cell>
          <cell r="AH12">
            <v>0</v>
          </cell>
          <cell r="AI12">
            <v>280</v>
          </cell>
          <cell r="AJ12">
            <v>45</v>
          </cell>
          <cell r="AK12">
            <v>16</v>
          </cell>
        </row>
        <row r="13">
          <cell r="C13">
            <v>350710006</v>
          </cell>
          <cell r="D13">
            <v>5</v>
          </cell>
          <cell r="E13">
            <v>4</v>
          </cell>
          <cell r="F13">
            <v>14</v>
          </cell>
          <cell r="G13">
            <v>0</v>
          </cell>
          <cell r="H13">
            <v>30</v>
          </cell>
          <cell r="I13">
            <v>0</v>
          </cell>
          <cell r="J13">
            <v>0</v>
          </cell>
          <cell r="K13">
            <v>0</v>
          </cell>
          <cell r="L13">
            <v>41</v>
          </cell>
          <cell r="M13">
            <v>66</v>
          </cell>
          <cell r="N13">
            <v>7</v>
          </cell>
          <cell r="O13">
            <v>0</v>
          </cell>
          <cell r="P13">
            <v>8</v>
          </cell>
          <cell r="Q13">
            <v>17</v>
          </cell>
          <cell r="R13">
            <v>51</v>
          </cell>
          <cell r="S13">
            <v>5</v>
          </cell>
          <cell r="T13">
            <v>0</v>
          </cell>
          <cell r="U13">
            <v>0</v>
          </cell>
          <cell r="V13">
            <v>5</v>
          </cell>
          <cell r="W13">
            <v>29</v>
          </cell>
          <cell r="X13">
            <v>70</v>
          </cell>
          <cell r="Y13">
            <v>60</v>
          </cell>
          <cell r="Z13">
            <v>12</v>
          </cell>
          <cell r="AA13">
            <v>41</v>
          </cell>
          <cell r="AB13">
            <v>39</v>
          </cell>
          <cell r="AC13">
            <v>8</v>
          </cell>
          <cell r="AD13">
            <v>20</v>
          </cell>
          <cell r="AE13">
            <v>19</v>
          </cell>
          <cell r="AF13">
            <v>7</v>
          </cell>
          <cell r="AG13">
            <v>0</v>
          </cell>
          <cell r="AH13">
            <v>0</v>
          </cell>
          <cell r="AI13">
            <v>558</v>
          </cell>
          <cell r="AJ13">
            <v>70</v>
          </cell>
          <cell r="AK13">
            <v>22</v>
          </cell>
        </row>
        <row r="14">
          <cell r="C14">
            <v>350710007</v>
          </cell>
          <cell r="D14">
            <v>0</v>
          </cell>
          <cell r="E14">
            <v>5</v>
          </cell>
          <cell r="F14">
            <v>0</v>
          </cell>
          <cell r="G14">
            <v>17</v>
          </cell>
          <cell r="H14">
            <v>0</v>
          </cell>
          <cell r="I14">
            <v>0</v>
          </cell>
          <cell r="J14">
            <v>0</v>
          </cell>
          <cell r="K14">
            <v>6</v>
          </cell>
          <cell r="L14">
            <v>73</v>
          </cell>
          <cell r="M14">
            <v>0</v>
          </cell>
          <cell r="N14">
            <v>50</v>
          </cell>
          <cell r="O14">
            <v>0</v>
          </cell>
          <cell r="P14">
            <v>0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49</v>
          </cell>
          <cell r="Y14">
            <v>35</v>
          </cell>
          <cell r="Z14">
            <v>4</v>
          </cell>
          <cell r="AA14">
            <v>0</v>
          </cell>
          <cell r="AB14">
            <v>103</v>
          </cell>
          <cell r="AC14">
            <v>47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392</v>
          </cell>
          <cell r="AJ14">
            <v>103</v>
          </cell>
          <cell r="AK14">
            <v>11</v>
          </cell>
        </row>
        <row r="15">
          <cell r="C15">
            <v>350710008</v>
          </cell>
          <cell r="D15">
            <v>0</v>
          </cell>
          <cell r="E15">
            <v>23</v>
          </cell>
          <cell r="F15">
            <v>0</v>
          </cell>
          <cell r="G15">
            <v>18</v>
          </cell>
          <cell r="H15">
            <v>0</v>
          </cell>
          <cell r="I15">
            <v>0</v>
          </cell>
          <cell r="J15">
            <v>0</v>
          </cell>
          <cell r="K15">
            <v>13</v>
          </cell>
          <cell r="L15">
            <v>15</v>
          </cell>
          <cell r="M15">
            <v>6</v>
          </cell>
          <cell r="N15">
            <v>33</v>
          </cell>
          <cell r="O15">
            <v>0</v>
          </cell>
          <cell r="P15">
            <v>0</v>
          </cell>
          <cell r="Q15">
            <v>0</v>
          </cell>
          <cell r="R15">
            <v>40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45</v>
          </cell>
          <cell r="Y15">
            <v>113</v>
          </cell>
          <cell r="Z15">
            <v>0</v>
          </cell>
          <cell r="AA15">
            <v>0</v>
          </cell>
          <cell r="AB15">
            <v>43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349</v>
          </cell>
          <cell r="AJ15">
            <v>113</v>
          </cell>
          <cell r="AK15">
            <v>10</v>
          </cell>
        </row>
        <row r="16">
          <cell r="C16">
            <v>350710009</v>
          </cell>
          <cell r="D16">
            <v>6</v>
          </cell>
          <cell r="E16">
            <v>19</v>
          </cell>
          <cell r="F16">
            <v>12</v>
          </cell>
          <cell r="G16">
            <v>36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13</v>
          </cell>
          <cell r="M16">
            <v>16</v>
          </cell>
          <cell r="N16">
            <v>8</v>
          </cell>
          <cell r="O16">
            <v>35</v>
          </cell>
          <cell r="P16">
            <v>0</v>
          </cell>
          <cell r="Q16">
            <v>0</v>
          </cell>
          <cell r="R16">
            <v>13</v>
          </cell>
          <cell r="S16">
            <v>0</v>
          </cell>
          <cell r="T16">
            <v>0</v>
          </cell>
          <cell r="U16">
            <v>0</v>
          </cell>
          <cell r="V16">
            <v>8</v>
          </cell>
          <cell r="W16">
            <v>31</v>
          </cell>
          <cell r="X16">
            <v>32</v>
          </cell>
          <cell r="Y16">
            <v>18</v>
          </cell>
          <cell r="Z16">
            <v>0</v>
          </cell>
          <cell r="AA16">
            <v>8</v>
          </cell>
          <cell r="AB16">
            <v>69</v>
          </cell>
          <cell r="AC16">
            <v>0</v>
          </cell>
          <cell r="AD16">
            <v>10</v>
          </cell>
          <cell r="AE16">
            <v>8</v>
          </cell>
          <cell r="AF16">
            <v>12</v>
          </cell>
          <cell r="AG16">
            <v>0</v>
          </cell>
          <cell r="AH16">
            <v>0</v>
          </cell>
          <cell r="AI16">
            <v>354</v>
          </cell>
          <cell r="AJ16">
            <v>69</v>
          </cell>
          <cell r="AK16">
            <v>18</v>
          </cell>
        </row>
        <row r="17">
          <cell r="C17">
            <v>350710010</v>
          </cell>
          <cell r="D17">
            <v>8</v>
          </cell>
          <cell r="E17">
            <v>25</v>
          </cell>
          <cell r="F17">
            <v>29</v>
          </cell>
          <cell r="G17">
            <v>25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15</v>
          </cell>
          <cell r="M17">
            <v>15</v>
          </cell>
          <cell r="N17">
            <v>8</v>
          </cell>
          <cell r="O17">
            <v>33</v>
          </cell>
          <cell r="P17">
            <v>0</v>
          </cell>
          <cell r="Q17">
            <v>0</v>
          </cell>
          <cell r="R17">
            <v>20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30</v>
          </cell>
          <cell r="Y17">
            <v>19</v>
          </cell>
          <cell r="Z17">
            <v>0</v>
          </cell>
          <cell r="AA17">
            <v>0</v>
          </cell>
          <cell r="AB17">
            <v>30</v>
          </cell>
          <cell r="AC17">
            <v>0</v>
          </cell>
          <cell r="AD17">
            <v>8</v>
          </cell>
          <cell r="AE17">
            <v>5</v>
          </cell>
          <cell r="AF17">
            <v>10</v>
          </cell>
          <cell r="AG17">
            <v>15</v>
          </cell>
          <cell r="AH17">
            <v>0</v>
          </cell>
          <cell r="AI17">
            <v>295</v>
          </cell>
          <cell r="AJ17">
            <v>33</v>
          </cell>
          <cell r="AK17">
            <v>16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15</v>
          </cell>
          <cell r="L18">
            <v>25</v>
          </cell>
          <cell r="M18">
            <v>55</v>
          </cell>
          <cell r="N18">
            <v>60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110</v>
          </cell>
          <cell r="W18">
            <v>115</v>
          </cell>
          <cell r="X18">
            <v>110</v>
          </cell>
          <cell r="Y18">
            <v>45</v>
          </cell>
          <cell r="Z18">
            <v>0</v>
          </cell>
          <cell r="AA18">
            <v>0</v>
          </cell>
          <cell r="AB18">
            <v>0</v>
          </cell>
          <cell r="AC18">
            <v>10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545</v>
          </cell>
          <cell r="AJ18">
            <v>115</v>
          </cell>
          <cell r="AK18">
            <v>9</v>
          </cell>
        </row>
        <row r="19">
          <cell r="C19">
            <v>350710012</v>
          </cell>
          <cell r="D19">
            <v>0</v>
          </cell>
          <cell r="E19">
            <v>4</v>
          </cell>
          <cell r="F19">
            <v>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4</v>
          </cell>
          <cell r="L19">
            <v>5</v>
          </cell>
          <cell r="M19">
            <v>32</v>
          </cell>
          <cell r="N19">
            <v>0</v>
          </cell>
          <cell r="O19">
            <v>0</v>
          </cell>
          <cell r="P19">
            <v>10</v>
          </cell>
          <cell r="Q19">
            <v>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40</v>
          </cell>
          <cell r="W19">
            <v>0</v>
          </cell>
          <cell r="X19">
            <v>45</v>
          </cell>
          <cell r="Y19">
            <v>44</v>
          </cell>
          <cell r="Z19">
            <v>0</v>
          </cell>
          <cell r="AA19">
            <v>80</v>
          </cell>
          <cell r="AB19">
            <v>34</v>
          </cell>
          <cell r="AC19">
            <v>0</v>
          </cell>
          <cell r="AD19">
            <v>5</v>
          </cell>
          <cell r="AE19">
            <v>18</v>
          </cell>
          <cell r="AF19">
            <v>2</v>
          </cell>
          <cell r="AG19">
            <v>0</v>
          </cell>
          <cell r="AH19">
            <v>0</v>
          </cell>
          <cell r="AI19">
            <v>332</v>
          </cell>
          <cell r="AJ19">
            <v>80</v>
          </cell>
          <cell r="AK19">
            <v>15</v>
          </cell>
        </row>
        <row r="20">
          <cell r="C20">
            <v>350710013</v>
          </cell>
          <cell r="D20">
            <v>7</v>
          </cell>
          <cell r="E20">
            <v>0</v>
          </cell>
          <cell r="F20">
            <v>7</v>
          </cell>
          <cell r="G20">
            <v>17</v>
          </cell>
          <cell r="H20">
            <v>0</v>
          </cell>
          <cell r="I20">
            <v>0</v>
          </cell>
          <cell r="J20">
            <v>12</v>
          </cell>
          <cell r="K20">
            <v>41</v>
          </cell>
          <cell r="L20">
            <v>23</v>
          </cell>
          <cell r="M20">
            <v>34</v>
          </cell>
          <cell r="N20">
            <v>0</v>
          </cell>
          <cell r="O20">
            <v>0</v>
          </cell>
          <cell r="P20">
            <v>0</v>
          </cell>
          <cell r="Q20">
            <v>14</v>
          </cell>
          <cell r="R20">
            <v>10</v>
          </cell>
          <cell r="S20">
            <v>0</v>
          </cell>
          <cell r="T20">
            <v>4</v>
          </cell>
          <cell r="U20">
            <v>0</v>
          </cell>
          <cell r="V20">
            <v>24</v>
          </cell>
          <cell r="W20">
            <v>12</v>
          </cell>
          <cell r="X20">
            <v>31</v>
          </cell>
          <cell r="Y20">
            <v>14</v>
          </cell>
          <cell r="Z20">
            <v>0</v>
          </cell>
          <cell r="AA20">
            <v>7</v>
          </cell>
          <cell r="AB20">
            <v>53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310</v>
          </cell>
          <cell r="AJ20">
            <v>53</v>
          </cell>
          <cell r="AK20">
            <v>16</v>
          </cell>
        </row>
        <row r="21">
          <cell r="C21">
            <v>350710014</v>
          </cell>
          <cell r="D21">
            <v>0</v>
          </cell>
          <cell r="E21">
            <v>19</v>
          </cell>
          <cell r="F21">
            <v>0</v>
          </cell>
          <cell r="G21">
            <v>60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14</v>
          </cell>
          <cell r="M21">
            <v>0</v>
          </cell>
          <cell r="N21">
            <v>42</v>
          </cell>
          <cell r="O21">
            <v>45</v>
          </cell>
          <cell r="P21">
            <v>1</v>
          </cell>
          <cell r="Q21">
            <v>4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26</v>
          </cell>
          <cell r="X21">
            <v>66</v>
          </cell>
          <cell r="Y21">
            <v>9</v>
          </cell>
          <cell r="Z21">
            <v>13</v>
          </cell>
          <cell r="AA21">
            <v>0</v>
          </cell>
          <cell r="AB21">
            <v>55</v>
          </cell>
          <cell r="AC21">
            <v>31</v>
          </cell>
          <cell r="AD21">
            <v>68</v>
          </cell>
          <cell r="AE21">
            <v>16</v>
          </cell>
          <cell r="AF21">
            <v>51</v>
          </cell>
          <cell r="AG21">
            <v>35</v>
          </cell>
          <cell r="AH21">
            <v>0</v>
          </cell>
          <cell r="AI21">
            <v>555</v>
          </cell>
          <cell r="AJ21">
            <v>68</v>
          </cell>
          <cell r="AK21">
            <v>17</v>
          </cell>
        </row>
        <row r="22">
          <cell r="C22">
            <v>350710015</v>
          </cell>
          <cell r="D22">
            <v>0</v>
          </cell>
          <cell r="E22">
            <v>0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</v>
          </cell>
          <cell r="L22">
            <v>4</v>
          </cell>
          <cell r="M22">
            <v>17</v>
          </cell>
          <cell r="N22">
            <v>0</v>
          </cell>
          <cell r="O22">
            <v>7</v>
          </cell>
          <cell r="P22">
            <v>2</v>
          </cell>
          <cell r="Q22">
            <v>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20</v>
          </cell>
          <cell r="W22">
            <v>17</v>
          </cell>
          <cell r="X22">
            <v>46</v>
          </cell>
          <cell r="Y22">
            <v>10</v>
          </cell>
          <cell r="Z22">
            <v>0</v>
          </cell>
          <cell r="AA22">
            <v>48</v>
          </cell>
          <cell r="AB22">
            <v>7</v>
          </cell>
          <cell r="AC22">
            <v>7</v>
          </cell>
          <cell r="AD22">
            <v>21</v>
          </cell>
          <cell r="AE22">
            <v>1</v>
          </cell>
          <cell r="AF22">
            <v>0</v>
          </cell>
          <cell r="AG22">
            <v>0</v>
          </cell>
          <cell r="AH22">
            <v>13</v>
          </cell>
          <cell r="AI22">
            <v>226</v>
          </cell>
          <cell r="AJ22">
            <v>48</v>
          </cell>
          <cell r="AK22">
            <v>17</v>
          </cell>
        </row>
        <row r="23">
          <cell r="C23">
            <v>350710016</v>
          </cell>
          <cell r="D23">
            <v>0</v>
          </cell>
          <cell r="E23">
            <v>7</v>
          </cell>
          <cell r="F23">
            <v>0</v>
          </cell>
          <cell r="G23">
            <v>9</v>
          </cell>
          <cell r="H23">
            <v>0</v>
          </cell>
          <cell r="I23">
            <v>0</v>
          </cell>
          <cell r="J23">
            <v>0</v>
          </cell>
          <cell r="K23">
            <v>2</v>
          </cell>
          <cell r="L23">
            <v>33</v>
          </cell>
          <cell r="M23">
            <v>0</v>
          </cell>
          <cell r="N23">
            <v>30</v>
          </cell>
          <cell r="O23">
            <v>0</v>
          </cell>
          <cell r="P23">
            <v>0</v>
          </cell>
          <cell r="Q23">
            <v>3</v>
          </cell>
          <cell r="R23">
            <v>19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3</v>
          </cell>
          <cell r="X23">
            <v>52</v>
          </cell>
          <cell r="Y23">
            <v>55</v>
          </cell>
          <cell r="Z23">
            <v>0</v>
          </cell>
          <cell r="AA23">
            <v>0</v>
          </cell>
          <cell r="AB23">
            <v>37</v>
          </cell>
          <cell r="AC23">
            <v>15</v>
          </cell>
          <cell r="AD23">
            <v>0</v>
          </cell>
          <cell r="AE23">
            <v>5</v>
          </cell>
          <cell r="AF23">
            <v>0</v>
          </cell>
          <cell r="AG23">
            <v>0</v>
          </cell>
          <cell r="AH23">
            <v>6</v>
          </cell>
          <cell r="AI23">
            <v>276</v>
          </cell>
          <cell r="AJ23">
            <v>55</v>
          </cell>
          <cell r="AK23">
            <v>14</v>
          </cell>
        </row>
        <row r="24">
          <cell r="C24">
            <v>350710017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11</v>
          </cell>
          <cell r="I24">
            <v>0</v>
          </cell>
          <cell r="J24">
            <v>0</v>
          </cell>
          <cell r="K24">
            <v>0</v>
          </cell>
          <cell r="L24">
            <v>19</v>
          </cell>
          <cell r="M24">
            <v>67</v>
          </cell>
          <cell r="N24">
            <v>67</v>
          </cell>
          <cell r="O24">
            <v>0</v>
          </cell>
          <cell r="P24">
            <v>7</v>
          </cell>
          <cell r="Q24">
            <v>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91</v>
          </cell>
          <cell r="X24">
            <v>12</v>
          </cell>
          <cell r="Y24">
            <v>43</v>
          </cell>
          <cell r="Z24">
            <v>0</v>
          </cell>
          <cell r="AA24">
            <v>0</v>
          </cell>
          <cell r="AB24">
            <v>90</v>
          </cell>
          <cell r="AC24">
            <v>39</v>
          </cell>
          <cell r="AD24">
            <v>51</v>
          </cell>
          <cell r="AE24">
            <v>16</v>
          </cell>
          <cell r="AF24">
            <v>0</v>
          </cell>
          <cell r="AG24">
            <v>0</v>
          </cell>
          <cell r="AH24">
            <v>5</v>
          </cell>
          <cell r="AI24">
            <v>520</v>
          </cell>
          <cell r="AJ24">
            <v>91</v>
          </cell>
          <cell r="AK24">
            <v>14</v>
          </cell>
        </row>
        <row r="25">
          <cell r="C25">
            <v>350710018</v>
          </cell>
          <cell r="D25">
            <v>80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52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83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33</v>
          </cell>
          <cell r="W25">
            <v>80</v>
          </cell>
          <cell r="X25">
            <v>0</v>
          </cell>
          <cell r="Y25">
            <v>47</v>
          </cell>
          <cell r="Z25">
            <v>76</v>
          </cell>
          <cell r="AA25">
            <v>80</v>
          </cell>
          <cell r="AB25">
            <v>26</v>
          </cell>
          <cell r="AC25">
            <v>70</v>
          </cell>
          <cell r="AD25">
            <v>22</v>
          </cell>
          <cell r="AE25">
            <v>30</v>
          </cell>
          <cell r="AF25">
            <v>42</v>
          </cell>
          <cell r="AG25">
            <v>0</v>
          </cell>
          <cell r="AH25">
            <v>88</v>
          </cell>
          <cell r="AI25">
            <v>809</v>
          </cell>
          <cell r="AJ25">
            <v>88</v>
          </cell>
          <cell r="AK25">
            <v>14</v>
          </cell>
        </row>
        <row r="26">
          <cell r="C26">
            <v>350710019</v>
          </cell>
          <cell r="D26">
            <v>61</v>
          </cell>
          <cell r="E26">
            <v>53</v>
          </cell>
          <cell r="F26">
            <v>58</v>
          </cell>
          <cell r="G26">
            <v>21</v>
          </cell>
          <cell r="H26">
            <v>0</v>
          </cell>
          <cell r="I26">
            <v>7</v>
          </cell>
          <cell r="J26">
            <v>51</v>
          </cell>
          <cell r="K26">
            <v>33</v>
          </cell>
          <cell r="L26">
            <v>41</v>
          </cell>
          <cell r="M26">
            <v>37</v>
          </cell>
          <cell r="N26">
            <v>43</v>
          </cell>
          <cell r="O26">
            <v>21</v>
          </cell>
          <cell r="P26">
            <v>17</v>
          </cell>
          <cell r="Q26">
            <v>43</v>
          </cell>
          <cell r="R26">
            <v>0</v>
          </cell>
          <cell r="S26">
            <v>0</v>
          </cell>
          <cell r="T26">
            <v>0</v>
          </cell>
          <cell r="U26">
            <v>27</v>
          </cell>
          <cell r="V26">
            <v>37</v>
          </cell>
          <cell r="W26">
            <v>51</v>
          </cell>
          <cell r="X26">
            <v>47</v>
          </cell>
          <cell r="Y26">
            <v>38</v>
          </cell>
          <cell r="Z26">
            <v>44</v>
          </cell>
          <cell r="AA26">
            <v>51</v>
          </cell>
          <cell r="AB26">
            <v>43</v>
          </cell>
          <cell r="AC26">
            <v>37</v>
          </cell>
          <cell r="AD26">
            <v>29</v>
          </cell>
          <cell r="AE26">
            <v>24</v>
          </cell>
          <cell r="AF26">
            <v>29</v>
          </cell>
          <cell r="AG26">
            <v>0</v>
          </cell>
          <cell r="AH26">
            <v>29</v>
          </cell>
          <cell r="AI26">
            <v>972</v>
          </cell>
          <cell r="AJ26">
            <v>61</v>
          </cell>
          <cell r="AK26">
            <v>26</v>
          </cell>
        </row>
        <row r="27">
          <cell r="C27">
            <v>350710020</v>
          </cell>
          <cell r="D27">
            <v>0</v>
          </cell>
          <cell r="E27">
            <v>9</v>
          </cell>
          <cell r="F27">
            <v>6</v>
          </cell>
          <cell r="G27">
            <v>12</v>
          </cell>
          <cell r="H27">
            <v>0</v>
          </cell>
          <cell r="I27">
            <v>0</v>
          </cell>
          <cell r="J27">
            <v>0</v>
          </cell>
          <cell r="K27">
            <v>5</v>
          </cell>
          <cell r="L27">
            <v>6</v>
          </cell>
          <cell r="M27">
            <v>30</v>
          </cell>
          <cell r="N27">
            <v>49</v>
          </cell>
          <cell r="O27">
            <v>5</v>
          </cell>
          <cell r="P27">
            <v>1</v>
          </cell>
          <cell r="Q27">
            <v>5</v>
          </cell>
          <cell r="R27">
            <v>3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33</v>
          </cell>
          <cell r="X27">
            <v>39</v>
          </cell>
          <cell r="Y27">
            <v>24</v>
          </cell>
          <cell r="Z27">
            <v>31</v>
          </cell>
          <cell r="AA27">
            <v>0</v>
          </cell>
          <cell r="AB27">
            <v>115</v>
          </cell>
          <cell r="AC27">
            <v>23</v>
          </cell>
          <cell r="AD27">
            <v>31</v>
          </cell>
          <cell r="AE27">
            <v>7</v>
          </cell>
          <cell r="AF27">
            <v>5</v>
          </cell>
          <cell r="AG27">
            <v>23</v>
          </cell>
          <cell r="AH27">
            <v>0</v>
          </cell>
          <cell r="AI27">
            <v>462</v>
          </cell>
          <cell r="AJ27">
            <v>115</v>
          </cell>
          <cell r="AK27">
            <v>21</v>
          </cell>
        </row>
        <row r="28">
          <cell r="C28">
            <v>350710021</v>
          </cell>
          <cell r="D28">
            <v>0</v>
          </cell>
          <cell r="E28">
            <v>15</v>
          </cell>
          <cell r="F28">
            <v>17</v>
          </cell>
          <cell r="G28">
            <v>24</v>
          </cell>
          <cell r="H28">
            <v>4</v>
          </cell>
          <cell r="I28">
            <v>0</v>
          </cell>
          <cell r="J28">
            <v>0</v>
          </cell>
          <cell r="K28">
            <v>19</v>
          </cell>
          <cell r="L28">
            <v>7</v>
          </cell>
          <cell r="M28">
            <v>11</v>
          </cell>
          <cell r="N28">
            <v>0</v>
          </cell>
          <cell r="O28">
            <v>21</v>
          </cell>
          <cell r="P28">
            <v>9</v>
          </cell>
          <cell r="Q28">
            <v>0</v>
          </cell>
          <cell r="R28">
            <v>12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10</v>
          </cell>
          <cell r="X28">
            <v>31</v>
          </cell>
          <cell r="Y28">
            <v>18</v>
          </cell>
          <cell r="Z28">
            <v>16</v>
          </cell>
          <cell r="AA28">
            <v>19</v>
          </cell>
          <cell r="AB28">
            <v>42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275</v>
          </cell>
          <cell r="AJ28">
            <v>42</v>
          </cell>
          <cell r="AK28">
            <v>16</v>
          </cell>
        </row>
        <row r="29">
          <cell r="C29">
            <v>350710022</v>
          </cell>
          <cell r="D29">
            <v>17</v>
          </cell>
          <cell r="E29">
            <v>4</v>
          </cell>
          <cell r="F29">
            <v>20</v>
          </cell>
          <cell r="G29">
            <v>94</v>
          </cell>
          <cell r="H29" t="str">
            <v>0,4</v>
          </cell>
          <cell r="I29">
            <v>0</v>
          </cell>
          <cell r="J29">
            <v>7</v>
          </cell>
          <cell r="K29">
            <v>3</v>
          </cell>
          <cell r="L29">
            <v>3</v>
          </cell>
          <cell r="M29">
            <v>0.4</v>
          </cell>
          <cell r="N29">
            <v>7</v>
          </cell>
          <cell r="O29">
            <v>1</v>
          </cell>
          <cell r="P29">
            <v>24</v>
          </cell>
          <cell r="Q29">
            <v>15</v>
          </cell>
          <cell r="R29">
            <v>0</v>
          </cell>
          <cell r="S29">
            <v>4</v>
          </cell>
          <cell r="T29">
            <v>2</v>
          </cell>
          <cell r="U29">
            <v>0</v>
          </cell>
          <cell r="V29">
            <v>0</v>
          </cell>
          <cell r="W29">
            <v>12</v>
          </cell>
          <cell r="X29">
            <v>6</v>
          </cell>
          <cell r="Y29">
            <v>99</v>
          </cell>
          <cell r="Z29">
            <v>30</v>
          </cell>
          <cell r="AA29">
            <v>3</v>
          </cell>
          <cell r="AB29">
            <v>82</v>
          </cell>
          <cell r="AC29" t="str">
            <v>0,3</v>
          </cell>
          <cell r="AD29" t="str">
            <v>0,3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433.4</v>
          </cell>
          <cell r="AJ29">
            <v>99</v>
          </cell>
          <cell r="AK29">
            <v>20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0</v>
          </cell>
          <cell r="G30">
            <v>26</v>
          </cell>
          <cell r="H30">
            <v>0</v>
          </cell>
          <cell r="I30">
            <v>10</v>
          </cell>
          <cell r="J30">
            <v>0</v>
          </cell>
          <cell r="K30">
            <v>27</v>
          </cell>
          <cell r="L30">
            <v>7</v>
          </cell>
          <cell r="M30">
            <v>26</v>
          </cell>
          <cell r="N30">
            <v>0</v>
          </cell>
          <cell r="O30">
            <v>0</v>
          </cell>
          <cell r="P30">
            <v>16</v>
          </cell>
          <cell r="Q30">
            <v>5</v>
          </cell>
          <cell r="R30">
            <v>6</v>
          </cell>
          <cell r="S30">
            <v>0</v>
          </cell>
          <cell r="T30">
            <v>0</v>
          </cell>
          <cell r="U30">
            <v>0</v>
          </cell>
          <cell r="V30">
            <v>7</v>
          </cell>
          <cell r="W30">
            <v>17</v>
          </cell>
          <cell r="X30">
            <v>6</v>
          </cell>
          <cell r="Y30">
            <v>8</v>
          </cell>
          <cell r="Z30">
            <v>0</v>
          </cell>
          <cell r="AA30">
            <v>0</v>
          </cell>
          <cell r="AB30">
            <v>82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243</v>
          </cell>
          <cell r="AJ30">
            <v>82</v>
          </cell>
          <cell r="AK30">
            <v>13</v>
          </cell>
        </row>
        <row r="31">
          <cell r="C31">
            <v>350710025</v>
          </cell>
          <cell r="D31">
            <v>7</v>
          </cell>
          <cell r="E31">
            <v>5</v>
          </cell>
          <cell r="F31">
            <v>2</v>
          </cell>
          <cell r="G31">
            <v>9</v>
          </cell>
          <cell r="H31">
            <v>1</v>
          </cell>
          <cell r="I31">
            <v>7</v>
          </cell>
          <cell r="J31">
            <v>0</v>
          </cell>
          <cell r="K31">
            <v>5</v>
          </cell>
          <cell r="L31">
            <v>0</v>
          </cell>
          <cell r="M31">
            <v>9</v>
          </cell>
          <cell r="N31">
            <v>3</v>
          </cell>
          <cell r="O31">
            <v>7</v>
          </cell>
          <cell r="P31">
            <v>5</v>
          </cell>
          <cell r="Q31">
            <v>1</v>
          </cell>
          <cell r="R31">
            <v>0</v>
          </cell>
          <cell r="S31">
            <v>4</v>
          </cell>
          <cell r="T31">
            <v>14</v>
          </cell>
          <cell r="U31">
            <v>0</v>
          </cell>
          <cell r="V31">
            <v>2</v>
          </cell>
          <cell r="W31">
            <v>1</v>
          </cell>
          <cell r="X31">
            <v>6</v>
          </cell>
          <cell r="Y31">
            <v>9</v>
          </cell>
          <cell r="Z31">
            <v>11</v>
          </cell>
          <cell r="AA31">
            <v>1</v>
          </cell>
          <cell r="AB31">
            <v>27</v>
          </cell>
          <cell r="AC31">
            <v>0</v>
          </cell>
          <cell r="AD31">
            <v>0</v>
          </cell>
          <cell r="AE31">
            <v>0</v>
          </cell>
          <cell r="AF31">
            <v>11</v>
          </cell>
          <cell r="AG31">
            <v>0</v>
          </cell>
          <cell r="AH31">
            <v>0</v>
          </cell>
          <cell r="AI31">
            <v>147</v>
          </cell>
          <cell r="AJ31">
            <v>27</v>
          </cell>
          <cell r="AK31">
            <v>22</v>
          </cell>
        </row>
        <row r="32">
          <cell r="C32">
            <v>350710026</v>
          </cell>
          <cell r="D32">
            <v>0</v>
          </cell>
          <cell r="E32">
            <v>0</v>
          </cell>
          <cell r="F32">
            <v>9</v>
          </cell>
          <cell r="G32">
            <v>0</v>
          </cell>
          <cell r="H32">
            <v>0</v>
          </cell>
          <cell r="I32">
            <v>0</v>
          </cell>
          <cell r="J32">
            <v>18</v>
          </cell>
          <cell r="K32">
            <v>37</v>
          </cell>
          <cell r="L32">
            <v>0</v>
          </cell>
          <cell r="M32">
            <v>0</v>
          </cell>
          <cell r="N32">
            <v>3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</v>
          </cell>
          <cell r="X32">
            <v>68</v>
          </cell>
          <cell r="Y32">
            <v>20</v>
          </cell>
          <cell r="Z32">
            <v>4</v>
          </cell>
          <cell r="AA32">
            <v>12</v>
          </cell>
          <cell r="AB32">
            <v>81</v>
          </cell>
          <cell r="AC32">
            <v>15</v>
          </cell>
          <cell r="AD32">
            <v>0</v>
          </cell>
          <cell r="AE32">
            <v>3</v>
          </cell>
          <cell r="AF32">
            <v>0</v>
          </cell>
          <cell r="AG32">
            <v>10</v>
          </cell>
          <cell r="AH32">
            <v>1</v>
          </cell>
          <cell r="AI32">
            <v>283</v>
          </cell>
          <cell r="AJ32">
            <v>81</v>
          </cell>
          <cell r="AK32">
            <v>14</v>
          </cell>
        </row>
        <row r="33">
          <cell r="C33">
            <v>350710027</v>
          </cell>
          <cell r="D33">
            <v>7</v>
          </cell>
          <cell r="E33">
            <v>0</v>
          </cell>
          <cell r="F33">
            <v>0</v>
          </cell>
          <cell r="G33">
            <v>68</v>
          </cell>
          <cell r="H33">
            <v>0</v>
          </cell>
          <cell r="I33">
            <v>0</v>
          </cell>
          <cell r="J33">
            <v>3</v>
          </cell>
          <cell r="K33">
            <v>0</v>
          </cell>
          <cell r="L33">
            <v>10</v>
          </cell>
          <cell r="M33">
            <v>50</v>
          </cell>
          <cell r="N33">
            <v>0</v>
          </cell>
          <cell r="O33">
            <v>0</v>
          </cell>
          <cell r="P33">
            <v>0</v>
          </cell>
          <cell r="Q33">
            <v>6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</v>
          </cell>
          <cell r="X33">
            <v>3</v>
          </cell>
          <cell r="Y33">
            <v>12</v>
          </cell>
          <cell r="Z33">
            <v>0</v>
          </cell>
          <cell r="AA33">
            <v>13</v>
          </cell>
          <cell r="AB33">
            <v>0</v>
          </cell>
          <cell r="AC33">
            <v>25</v>
          </cell>
          <cell r="AD33">
            <v>25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229</v>
          </cell>
          <cell r="AJ33">
            <v>68</v>
          </cell>
          <cell r="AK33">
            <v>12</v>
          </cell>
        </row>
        <row r="34">
          <cell r="C34">
            <v>350710028</v>
          </cell>
          <cell r="D34">
            <v>0</v>
          </cell>
          <cell r="E34">
            <v>0</v>
          </cell>
          <cell r="F34">
            <v>27</v>
          </cell>
          <cell r="G34">
            <v>0</v>
          </cell>
          <cell r="H34">
            <v>0</v>
          </cell>
          <cell r="I34">
            <v>0</v>
          </cell>
          <cell r="J34">
            <v>3</v>
          </cell>
          <cell r="K34">
            <v>1</v>
          </cell>
          <cell r="L34">
            <v>6</v>
          </cell>
          <cell r="M34">
            <v>7</v>
          </cell>
          <cell r="N34">
            <v>0</v>
          </cell>
          <cell r="O34">
            <v>0</v>
          </cell>
          <cell r="P34">
            <v>9</v>
          </cell>
          <cell r="Q34">
            <v>21</v>
          </cell>
          <cell r="R34">
            <v>0</v>
          </cell>
          <cell r="S34">
            <v>1</v>
          </cell>
          <cell r="T34">
            <v>0</v>
          </cell>
          <cell r="U34">
            <v>0</v>
          </cell>
          <cell r="V34">
            <v>47</v>
          </cell>
          <cell r="W34">
            <v>24</v>
          </cell>
          <cell r="X34">
            <v>87</v>
          </cell>
          <cell r="Y34">
            <v>25</v>
          </cell>
          <cell r="Z34">
            <v>0</v>
          </cell>
          <cell r="AA34">
            <v>33</v>
          </cell>
          <cell r="AB34">
            <v>64</v>
          </cell>
          <cell r="AC34">
            <v>14</v>
          </cell>
          <cell r="AD34">
            <v>46</v>
          </cell>
          <cell r="AE34">
            <v>21</v>
          </cell>
          <cell r="AF34">
            <v>0</v>
          </cell>
          <cell r="AG34">
            <v>45</v>
          </cell>
          <cell r="AH34">
            <v>0</v>
          </cell>
          <cell r="AI34">
            <v>481</v>
          </cell>
          <cell r="AJ34">
            <v>87</v>
          </cell>
          <cell r="AK34">
            <v>18</v>
          </cell>
        </row>
        <row r="35">
          <cell r="C35">
            <v>350710029</v>
          </cell>
          <cell r="D35">
            <v>22</v>
          </cell>
          <cell r="E35">
            <v>7</v>
          </cell>
          <cell r="F35">
            <v>0</v>
          </cell>
          <cell r="G35">
            <v>0</v>
          </cell>
          <cell r="H35">
            <v>5</v>
          </cell>
          <cell r="I35">
            <v>34</v>
          </cell>
          <cell r="J35">
            <v>0</v>
          </cell>
          <cell r="K35">
            <v>0</v>
          </cell>
          <cell r="L35">
            <v>15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2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6</v>
          </cell>
          <cell r="X35">
            <v>27</v>
          </cell>
          <cell r="Y35">
            <v>34</v>
          </cell>
          <cell r="Z35">
            <v>28</v>
          </cell>
          <cell r="AA35">
            <v>0</v>
          </cell>
          <cell r="AB35">
            <v>12</v>
          </cell>
          <cell r="AC35">
            <v>19</v>
          </cell>
          <cell r="AD35">
            <v>52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263</v>
          </cell>
          <cell r="AJ35">
            <v>52</v>
          </cell>
          <cell r="AK35">
            <v>13</v>
          </cell>
        </row>
        <row r="36">
          <cell r="C36">
            <v>350710030</v>
          </cell>
          <cell r="D36">
            <v>30</v>
          </cell>
          <cell r="E36">
            <v>2</v>
          </cell>
          <cell r="F36">
            <v>0.4</v>
          </cell>
          <cell r="G36">
            <v>31</v>
          </cell>
          <cell r="H36">
            <v>0</v>
          </cell>
          <cell r="I36">
            <v>0</v>
          </cell>
          <cell r="J36">
            <v>6</v>
          </cell>
          <cell r="K36">
            <v>14</v>
          </cell>
          <cell r="L36">
            <v>12</v>
          </cell>
          <cell r="M36">
            <v>3</v>
          </cell>
          <cell r="N36">
            <v>0.2</v>
          </cell>
          <cell r="O36">
            <v>41</v>
          </cell>
          <cell r="P36">
            <v>0</v>
          </cell>
          <cell r="Q36">
            <v>22</v>
          </cell>
          <cell r="R36">
            <v>0</v>
          </cell>
          <cell r="S36">
            <v>4</v>
          </cell>
          <cell r="T36">
            <v>5</v>
          </cell>
          <cell r="U36">
            <v>0</v>
          </cell>
          <cell r="V36">
            <v>5</v>
          </cell>
          <cell r="W36">
            <v>0</v>
          </cell>
          <cell r="X36">
            <v>13</v>
          </cell>
          <cell r="Y36">
            <v>46</v>
          </cell>
          <cell r="Z36">
            <v>48</v>
          </cell>
          <cell r="AA36">
            <v>0.3</v>
          </cell>
          <cell r="AB36">
            <v>28</v>
          </cell>
          <cell r="AC36">
            <v>0</v>
          </cell>
          <cell r="AD36">
            <v>0</v>
          </cell>
          <cell r="AE36">
            <v>0</v>
          </cell>
          <cell r="AF36">
            <v>2</v>
          </cell>
          <cell r="AG36">
            <v>0</v>
          </cell>
          <cell r="AH36">
            <v>0</v>
          </cell>
          <cell r="AI36">
            <v>312.90000000000003</v>
          </cell>
          <cell r="AJ36">
            <v>48</v>
          </cell>
          <cell r="AK36">
            <v>20</v>
          </cell>
        </row>
        <row r="37">
          <cell r="C37">
            <v>350710031</v>
          </cell>
          <cell r="D37">
            <v>0</v>
          </cell>
          <cell r="E37">
            <v>50</v>
          </cell>
          <cell r="F37">
            <v>32</v>
          </cell>
          <cell r="G37">
            <v>0</v>
          </cell>
          <cell r="H37">
            <v>0</v>
          </cell>
          <cell r="I37">
            <v>0</v>
          </cell>
          <cell r="J37">
            <v>12</v>
          </cell>
          <cell r="K37">
            <v>0</v>
          </cell>
          <cell r="L37">
            <v>51</v>
          </cell>
          <cell r="M37">
            <v>78</v>
          </cell>
          <cell r="N37">
            <v>0</v>
          </cell>
          <cell r="O37">
            <v>0</v>
          </cell>
          <cell r="P37">
            <v>0</v>
          </cell>
          <cell r="Q37">
            <v>8</v>
          </cell>
          <cell r="R37">
            <v>24</v>
          </cell>
          <cell r="S37">
            <v>0</v>
          </cell>
          <cell r="T37">
            <v>14</v>
          </cell>
          <cell r="U37">
            <v>0</v>
          </cell>
          <cell r="V37">
            <v>42</v>
          </cell>
          <cell r="W37">
            <v>67</v>
          </cell>
          <cell r="X37">
            <v>49</v>
          </cell>
          <cell r="Y37">
            <v>0</v>
          </cell>
          <cell r="Z37">
            <v>16</v>
          </cell>
          <cell r="AA37">
            <v>9</v>
          </cell>
          <cell r="AB37">
            <v>0</v>
          </cell>
          <cell r="AC37">
            <v>26</v>
          </cell>
          <cell r="AD37">
            <v>31</v>
          </cell>
          <cell r="AE37">
            <v>0</v>
          </cell>
          <cell r="AF37">
            <v>38</v>
          </cell>
          <cell r="AG37">
            <v>0</v>
          </cell>
          <cell r="AH37">
            <v>0</v>
          </cell>
          <cell r="AI37">
            <v>547</v>
          </cell>
          <cell r="AJ37">
            <v>78</v>
          </cell>
          <cell r="AK37">
            <v>16</v>
          </cell>
        </row>
        <row r="38">
          <cell r="C38">
            <v>350710032</v>
          </cell>
          <cell r="D38">
            <v>0</v>
          </cell>
          <cell r="E38">
            <v>4</v>
          </cell>
          <cell r="F38">
            <v>0</v>
          </cell>
          <cell r="G38">
            <v>35</v>
          </cell>
          <cell r="H38">
            <v>10</v>
          </cell>
          <cell r="I38">
            <v>2</v>
          </cell>
          <cell r="J38">
            <v>0</v>
          </cell>
          <cell r="K38">
            <v>4</v>
          </cell>
          <cell r="L38">
            <v>8</v>
          </cell>
          <cell r="M38">
            <v>23</v>
          </cell>
          <cell r="N38">
            <v>2</v>
          </cell>
          <cell r="O38">
            <v>0</v>
          </cell>
          <cell r="P38">
            <v>0</v>
          </cell>
          <cell r="Q38">
            <v>1</v>
          </cell>
          <cell r="R38">
            <v>13</v>
          </cell>
          <cell r="S38">
            <v>0</v>
          </cell>
          <cell r="T38">
            <v>0</v>
          </cell>
          <cell r="U38">
            <v>1</v>
          </cell>
          <cell r="V38">
            <v>2</v>
          </cell>
          <cell r="W38">
            <v>41</v>
          </cell>
          <cell r="X38">
            <v>65</v>
          </cell>
          <cell r="Y38">
            <v>27</v>
          </cell>
          <cell r="Z38">
            <v>10</v>
          </cell>
          <cell r="AA38">
            <v>13</v>
          </cell>
          <cell r="AB38">
            <v>9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270</v>
          </cell>
          <cell r="AJ38">
            <v>65</v>
          </cell>
          <cell r="AK38">
            <v>18</v>
          </cell>
        </row>
        <row r="39">
          <cell r="C39">
            <v>350710033</v>
          </cell>
          <cell r="D39">
            <v>0</v>
          </cell>
          <cell r="E39">
            <v>55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30</v>
          </cell>
          <cell r="L39">
            <v>24</v>
          </cell>
          <cell r="M39">
            <v>3</v>
          </cell>
          <cell r="N39">
            <v>53</v>
          </cell>
          <cell r="O39">
            <v>0</v>
          </cell>
          <cell r="P39">
            <v>0</v>
          </cell>
          <cell r="Q39">
            <v>5</v>
          </cell>
          <cell r="R39">
            <v>53</v>
          </cell>
          <cell r="S39">
            <v>0</v>
          </cell>
          <cell r="T39">
            <v>1</v>
          </cell>
          <cell r="U39">
            <v>0</v>
          </cell>
          <cell r="V39">
            <v>0</v>
          </cell>
          <cell r="W39">
            <v>13</v>
          </cell>
          <cell r="X39">
            <v>63</v>
          </cell>
          <cell r="Y39">
            <v>117</v>
          </cell>
          <cell r="Z39">
            <v>0</v>
          </cell>
          <cell r="AA39">
            <v>0</v>
          </cell>
          <cell r="AB39">
            <v>53</v>
          </cell>
          <cell r="AC39">
            <v>0</v>
          </cell>
          <cell r="AD39">
            <v>0</v>
          </cell>
          <cell r="AE39">
            <v>10</v>
          </cell>
          <cell r="AF39">
            <v>0</v>
          </cell>
          <cell r="AG39">
            <v>0</v>
          </cell>
          <cell r="AH39">
            <v>10</v>
          </cell>
          <cell r="AI39">
            <v>494</v>
          </cell>
          <cell r="AJ39">
            <v>117</v>
          </cell>
          <cell r="AK39">
            <v>15</v>
          </cell>
        </row>
        <row r="40">
          <cell r="C40">
            <v>350710034</v>
          </cell>
          <cell r="D40">
            <v>2</v>
          </cell>
          <cell r="E40">
            <v>11</v>
          </cell>
          <cell r="F40">
            <v>8</v>
          </cell>
          <cell r="G40">
            <v>15</v>
          </cell>
          <cell r="H40">
            <v>45</v>
          </cell>
          <cell r="I40">
            <v>1</v>
          </cell>
          <cell r="J40">
            <v>0</v>
          </cell>
          <cell r="K40">
            <v>5</v>
          </cell>
          <cell r="L40">
            <v>18</v>
          </cell>
          <cell r="M40">
            <v>3</v>
          </cell>
          <cell r="N40">
            <v>4</v>
          </cell>
          <cell r="O40">
            <v>5</v>
          </cell>
          <cell r="P40">
            <v>4</v>
          </cell>
          <cell r="Q40">
            <v>6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6</v>
          </cell>
          <cell r="X40">
            <v>75</v>
          </cell>
          <cell r="Y40">
            <v>25</v>
          </cell>
          <cell r="Z40">
            <v>5</v>
          </cell>
          <cell r="AA40">
            <v>16</v>
          </cell>
          <cell r="AB40">
            <v>77</v>
          </cell>
          <cell r="AC40">
            <v>33</v>
          </cell>
          <cell r="AD40">
            <v>2</v>
          </cell>
          <cell r="AE40">
            <v>0</v>
          </cell>
          <cell r="AF40">
            <v>16</v>
          </cell>
          <cell r="AG40">
            <v>46</v>
          </cell>
          <cell r="AH40">
            <v>0</v>
          </cell>
          <cell r="AI40">
            <v>428</v>
          </cell>
          <cell r="AJ40">
            <v>77</v>
          </cell>
          <cell r="AK40">
            <v>23</v>
          </cell>
        </row>
        <row r="41">
          <cell r="C41">
            <v>350710035</v>
          </cell>
          <cell r="D41">
            <v>11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3</v>
          </cell>
          <cell r="J41">
            <v>7</v>
          </cell>
          <cell r="K41">
            <v>0</v>
          </cell>
          <cell r="L41">
            <v>0</v>
          </cell>
          <cell r="M41">
            <v>6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</v>
          </cell>
          <cell r="X41">
            <v>0</v>
          </cell>
          <cell r="Y41">
            <v>0</v>
          </cell>
          <cell r="Z41">
            <v>11</v>
          </cell>
          <cell r="AA41">
            <v>0</v>
          </cell>
          <cell r="AB41">
            <v>22</v>
          </cell>
          <cell r="AC41">
            <v>0</v>
          </cell>
          <cell r="AD41">
            <v>0</v>
          </cell>
          <cell r="AE41">
            <v>3</v>
          </cell>
          <cell r="AF41">
            <v>0</v>
          </cell>
          <cell r="AG41">
            <v>0</v>
          </cell>
          <cell r="AH41">
            <v>0</v>
          </cell>
          <cell r="AI41">
            <v>66</v>
          </cell>
          <cell r="AJ41">
            <v>22</v>
          </cell>
          <cell r="AK41">
            <v>8</v>
          </cell>
        </row>
        <row r="42">
          <cell r="C42">
            <v>350710036</v>
          </cell>
          <cell r="D42">
            <v>26</v>
          </cell>
          <cell r="E42">
            <v>83</v>
          </cell>
          <cell r="F42">
            <v>39</v>
          </cell>
          <cell r="G42">
            <v>16</v>
          </cell>
          <cell r="H42">
            <v>0</v>
          </cell>
          <cell r="I42">
            <v>0</v>
          </cell>
          <cell r="J42">
            <v>0</v>
          </cell>
          <cell r="K42">
            <v>7</v>
          </cell>
          <cell r="L42">
            <v>14</v>
          </cell>
          <cell r="M42">
            <v>0</v>
          </cell>
          <cell r="N42">
            <v>56</v>
          </cell>
          <cell r="O42">
            <v>7</v>
          </cell>
          <cell r="P42">
            <v>0</v>
          </cell>
          <cell r="Q42">
            <v>3</v>
          </cell>
          <cell r="R42">
            <v>18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40</v>
          </cell>
          <cell r="Y42">
            <v>24</v>
          </cell>
          <cell r="Z42">
            <v>2</v>
          </cell>
          <cell r="AA42">
            <v>14</v>
          </cell>
          <cell r="AB42">
            <v>114</v>
          </cell>
          <cell r="AC42">
            <v>0</v>
          </cell>
          <cell r="AD42">
            <v>49</v>
          </cell>
          <cell r="AE42">
            <v>72</v>
          </cell>
          <cell r="AF42">
            <v>3</v>
          </cell>
          <cell r="AG42">
            <v>10</v>
          </cell>
          <cell r="AH42">
            <v>0</v>
          </cell>
          <cell r="AI42">
            <v>597</v>
          </cell>
          <cell r="AJ42">
            <v>114</v>
          </cell>
          <cell r="AK42">
            <v>19</v>
          </cell>
        </row>
        <row r="43">
          <cell r="C43">
            <v>350710037</v>
          </cell>
          <cell r="D43">
            <v>15</v>
          </cell>
          <cell r="E43">
            <v>5</v>
          </cell>
          <cell r="F43">
            <v>0</v>
          </cell>
          <cell r="G43">
            <v>20</v>
          </cell>
          <cell r="H43">
            <v>25</v>
          </cell>
          <cell r="I43">
            <v>6</v>
          </cell>
          <cell r="J43">
            <v>0</v>
          </cell>
          <cell r="K43">
            <v>30</v>
          </cell>
          <cell r="L43">
            <v>16</v>
          </cell>
          <cell r="M43">
            <v>6</v>
          </cell>
          <cell r="N43">
            <v>30</v>
          </cell>
          <cell r="O43">
            <v>0</v>
          </cell>
          <cell r="P43">
            <v>20</v>
          </cell>
          <cell r="Q43">
            <v>10</v>
          </cell>
          <cell r="R43">
            <v>11</v>
          </cell>
          <cell r="S43">
            <v>0</v>
          </cell>
          <cell r="T43">
            <v>0</v>
          </cell>
          <cell r="U43">
            <v>0</v>
          </cell>
          <cell r="V43">
            <v>18</v>
          </cell>
          <cell r="W43">
            <v>25</v>
          </cell>
          <cell r="X43">
            <v>75</v>
          </cell>
          <cell r="Y43">
            <v>100</v>
          </cell>
          <cell r="Z43">
            <v>0</v>
          </cell>
          <cell r="AA43">
            <v>0</v>
          </cell>
          <cell r="AB43">
            <v>0</v>
          </cell>
          <cell r="AC43">
            <v>50</v>
          </cell>
          <cell r="AD43">
            <v>70</v>
          </cell>
          <cell r="AE43">
            <v>80</v>
          </cell>
          <cell r="AF43">
            <v>100</v>
          </cell>
          <cell r="AG43">
            <v>0</v>
          </cell>
          <cell r="AH43">
            <v>0</v>
          </cell>
          <cell r="AI43">
            <v>712</v>
          </cell>
          <cell r="AJ43">
            <v>100</v>
          </cell>
          <cell r="AK43">
            <v>20</v>
          </cell>
        </row>
        <row r="44">
          <cell r="C44">
            <v>350710038</v>
          </cell>
          <cell r="D44">
            <v>0</v>
          </cell>
          <cell r="E44">
            <v>41</v>
          </cell>
          <cell r="F44">
            <v>39</v>
          </cell>
          <cell r="G44">
            <v>5</v>
          </cell>
          <cell r="H44">
            <v>0</v>
          </cell>
          <cell r="I44">
            <v>0</v>
          </cell>
          <cell r="J44">
            <v>10</v>
          </cell>
          <cell r="K44">
            <v>19</v>
          </cell>
          <cell r="L44">
            <v>10</v>
          </cell>
          <cell r="M44">
            <v>24</v>
          </cell>
          <cell r="N44">
            <v>0</v>
          </cell>
          <cell r="O44">
            <v>14</v>
          </cell>
          <cell r="P44">
            <v>21</v>
          </cell>
          <cell r="Q44">
            <v>33</v>
          </cell>
          <cell r="R44">
            <v>0</v>
          </cell>
          <cell r="S44">
            <v>0</v>
          </cell>
          <cell r="T44">
            <v>0</v>
          </cell>
          <cell r="U44">
            <v>8</v>
          </cell>
          <cell r="V44">
            <v>38</v>
          </cell>
          <cell r="W44">
            <v>52</v>
          </cell>
          <cell r="X44">
            <v>30</v>
          </cell>
          <cell r="Y44">
            <v>0</v>
          </cell>
          <cell r="Z44">
            <v>0</v>
          </cell>
          <cell r="AA44">
            <v>29</v>
          </cell>
          <cell r="AB44">
            <v>17</v>
          </cell>
          <cell r="AC44">
            <v>33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423</v>
          </cell>
          <cell r="AJ44">
            <v>52</v>
          </cell>
          <cell r="AK44">
            <v>17</v>
          </cell>
        </row>
        <row r="45">
          <cell r="C45">
            <v>350710039</v>
          </cell>
          <cell r="D45">
            <v>0</v>
          </cell>
          <cell r="E45">
            <v>15</v>
          </cell>
          <cell r="F45">
            <v>0</v>
          </cell>
          <cell r="G45">
            <v>2</v>
          </cell>
          <cell r="H45">
            <v>0</v>
          </cell>
          <cell r="I45">
            <v>0</v>
          </cell>
          <cell r="J45">
            <v>0</v>
          </cell>
          <cell r="K45">
            <v>5</v>
          </cell>
          <cell r="L45">
            <v>29</v>
          </cell>
          <cell r="M45">
            <v>2</v>
          </cell>
          <cell r="N45">
            <v>46</v>
          </cell>
          <cell r="O45">
            <v>2</v>
          </cell>
          <cell r="P45">
            <v>0</v>
          </cell>
          <cell r="Q45">
            <v>4</v>
          </cell>
          <cell r="R45">
            <v>24</v>
          </cell>
          <cell r="S45">
            <v>0</v>
          </cell>
          <cell r="T45">
            <v>0</v>
          </cell>
          <cell r="U45">
            <v>6</v>
          </cell>
          <cell r="V45">
            <v>0</v>
          </cell>
          <cell r="W45">
            <v>6</v>
          </cell>
          <cell r="X45">
            <v>60</v>
          </cell>
          <cell r="Y45">
            <v>68</v>
          </cell>
          <cell r="Z45">
            <v>3</v>
          </cell>
          <cell r="AA45">
            <v>0</v>
          </cell>
          <cell r="AB45">
            <v>27</v>
          </cell>
          <cell r="AC45">
            <v>12</v>
          </cell>
          <cell r="AD45">
            <v>0</v>
          </cell>
          <cell r="AE45">
            <v>9</v>
          </cell>
          <cell r="AF45">
            <v>0</v>
          </cell>
          <cell r="AG45">
            <v>0</v>
          </cell>
          <cell r="AH45">
            <v>23</v>
          </cell>
          <cell r="AI45">
            <v>343</v>
          </cell>
          <cell r="AJ45">
            <v>68</v>
          </cell>
          <cell r="AK45">
            <v>18</v>
          </cell>
        </row>
        <row r="46">
          <cell r="C46">
            <v>350710040</v>
          </cell>
          <cell r="D46">
            <v>12</v>
          </cell>
          <cell r="E46">
            <v>0</v>
          </cell>
          <cell r="F46">
            <v>0</v>
          </cell>
          <cell r="G46">
            <v>32</v>
          </cell>
          <cell r="H46">
            <v>0</v>
          </cell>
          <cell r="I46">
            <v>0</v>
          </cell>
          <cell r="J46">
            <v>0</v>
          </cell>
          <cell r="K46">
            <v>12</v>
          </cell>
          <cell r="L46">
            <v>11</v>
          </cell>
          <cell r="M46">
            <v>35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8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20</v>
          </cell>
          <cell r="X46">
            <v>51</v>
          </cell>
          <cell r="Y46">
            <v>29</v>
          </cell>
          <cell r="Z46">
            <v>16</v>
          </cell>
          <cell r="AA46">
            <v>7</v>
          </cell>
          <cell r="AB46">
            <v>25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258</v>
          </cell>
          <cell r="AJ46">
            <v>51</v>
          </cell>
          <cell r="AK46">
            <v>12</v>
          </cell>
        </row>
        <row r="47">
          <cell r="C47">
            <v>350710041</v>
          </cell>
          <cell r="D47">
            <v>14</v>
          </cell>
          <cell r="E47">
            <v>12</v>
          </cell>
          <cell r="F47">
            <v>0</v>
          </cell>
          <cell r="G47">
            <v>0</v>
          </cell>
          <cell r="H47">
            <v>0</v>
          </cell>
          <cell r="I47">
            <v>4</v>
          </cell>
          <cell r="J47">
            <v>19</v>
          </cell>
          <cell r="K47">
            <v>7</v>
          </cell>
          <cell r="L47">
            <v>0</v>
          </cell>
          <cell r="M47">
            <v>52</v>
          </cell>
          <cell r="N47">
            <v>6</v>
          </cell>
          <cell r="O47">
            <v>8</v>
          </cell>
          <cell r="P47">
            <v>0</v>
          </cell>
          <cell r="Q47">
            <v>20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6</v>
          </cell>
          <cell r="W47">
            <v>22</v>
          </cell>
          <cell r="X47">
            <v>43</v>
          </cell>
          <cell r="Y47">
            <v>0</v>
          </cell>
          <cell r="Z47">
            <v>0</v>
          </cell>
          <cell r="AA47">
            <v>56</v>
          </cell>
          <cell r="AB47">
            <v>28</v>
          </cell>
          <cell r="AC47">
            <v>39</v>
          </cell>
          <cell r="AD47">
            <v>16</v>
          </cell>
          <cell r="AE47">
            <v>11</v>
          </cell>
          <cell r="AF47">
            <v>10</v>
          </cell>
          <cell r="AG47">
            <v>0</v>
          </cell>
          <cell r="AH47">
            <v>6</v>
          </cell>
          <cell r="AI47">
            <v>379</v>
          </cell>
          <cell r="AJ47">
            <v>56</v>
          </cell>
          <cell r="AK47">
            <v>19</v>
          </cell>
        </row>
        <row r="48">
          <cell r="C48">
            <v>350710042</v>
          </cell>
          <cell r="D48">
            <v>11</v>
          </cell>
          <cell r="E48">
            <v>27</v>
          </cell>
          <cell r="F48">
            <v>6</v>
          </cell>
          <cell r="G48">
            <v>15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37</v>
          </cell>
          <cell r="M48">
            <v>0</v>
          </cell>
          <cell r="N48">
            <v>93</v>
          </cell>
          <cell r="O48">
            <v>5</v>
          </cell>
          <cell r="P48">
            <v>13</v>
          </cell>
          <cell r="Q48">
            <v>0</v>
          </cell>
          <cell r="R48">
            <v>42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9</v>
          </cell>
          <cell r="X48">
            <v>57</v>
          </cell>
          <cell r="Y48">
            <v>22</v>
          </cell>
          <cell r="Z48">
            <v>3</v>
          </cell>
          <cell r="AA48">
            <v>0</v>
          </cell>
          <cell r="AB48">
            <v>111</v>
          </cell>
          <cell r="AC48">
            <v>8</v>
          </cell>
          <cell r="AD48">
            <v>61</v>
          </cell>
          <cell r="AE48">
            <v>47</v>
          </cell>
          <cell r="AF48">
            <v>2</v>
          </cell>
          <cell r="AG48">
            <v>17</v>
          </cell>
          <cell r="AH48">
            <v>0</v>
          </cell>
          <cell r="AI48">
            <v>586</v>
          </cell>
          <cell r="AJ48">
            <v>111</v>
          </cell>
          <cell r="AK48">
            <v>19</v>
          </cell>
        </row>
        <row r="49">
          <cell r="C49">
            <v>350710043</v>
          </cell>
          <cell r="D49">
            <v>13</v>
          </cell>
          <cell r="E49">
            <v>0</v>
          </cell>
          <cell r="F49">
            <v>0</v>
          </cell>
          <cell r="G49">
            <v>0</v>
          </cell>
          <cell r="H49">
            <v>10</v>
          </cell>
          <cell r="I49">
            <v>2</v>
          </cell>
          <cell r="J49">
            <v>0</v>
          </cell>
          <cell r="K49">
            <v>7</v>
          </cell>
          <cell r="L49">
            <v>0</v>
          </cell>
          <cell r="M49">
            <v>2</v>
          </cell>
          <cell r="N49">
            <v>4</v>
          </cell>
          <cell r="O49">
            <v>0</v>
          </cell>
          <cell r="P49">
            <v>0</v>
          </cell>
          <cell r="Q49">
            <v>5</v>
          </cell>
          <cell r="R49">
            <v>2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18</v>
          </cell>
          <cell r="Y49">
            <v>12</v>
          </cell>
          <cell r="Z49">
            <v>0</v>
          </cell>
          <cell r="AA49">
            <v>0</v>
          </cell>
          <cell r="AB49">
            <v>2</v>
          </cell>
          <cell r="AC49">
            <v>6</v>
          </cell>
          <cell r="AD49">
            <v>0</v>
          </cell>
          <cell r="AE49">
            <v>5</v>
          </cell>
          <cell r="AF49">
            <v>33</v>
          </cell>
          <cell r="AG49">
            <v>2</v>
          </cell>
          <cell r="AH49">
            <v>0</v>
          </cell>
          <cell r="AI49">
            <v>123</v>
          </cell>
          <cell r="AJ49">
            <v>33</v>
          </cell>
          <cell r="AK49">
            <v>15</v>
          </cell>
        </row>
        <row r="50">
          <cell r="C50">
            <v>350710044</v>
          </cell>
          <cell r="D50">
            <v>0</v>
          </cell>
          <cell r="E50">
            <v>12</v>
          </cell>
          <cell r="F50">
            <v>0</v>
          </cell>
          <cell r="G50">
            <v>10</v>
          </cell>
          <cell r="H50">
            <v>0</v>
          </cell>
          <cell r="I50">
            <v>0</v>
          </cell>
          <cell r="J50">
            <v>0</v>
          </cell>
          <cell r="K50">
            <v>13</v>
          </cell>
          <cell r="L50">
            <v>13</v>
          </cell>
          <cell r="M50">
            <v>8</v>
          </cell>
          <cell r="N50">
            <v>15</v>
          </cell>
          <cell r="O50">
            <v>0</v>
          </cell>
          <cell r="P50">
            <v>0</v>
          </cell>
          <cell r="Q50">
            <v>7</v>
          </cell>
          <cell r="R50">
            <v>17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13</v>
          </cell>
          <cell r="X50">
            <v>27</v>
          </cell>
          <cell r="Y50">
            <v>65</v>
          </cell>
          <cell r="Z50">
            <v>0</v>
          </cell>
          <cell r="AA50">
            <v>0</v>
          </cell>
          <cell r="AB50">
            <v>15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6</v>
          </cell>
          <cell r="AH50">
            <v>0</v>
          </cell>
          <cell r="AI50">
            <v>221</v>
          </cell>
          <cell r="AJ50">
            <v>65</v>
          </cell>
          <cell r="AK50">
            <v>13</v>
          </cell>
        </row>
        <row r="51">
          <cell r="C51">
            <v>350710045</v>
          </cell>
          <cell r="D51">
            <v>52</v>
          </cell>
          <cell r="E51">
            <v>2</v>
          </cell>
          <cell r="F51">
            <v>30</v>
          </cell>
          <cell r="G51">
            <v>0</v>
          </cell>
          <cell r="H51">
            <v>0</v>
          </cell>
          <cell r="I51">
            <v>0</v>
          </cell>
          <cell r="J51">
            <v>13</v>
          </cell>
          <cell r="K51">
            <v>25</v>
          </cell>
          <cell r="L51">
            <v>1</v>
          </cell>
          <cell r="M51">
            <v>20</v>
          </cell>
          <cell r="N51">
            <v>15</v>
          </cell>
          <cell r="O51">
            <v>40.5</v>
          </cell>
          <cell r="P51">
            <v>21</v>
          </cell>
          <cell r="Q51">
            <v>2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15</v>
          </cell>
          <cell r="W51">
            <v>45</v>
          </cell>
          <cell r="X51">
            <v>25</v>
          </cell>
          <cell r="Y51">
            <v>9</v>
          </cell>
          <cell r="Z51">
            <v>35</v>
          </cell>
          <cell r="AA51">
            <v>137</v>
          </cell>
          <cell r="AB51">
            <v>1</v>
          </cell>
          <cell r="AC51">
            <v>47</v>
          </cell>
          <cell r="AD51">
            <v>70</v>
          </cell>
          <cell r="AE51">
            <v>18</v>
          </cell>
          <cell r="AF51">
            <v>0</v>
          </cell>
          <cell r="AG51">
            <v>0</v>
          </cell>
          <cell r="AH51">
            <v>7</v>
          </cell>
          <cell r="AI51">
            <v>630.5</v>
          </cell>
          <cell r="AJ51">
            <v>137</v>
          </cell>
          <cell r="AK51">
            <v>22</v>
          </cell>
        </row>
      </sheetData>
      <sheetData sheetId="5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3</v>
          </cell>
          <cell r="X8">
            <v>1</v>
          </cell>
          <cell r="Y8">
            <v>4</v>
          </cell>
          <cell r="Z8">
            <v>0</v>
          </cell>
          <cell r="AA8">
            <v>0</v>
          </cell>
          <cell r="AB8">
            <v>1</v>
          </cell>
          <cell r="AC8">
            <v>1</v>
          </cell>
          <cell r="AD8">
            <v>18</v>
          </cell>
          <cell r="AE8">
            <v>26</v>
          </cell>
          <cell r="AF8">
            <v>0</v>
          </cell>
          <cell r="AG8">
            <v>24</v>
          </cell>
          <cell r="AI8">
            <v>79</v>
          </cell>
          <cell r="AJ8">
            <v>26</v>
          </cell>
          <cell r="AK8">
            <v>9</v>
          </cell>
        </row>
        <row r="9">
          <cell r="C9">
            <v>350710002</v>
          </cell>
          <cell r="D9">
            <v>4</v>
          </cell>
          <cell r="E9">
            <v>12</v>
          </cell>
          <cell r="F9">
            <v>0</v>
          </cell>
          <cell r="G9">
            <v>0</v>
          </cell>
          <cell r="H9">
            <v>3</v>
          </cell>
          <cell r="I9">
            <v>4</v>
          </cell>
          <cell r="J9">
            <v>15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16</v>
          </cell>
          <cell r="Q9">
            <v>0</v>
          </cell>
          <cell r="R9">
            <v>2</v>
          </cell>
          <cell r="S9">
            <v>13</v>
          </cell>
          <cell r="T9">
            <v>19</v>
          </cell>
          <cell r="U9">
            <v>0</v>
          </cell>
          <cell r="V9">
            <v>0</v>
          </cell>
          <cell r="W9">
            <v>0</v>
          </cell>
          <cell r="X9">
            <v>6</v>
          </cell>
          <cell r="Y9">
            <v>0</v>
          </cell>
          <cell r="Z9">
            <v>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18</v>
          </cell>
          <cell r="AF9">
            <v>0</v>
          </cell>
          <cell r="AG9">
            <v>3</v>
          </cell>
          <cell r="AI9">
            <v>120</v>
          </cell>
          <cell r="AJ9">
            <v>19</v>
          </cell>
          <cell r="AK9">
            <v>13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17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12</v>
          </cell>
          <cell r="AF10">
            <v>0</v>
          </cell>
          <cell r="AG10">
            <v>21</v>
          </cell>
          <cell r="AI10">
            <v>50</v>
          </cell>
          <cell r="AJ10">
            <v>21</v>
          </cell>
          <cell r="AK10">
            <v>3</v>
          </cell>
        </row>
        <row r="11">
          <cell r="C11">
            <v>350710004</v>
          </cell>
          <cell r="D11">
            <v>0</v>
          </cell>
          <cell r="E11">
            <v>17</v>
          </cell>
          <cell r="F11">
            <v>35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5</v>
          </cell>
          <cell r="S11">
            <v>19</v>
          </cell>
          <cell r="T11">
            <v>47</v>
          </cell>
          <cell r="U11">
            <v>0</v>
          </cell>
          <cell r="V11">
            <v>0</v>
          </cell>
          <cell r="W11">
            <v>0</v>
          </cell>
          <cell r="X11">
            <v>7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I11">
            <v>130</v>
          </cell>
          <cell r="AJ11">
            <v>47</v>
          </cell>
          <cell r="AK11">
            <v>6</v>
          </cell>
        </row>
        <row r="12">
          <cell r="C12">
            <v>350710005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8</v>
          </cell>
          <cell r="W12">
            <v>20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20</v>
          </cell>
          <cell r="AE12">
            <v>2</v>
          </cell>
          <cell r="AF12">
            <v>0</v>
          </cell>
          <cell r="AG12">
            <v>0</v>
          </cell>
          <cell r="AI12">
            <v>72</v>
          </cell>
          <cell r="AJ12">
            <v>20</v>
          </cell>
          <cell r="AK12">
            <v>6</v>
          </cell>
        </row>
        <row r="13">
          <cell r="C13">
            <v>350710006</v>
          </cell>
          <cell r="D13">
            <v>0</v>
          </cell>
          <cell r="E13">
            <v>39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6</v>
          </cell>
          <cell r="K13">
            <v>5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8</v>
          </cell>
          <cell r="S13">
            <v>5</v>
          </cell>
          <cell r="T13">
            <v>6</v>
          </cell>
          <cell r="U13">
            <v>6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5</v>
          </cell>
          <cell r="AF13">
            <v>0</v>
          </cell>
          <cell r="AG13">
            <v>0</v>
          </cell>
          <cell r="AI13">
            <v>80</v>
          </cell>
          <cell r="AJ13">
            <v>39</v>
          </cell>
          <cell r="AK13">
            <v>8</v>
          </cell>
        </row>
        <row r="14">
          <cell r="C14">
            <v>350710007</v>
          </cell>
          <cell r="D14">
            <v>14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I14">
            <v>36</v>
          </cell>
          <cell r="AJ14">
            <v>22</v>
          </cell>
          <cell r="AK14">
            <v>2</v>
          </cell>
        </row>
        <row r="15">
          <cell r="C15">
            <v>350710008</v>
          </cell>
          <cell r="D15">
            <v>0</v>
          </cell>
          <cell r="E15">
            <v>5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17</v>
          </cell>
          <cell r="N15">
            <v>0</v>
          </cell>
          <cell r="O15">
            <v>8</v>
          </cell>
          <cell r="P15">
            <v>23</v>
          </cell>
          <cell r="Q15">
            <v>0</v>
          </cell>
          <cell r="R15">
            <v>11</v>
          </cell>
          <cell r="S15">
            <v>29</v>
          </cell>
          <cell r="T15">
            <v>37</v>
          </cell>
          <cell r="U15">
            <v>0</v>
          </cell>
          <cell r="V15">
            <v>0</v>
          </cell>
          <cell r="W15">
            <v>0</v>
          </cell>
          <cell r="X15">
            <v>15</v>
          </cell>
          <cell r="Y15">
            <v>0</v>
          </cell>
          <cell r="Z15">
            <v>20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5</v>
          </cell>
          <cell r="AF15">
            <v>0</v>
          </cell>
          <cell r="AG15">
            <v>0</v>
          </cell>
          <cell r="AI15">
            <v>170</v>
          </cell>
          <cell r="AJ15">
            <v>37</v>
          </cell>
          <cell r="AK15">
            <v>10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5</v>
          </cell>
          <cell r="I16">
            <v>5</v>
          </cell>
          <cell r="J16">
            <v>0</v>
          </cell>
          <cell r="K16">
            <v>0</v>
          </cell>
          <cell r="L16">
            <v>0</v>
          </cell>
          <cell r="M16">
            <v>12</v>
          </cell>
          <cell r="N16">
            <v>15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43</v>
          </cell>
          <cell r="Y16">
            <v>7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</v>
          </cell>
          <cell r="AG16">
            <v>0</v>
          </cell>
          <cell r="AI16">
            <v>98</v>
          </cell>
          <cell r="AJ16">
            <v>43</v>
          </cell>
          <cell r="AK16">
            <v>7</v>
          </cell>
        </row>
        <row r="17">
          <cell r="C17">
            <v>350710010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5</v>
          </cell>
          <cell r="I17">
            <v>4</v>
          </cell>
          <cell r="J17">
            <v>10</v>
          </cell>
          <cell r="K17">
            <v>0</v>
          </cell>
          <cell r="L17">
            <v>0</v>
          </cell>
          <cell r="M17">
            <v>10</v>
          </cell>
          <cell r="N17">
            <v>24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30</v>
          </cell>
          <cell r="Y17">
            <v>11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3</v>
          </cell>
          <cell r="AF17">
            <v>0</v>
          </cell>
          <cell r="AG17">
            <v>0</v>
          </cell>
          <cell r="AI17">
            <v>97</v>
          </cell>
          <cell r="AJ17">
            <v>30</v>
          </cell>
          <cell r="AK17">
            <v>8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5</v>
          </cell>
          <cell r="L18">
            <v>0</v>
          </cell>
          <cell r="M18">
            <v>0</v>
          </cell>
          <cell r="N18">
            <v>0</v>
          </cell>
          <cell r="O18">
            <v>5</v>
          </cell>
          <cell r="P18">
            <v>10</v>
          </cell>
          <cell r="Q18">
            <v>20</v>
          </cell>
          <cell r="R18">
            <v>30</v>
          </cell>
          <cell r="S18">
            <v>55</v>
          </cell>
          <cell r="T18">
            <v>20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5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10</v>
          </cell>
          <cell r="AG18">
            <v>20</v>
          </cell>
          <cell r="AI18">
            <v>180</v>
          </cell>
          <cell r="AJ18">
            <v>55</v>
          </cell>
          <cell r="AK18">
            <v>10</v>
          </cell>
        </row>
        <row r="19">
          <cell r="C19">
            <v>350710012</v>
          </cell>
          <cell r="D19">
            <v>10</v>
          </cell>
          <cell r="E19">
            <v>3</v>
          </cell>
          <cell r="F19">
            <v>0</v>
          </cell>
          <cell r="G19">
            <v>0</v>
          </cell>
          <cell r="H19">
            <v>0</v>
          </cell>
          <cell r="I19">
            <v>3</v>
          </cell>
          <cell r="J19">
            <v>2</v>
          </cell>
          <cell r="K19">
            <v>0</v>
          </cell>
          <cell r="L19">
            <v>4</v>
          </cell>
          <cell r="M19">
            <v>17</v>
          </cell>
          <cell r="N19">
            <v>0</v>
          </cell>
          <cell r="O19">
            <v>0</v>
          </cell>
          <cell r="P19">
            <v>0</v>
          </cell>
          <cell r="Q19">
            <v>2</v>
          </cell>
          <cell r="R19">
            <v>0</v>
          </cell>
          <cell r="S19">
            <v>24</v>
          </cell>
          <cell r="T19">
            <v>0</v>
          </cell>
          <cell r="U19">
            <v>4</v>
          </cell>
          <cell r="V19">
            <v>2</v>
          </cell>
          <cell r="W19">
            <v>10</v>
          </cell>
          <cell r="X19">
            <v>16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5</v>
          </cell>
          <cell r="AE19">
            <v>25</v>
          </cell>
          <cell r="AF19">
            <v>2</v>
          </cell>
          <cell r="AG19">
            <v>0</v>
          </cell>
          <cell r="AI19">
            <v>129</v>
          </cell>
          <cell r="AJ19">
            <v>25</v>
          </cell>
          <cell r="AK19">
            <v>15</v>
          </cell>
        </row>
        <row r="20">
          <cell r="C20">
            <v>350710013</v>
          </cell>
          <cell r="D20">
            <v>0</v>
          </cell>
          <cell r="E20">
            <v>20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16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</v>
          </cell>
          <cell r="V20">
            <v>0</v>
          </cell>
          <cell r="W20">
            <v>0</v>
          </cell>
          <cell r="X20">
            <v>27</v>
          </cell>
          <cell r="Y20">
            <v>4</v>
          </cell>
          <cell r="Z20">
            <v>0</v>
          </cell>
          <cell r="AA20">
            <v>0</v>
          </cell>
          <cell r="AB20">
            <v>0</v>
          </cell>
          <cell r="AC20">
            <v>2</v>
          </cell>
          <cell r="AD20">
            <v>0</v>
          </cell>
          <cell r="AE20">
            <v>0</v>
          </cell>
          <cell r="AF20">
            <v>2</v>
          </cell>
          <cell r="AG20">
            <v>0</v>
          </cell>
          <cell r="AI20">
            <v>81</v>
          </cell>
          <cell r="AJ20">
            <v>27</v>
          </cell>
          <cell r="AK20">
            <v>7</v>
          </cell>
        </row>
        <row r="21">
          <cell r="C21">
            <v>350710014</v>
          </cell>
          <cell r="D21">
            <v>0</v>
          </cell>
          <cell r="E21">
            <v>0</v>
          </cell>
          <cell r="F21">
            <v>14</v>
          </cell>
          <cell r="G21">
            <v>0</v>
          </cell>
          <cell r="H21">
            <v>3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</v>
          </cell>
          <cell r="N21">
            <v>6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8</v>
          </cell>
          <cell r="T21">
            <v>0</v>
          </cell>
          <cell r="U21">
            <v>11</v>
          </cell>
          <cell r="V21">
            <v>0</v>
          </cell>
          <cell r="W21">
            <v>0</v>
          </cell>
          <cell r="X21">
            <v>6</v>
          </cell>
          <cell r="Y21">
            <v>56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2</v>
          </cell>
          <cell r="AF21">
            <v>0</v>
          </cell>
          <cell r="AG21">
            <v>3</v>
          </cell>
          <cell r="AI21">
            <v>115</v>
          </cell>
          <cell r="AJ21">
            <v>56</v>
          </cell>
          <cell r="AK21">
            <v>10</v>
          </cell>
        </row>
        <row r="22">
          <cell r="C22">
            <v>350710015</v>
          </cell>
          <cell r="D22">
            <v>10</v>
          </cell>
          <cell r="E22">
            <v>0</v>
          </cell>
          <cell r="F22">
            <v>0</v>
          </cell>
          <cell r="G22">
            <v>0</v>
          </cell>
          <cell r="H22">
            <v>2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8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5</v>
          </cell>
          <cell r="S22">
            <v>0</v>
          </cell>
          <cell r="T22">
            <v>0</v>
          </cell>
          <cell r="U22">
            <v>5</v>
          </cell>
          <cell r="V22">
            <v>2</v>
          </cell>
          <cell r="W22">
            <v>8</v>
          </cell>
          <cell r="X22">
            <v>5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8</v>
          </cell>
          <cell r="AG22">
            <v>0</v>
          </cell>
          <cell r="AI22">
            <v>53</v>
          </cell>
          <cell r="AJ22">
            <v>10</v>
          </cell>
          <cell r="AK22">
            <v>9</v>
          </cell>
        </row>
        <row r="23">
          <cell r="C23">
            <v>350710016</v>
          </cell>
          <cell r="D23">
            <v>12</v>
          </cell>
          <cell r="E23">
            <v>0</v>
          </cell>
          <cell r="F23">
            <v>8</v>
          </cell>
          <cell r="G23">
            <v>0</v>
          </cell>
          <cell r="H23">
            <v>0</v>
          </cell>
          <cell r="I23">
            <v>0</v>
          </cell>
          <cell r="J23">
            <v>5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9</v>
          </cell>
          <cell r="S23">
            <v>2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I23">
            <v>36</v>
          </cell>
          <cell r="AJ23">
            <v>12</v>
          </cell>
          <cell r="AK23">
            <v>5</v>
          </cell>
        </row>
        <row r="24">
          <cell r="C24">
            <v>350710017</v>
          </cell>
          <cell r="D24">
            <v>0</v>
          </cell>
          <cell r="E24">
            <v>0</v>
          </cell>
          <cell r="F24">
            <v>4</v>
          </cell>
          <cell r="G24">
            <v>0</v>
          </cell>
          <cell r="H24">
            <v>13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</v>
          </cell>
          <cell r="N24">
            <v>3</v>
          </cell>
          <cell r="O24">
            <v>0</v>
          </cell>
          <cell r="P24">
            <v>0</v>
          </cell>
          <cell r="Q24">
            <v>6</v>
          </cell>
          <cell r="R24">
            <v>17</v>
          </cell>
          <cell r="S24">
            <v>0</v>
          </cell>
          <cell r="T24">
            <v>0</v>
          </cell>
          <cell r="U24">
            <v>52</v>
          </cell>
          <cell r="V24">
            <v>0</v>
          </cell>
          <cell r="W24">
            <v>39</v>
          </cell>
          <cell r="X24">
            <v>24</v>
          </cell>
          <cell r="Y24">
            <v>21</v>
          </cell>
          <cell r="Z24">
            <v>0</v>
          </cell>
          <cell r="AA24">
            <v>0</v>
          </cell>
          <cell r="AB24">
            <v>0</v>
          </cell>
          <cell r="AC24">
            <v>18</v>
          </cell>
          <cell r="AD24">
            <v>21</v>
          </cell>
          <cell r="AE24">
            <v>34</v>
          </cell>
          <cell r="AF24">
            <v>11</v>
          </cell>
          <cell r="AG24">
            <v>4</v>
          </cell>
          <cell r="AI24">
            <v>269</v>
          </cell>
          <cell r="AJ24">
            <v>52</v>
          </cell>
          <cell r="AK24">
            <v>15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75</v>
          </cell>
          <cell r="G25">
            <v>0</v>
          </cell>
          <cell r="H25">
            <v>30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44</v>
          </cell>
          <cell r="X25">
            <v>30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40</v>
          </cell>
          <cell r="AD25">
            <v>70</v>
          </cell>
          <cell r="AE25">
            <v>30</v>
          </cell>
          <cell r="AF25">
            <v>0</v>
          </cell>
          <cell r="AG25">
            <v>15</v>
          </cell>
          <cell r="AI25">
            <v>334</v>
          </cell>
          <cell r="AJ25">
            <v>75</v>
          </cell>
          <cell r="AK25">
            <v>8</v>
          </cell>
        </row>
        <row r="26">
          <cell r="C26">
            <v>350710019</v>
          </cell>
          <cell r="D26">
            <v>0</v>
          </cell>
          <cell r="E26">
            <v>34</v>
          </cell>
          <cell r="F26">
            <v>0</v>
          </cell>
          <cell r="G26">
            <v>0</v>
          </cell>
          <cell r="H26">
            <v>12</v>
          </cell>
          <cell r="I26">
            <v>41</v>
          </cell>
          <cell r="J26">
            <v>14</v>
          </cell>
          <cell r="K26">
            <v>20</v>
          </cell>
          <cell r="L26">
            <v>23</v>
          </cell>
          <cell r="M26">
            <v>16</v>
          </cell>
          <cell r="N26">
            <v>0</v>
          </cell>
          <cell r="O26">
            <v>11</v>
          </cell>
          <cell r="P26">
            <v>0</v>
          </cell>
          <cell r="Q26">
            <v>0</v>
          </cell>
          <cell r="R26">
            <v>31</v>
          </cell>
          <cell r="S26">
            <v>26</v>
          </cell>
          <cell r="T26">
            <v>21</v>
          </cell>
          <cell r="U26">
            <v>33</v>
          </cell>
          <cell r="V26">
            <v>20</v>
          </cell>
          <cell r="W26">
            <v>38</v>
          </cell>
          <cell r="X26">
            <v>24</v>
          </cell>
          <cell r="Y26">
            <v>0</v>
          </cell>
          <cell r="Z26">
            <v>0</v>
          </cell>
          <cell r="AA26">
            <v>0</v>
          </cell>
          <cell r="AB26">
            <v>27</v>
          </cell>
          <cell r="AC26">
            <v>18</v>
          </cell>
          <cell r="AD26">
            <v>31</v>
          </cell>
          <cell r="AE26">
            <v>27</v>
          </cell>
          <cell r="AF26">
            <v>21</v>
          </cell>
          <cell r="AG26">
            <v>0</v>
          </cell>
          <cell r="AI26">
            <v>488</v>
          </cell>
          <cell r="AJ26">
            <v>41</v>
          </cell>
          <cell r="AK26">
            <v>20</v>
          </cell>
        </row>
        <row r="27">
          <cell r="C27">
            <v>350710020</v>
          </cell>
          <cell r="D27">
            <v>14</v>
          </cell>
          <cell r="E27">
            <v>2</v>
          </cell>
          <cell r="F27">
            <v>0</v>
          </cell>
          <cell r="G27">
            <v>0</v>
          </cell>
          <cell r="H27">
            <v>0</v>
          </cell>
          <cell r="I27">
            <v>12</v>
          </cell>
          <cell r="J27">
            <v>2</v>
          </cell>
          <cell r="K27">
            <v>0</v>
          </cell>
          <cell r="L27">
            <v>0</v>
          </cell>
          <cell r="M27">
            <v>10</v>
          </cell>
          <cell r="N27">
            <v>8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51</v>
          </cell>
          <cell r="T27">
            <v>14</v>
          </cell>
          <cell r="U27">
            <v>0</v>
          </cell>
          <cell r="V27">
            <v>1</v>
          </cell>
          <cell r="W27">
            <v>4</v>
          </cell>
          <cell r="X27">
            <v>19</v>
          </cell>
          <cell r="Y27">
            <v>9</v>
          </cell>
          <cell r="Z27">
            <v>0</v>
          </cell>
          <cell r="AA27">
            <v>0</v>
          </cell>
          <cell r="AB27">
            <v>0</v>
          </cell>
          <cell r="AC27">
            <v>5</v>
          </cell>
          <cell r="AD27">
            <v>0</v>
          </cell>
          <cell r="AE27">
            <v>42</v>
          </cell>
          <cell r="AF27">
            <v>15</v>
          </cell>
          <cell r="AG27">
            <v>2</v>
          </cell>
          <cell r="AI27">
            <v>210</v>
          </cell>
          <cell r="AJ27">
            <v>51</v>
          </cell>
          <cell r="AK27">
            <v>16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31</v>
          </cell>
          <cell r="Y28">
            <v>0</v>
          </cell>
          <cell r="Z28">
            <v>0</v>
          </cell>
          <cell r="AA28">
            <v>0</v>
          </cell>
          <cell r="AB28">
            <v>5</v>
          </cell>
          <cell r="AC28">
            <v>0</v>
          </cell>
          <cell r="AD28">
            <v>0</v>
          </cell>
          <cell r="AE28">
            <v>0</v>
          </cell>
          <cell r="AF28">
            <v>27</v>
          </cell>
          <cell r="AG28">
            <v>0</v>
          </cell>
          <cell r="AI28">
            <v>102</v>
          </cell>
          <cell r="AJ28">
            <v>39</v>
          </cell>
          <cell r="AK28">
            <v>4</v>
          </cell>
        </row>
        <row r="29">
          <cell r="C29">
            <v>350710022</v>
          </cell>
          <cell r="D29">
            <v>0</v>
          </cell>
          <cell r="E29">
            <v>10</v>
          </cell>
          <cell r="F29">
            <v>0</v>
          </cell>
          <cell r="G29">
            <v>0</v>
          </cell>
          <cell r="H29">
            <v>0</v>
          </cell>
          <cell r="I29">
            <v>12</v>
          </cell>
          <cell r="J29">
            <v>3</v>
          </cell>
          <cell r="K29">
            <v>5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20</v>
          </cell>
          <cell r="T29">
            <v>0</v>
          </cell>
          <cell r="U29">
            <v>0</v>
          </cell>
          <cell r="V29">
            <v>47</v>
          </cell>
          <cell r="W29">
            <v>1</v>
          </cell>
          <cell r="X29">
            <v>86</v>
          </cell>
          <cell r="Y29">
            <v>0</v>
          </cell>
          <cell r="Z29">
            <v>0</v>
          </cell>
          <cell r="AA29">
            <v>0</v>
          </cell>
          <cell r="AB29">
            <v>37</v>
          </cell>
          <cell r="AC29">
            <v>17</v>
          </cell>
          <cell r="AD29">
            <v>0</v>
          </cell>
          <cell r="AE29">
            <v>0</v>
          </cell>
          <cell r="AF29">
            <v>21</v>
          </cell>
          <cell r="AG29">
            <v>3</v>
          </cell>
          <cell r="AI29">
            <v>262</v>
          </cell>
          <cell r="AJ29">
            <v>86</v>
          </cell>
          <cell r="AK29">
            <v>12</v>
          </cell>
        </row>
        <row r="30">
          <cell r="C30">
            <v>350710024</v>
          </cell>
          <cell r="D30">
            <v>0</v>
          </cell>
          <cell r="E30">
            <v>34</v>
          </cell>
          <cell r="F30">
            <v>0</v>
          </cell>
          <cell r="G30">
            <v>0</v>
          </cell>
          <cell r="H30">
            <v>6</v>
          </cell>
          <cell r="I30">
            <v>16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28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13</v>
          </cell>
          <cell r="AG30">
            <v>0</v>
          </cell>
          <cell r="AI30">
            <v>97</v>
          </cell>
          <cell r="AJ30">
            <v>34</v>
          </cell>
          <cell r="AK30">
            <v>5</v>
          </cell>
        </row>
        <row r="31">
          <cell r="C31">
            <v>350710025</v>
          </cell>
          <cell r="D31">
            <v>3</v>
          </cell>
          <cell r="E31">
            <v>8</v>
          </cell>
          <cell r="F31">
            <v>0</v>
          </cell>
          <cell r="G31">
            <v>0</v>
          </cell>
          <cell r="H31">
            <v>0</v>
          </cell>
          <cell r="I31">
            <v>5</v>
          </cell>
          <cell r="J31">
            <v>3</v>
          </cell>
          <cell r="K31">
            <v>2</v>
          </cell>
          <cell r="L31">
            <v>0</v>
          </cell>
          <cell r="M31">
            <v>0</v>
          </cell>
          <cell r="N31">
            <v>1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1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93</v>
          </cell>
          <cell r="Y31">
            <v>2</v>
          </cell>
          <cell r="Z31">
            <v>1</v>
          </cell>
          <cell r="AA31">
            <v>0</v>
          </cell>
          <cell r="AB31">
            <v>2</v>
          </cell>
          <cell r="AC31">
            <v>0</v>
          </cell>
          <cell r="AD31">
            <v>0</v>
          </cell>
          <cell r="AE31">
            <v>1</v>
          </cell>
          <cell r="AF31">
            <v>2</v>
          </cell>
          <cell r="AG31">
            <v>0</v>
          </cell>
          <cell r="AI31">
            <v>124</v>
          </cell>
          <cell r="AJ31">
            <v>93</v>
          </cell>
          <cell r="AK31">
            <v>13</v>
          </cell>
        </row>
        <row r="32">
          <cell r="C32">
            <v>350710026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4</v>
          </cell>
          <cell r="I32">
            <v>8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14</v>
          </cell>
          <cell r="Q32">
            <v>0</v>
          </cell>
          <cell r="R32">
            <v>11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12</v>
          </cell>
          <cell r="X32">
            <v>25</v>
          </cell>
          <cell r="Y32">
            <v>11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10</v>
          </cell>
          <cell r="AF32">
            <v>0</v>
          </cell>
          <cell r="AG32">
            <v>0</v>
          </cell>
          <cell r="AI32">
            <v>95</v>
          </cell>
          <cell r="AJ32">
            <v>25</v>
          </cell>
          <cell r="AK32">
            <v>8</v>
          </cell>
        </row>
        <row r="33">
          <cell r="C33">
            <v>350710027</v>
          </cell>
          <cell r="D33">
            <v>18</v>
          </cell>
          <cell r="E33">
            <v>4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10</v>
          </cell>
          <cell r="W33">
            <v>0</v>
          </cell>
          <cell r="X33">
            <v>13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15</v>
          </cell>
          <cell r="AE33">
            <v>0</v>
          </cell>
          <cell r="AF33">
            <v>16</v>
          </cell>
          <cell r="AG33">
            <v>3</v>
          </cell>
          <cell r="AI33">
            <v>79</v>
          </cell>
          <cell r="AJ33">
            <v>18</v>
          </cell>
          <cell r="AK33">
            <v>7</v>
          </cell>
        </row>
        <row r="34">
          <cell r="C34">
            <v>350710028</v>
          </cell>
          <cell r="D34">
            <v>39</v>
          </cell>
          <cell r="E34">
            <v>0</v>
          </cell>
          <cell r="F34">
            <v>0</v>
          </cell>
          <cell r="G34">
            <v>5</v>
          </cell>
          <cell r="H34">
            <v>0</v>
          </cell>
          <cell r="I34">
            <v>16</v>
          </cell>
          <cell r="J34">
            <v>0</v>
          </cell>
          <cell r="K34">
            <v>0</v>
          </cell>
          <cell r="L34">
            <v>0</v>
          </cell>
          <cell r="M34">
            <v>8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38</v>
          </cell>
          <cell r="S34">
            <v>17</v>
          </cell>
          <cell r="T34">
            <v>0</v>
          </cell>
          <cell r="U34">
            <v>15</v>
          </cell>
          <cell r="V34">
            <v>5</v>
          </cell>
          <cell r="W34">
            <v>31</v>
          </cell>
          <cell r="X34">
            <v>6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2</v>
          </cell>
          <cell r="AD34">
            <v>0</v>
          </cell>
          <cell r="AE34">
            <v>30</v>
          </cell>
          <cell r="AF34">
            <v>3</v>
          </cell>
          <cell r="AG34">
            <v>0</v>
          </cell>
          <cell r="AI34">
            <v>215</v>
          </cell>
          <cell r="AJ34">
            <v>39</v>
          </cell>
          <cell r="AK34">
            <v>13</v>
          </cell>
        </row>
        <row r="35">
          <cell r="C35">
            <v>350710029</v>
          </cell>
          <cell r="D35">
            <v>0</v>
          </cell>
          <cell r="E35">
            <v>62</v>
          </cell>
          <cell r="F35">
            <v>24</v>
          </cell>
          <cell r="G35">
            <v>14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12</v>
          </cell>
          <cell r="X35">
            <v>14</v>
          </cell>
          <cell r="Y35">
            <v>7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32</v>
          </cell>
          <cell r="AF35">
            <v>8</v>
          </cell>
          <cell r="AG35">
            <v>11</v>
          </cell>
          <cell r="AI35">
            <v>184</v>
          </cell>
          <cell r="AJ35">
            <v>62</v>
          </cell>
          <cell r="AK35">
            <v>9</v>
          </cell>
        </row>
        <row r="36">
          <cell r="C36">
            <v>350710030</v>
          </cell>
          <cell r="D36">
            <v>2</v>
          </cell>
          <cell r="E36">
            <v>14</v>
          </cell>
          <cell r="F36">
            <v>0</v>
          </cell>
          <cell r="G36">
            <v>0</v>
          </cell>
          <cell r="H36">
            <v>0</v>
          </cell>
          <cell r="I36">
            <v>14</v>
          </cell>
          <cell r="J36">
            <v>15</v>
          </cell>
          <cell r="K36">
            <v>28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59</v>
          </cell>
          <cell r="Y36">
            <v>2</v>
          </cell>
          <cell r="Z36">
            <v>0</v>
          </cell>
          <cell r="AA36">
            <v>0</v>
          </cell>
          <cell r="AB36">
            <v>0</v>
          </cell>
          <cell r="AC36">
            <v>2</v>
          </cell>
          <cell r="AD36">
            <v>0</v>
          </cell>
          <cell r="AE36">
            <v>0</v>
          </cell>
          <cell r="AF36">
            <v>4</v>
          </cell>
          <cell r="AG36">
            <v>0</v>
          </cell>
          <cell r="AI36">
            <v>144</v>
          </cell>
          <cell r="AJ36">
            <v>59</v>
          </cell>
          <cell r="AK36">
            <v>10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26</v>
          </cell>
          <cell r="P37">
            <v>0</v>
          </cell>
          <cell r="Q37">
            <v>9</v>
          </cell>
          <cell r="R37">
            <v>0</v>
          </cell>
          <cell r="S37">
            <v>0</v>
          </cell>
          <cell r="T37">
            <v>0</v>
          </cell>
          <cell r="U37">
            <v>31</v>
          </cell>
          <cell r="V37">
            <v>0</v>
          </cell>
          <cell r="W37">
            <v>0</v>
          </cell>
          <cell r="X37">
            <v>16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9</v>
          </cell>
          <cell r="AI37">
            <v>91</v>
          </cell>
          <cell r="AJ37">
            <v>31</v>
          </cell>
          <cell r="AK37">
            <v>5</v>
          </cell>
        </row>
        <row r="38">
          <cell r="C38">
            <v>350710032</v>
          </cell>
          <cell r="D38">
            <v>0</v>
          </cell>
          <cell r="E38">
            <v>48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6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20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I38">
            <v>87</v>
          </cell>
          <cell r="AJ38">
            <v>48</v>
          </cell>
          <cell r="AK38">
            <v>4</v>
          </cell>
        </row>
        <row r="39">
          <cell r="C39">
            <v>350710033</v>
          </cell>
          <cell r="D39">
            <v>24</v>
          </cell>
          <cell r="E39">
            <v>30</v>
          </cell>
          <cell r="F39">
            <v>9</v>
          </cell>
          <cell r="G39">
            <v>14</v>
          </cell>
          <cell r="H39">
            <v>8</v>
          </cell>
          <cell r="I39">
            <v>12</v>
          </cell>
          <cell r="J39">
            <v>3</v>
          </cell>
          <cell r="K39">
            <v>0</v>
          </cell>
          <cell r="L39">
            <v>0</v>
          </cell>
          <cell r="M39">
            <v>0</v>
          </cell>
          <cell r="N39">
            <v>24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11</v>
          </cell>
          <cell r="T39">
            <v>0</v>
          </cell>
          <cell r="U39">
            <v>2</v>
          </cell>
          <cell r="V39">
            <v>0</v>
          </cell>
          <cell r="W39">
            <v>0</v>
          </cell>
          <cell r="X39">
            <v>12</v>
          </cell>
          <cell r="Y39">
            <v>0</v>
          </cell>
          <cell r="Z39">
            <v>9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7</v>
          </cell>
          <cell r="AF39">
            <v>0</v>
          </cell>
          <cell r="AG39">
            <v>7</v>
          </cell>
          <cell r="AI39">
            <v>172</v>
          </cell>
          <cell r="AJ39">
            <v>30</v>
          </cell>
          <cell r="AK39">
            <v>14</v>
          </cell>
        </row>
        <row r="40">
          <cell r="C40">
            <v>350710034</v>
          </cell>
          <cell r="D40">
            <v>6</v>
          </cell>
          <cell r="E40">
            <v>9</v>
          </cell>
          <cell r="F40">
            <v>2</v>
          </cell>
          <cell r="G40">
            <v>3</v>
          </cell>
          <cell r="H40">
            <v>1</v>
          </cell>
          <cell r="I40">
            <v>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43</v>
          </cell>
          <cell r="U40">
            <v>0</v>
          </cell>
          <cell r="V40">
            <v>0</v>
          </cell>
          <cell r="W40">
            <v>2</v>
          </cell>
          <cell r="X40">
            <v>3</v>
          </cell>
          <cell r="Y40">
            <v>14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45</v>
          </cell>
          <cell r="AF40">
            <v>12</v>
          </cell>
          <cell r="AG40">
            <v>1</v>
          </cell>
          <cell r="AI40">
            <v>145</v>
          </cell>
          <cell r="AJ40">
            <v>45</v>
          </cell>
          <cell r="AK40">
            <v>13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5</v>
          </cell>
          <cell r="P41">
            <v>0</v>
          </cell>
          <cell r="Q41">
            <v>0</v>
          </cell>
          <cell r="R41">
            <v>16</v>
          </cell>
          <cell r="S41">
            <v>0</v>
          </cell>
          <cell r="T41">
            <v>0</v>
          </cell>
          <cell r="U41">
            <v>0</v>
          </cell>
          <cell r="V41">
            <v>8</v>
          </cell>
          <cell r="W41">
            <v>0</v>
          </cell>
          <cell r="X41">
            <v>35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21</v>
          </cell>
          <cell r="AE41">
            <v>0</v>
          </cell>
          <cell r="AF41">
            <v>9</v>
          </cell>
          <cell r="AG41">
            <v>18</v>
          </cell>
          <cell r="AI41">
            <v>112</v>
          </cell>
          <cell r="AJ41">
            <v>35</v>
          </cell>
          <cell r="AK41">
            <v>7</v>
          </cell>
        </row>
        <row r="42">
          <cell r="C42">
            <v>350710036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3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57</v>
          </cell>
          <cell r="Q42">
            <v>0</v>
          </cell>
          <cell r="R42">
            <v>17</v>
          </cell>
          <cell r="S42">
            <v>4</v>
          </cell>
          <cell r="T42">
            <v>0</v>
          </cell>
          <cell r="U42">
            <v>0</v>
          </cell>
          <cell r="V42">
            <v>0</v>
          </cell>
          <cell r="W42">
            <v>22</v>
          </cell>
          <cell r="X42">
            <v>127</v>
          </cell>
          <cell r="Y42">
            <v>24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11</v>
          </cell>
          <cell r="AF42">
            <v>0</v>
          </cell>
          <cell r="AG42">
            <v>0</v>
          </cell>
          <cell r="AI42">
            <v>265</v>
          </cell>
          <cell r="AJ42">
            <v>127</v>
          </cell>
          <cell r="AK42">
            <v>8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6</v>
          </cell>
          <cell r="G43">
            <v>4</v>
          </cell>
          <cell r="H43">
            <v>0</v>
          </cell>
          <cell r="I43">
            <v>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10</v>
          </cell>
          <cell r="S43">
            <v>25</v>
          </cell>
          <cell r="T43">
            <v>40</v>
          </cell>
          <cell r="U43">
            <v>0</v>
          </cell>
          <cell r="V43">
            <v>0</v>
          </cell>
          <cell r="W43">
            <v>0</v>
          </cell>
          <cell r="X43">
            <v>16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2</v>
          </cell>
          <cell r="AF43">
            <v>0</v>
          </cell>
          <cell r="AG43">
            <v>0</v>
          </cell>
          <cell r="AI43">
            <v>107</v>
          </cell>
          <cell r="AJ43">
            <v>40</v>
          </cell>
          <cell r="AK43">
            <v>8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9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5</v>
          </cell>
          <cell r="AF44">
            <v>0</v>
          </cell>
          <cell r="AG44">
            <v>0</v>
          </cell>
          <cell r="AI44">
            <v>14</v>
          </cell>
          <cell r="AJ44">
            <v>9</v>
          </cell>
          <cell r="AK44">
            <v>2</v>
          </cell>
        </row>
        <row r="45">
          <cell r="C45">
            <v>350710039</v>
          </cell>
          <cell r="D45">
            <v>17</v>
          </cell>
          <cell r="E45">
            <v>0</v>
          </cell>
          <cell r="F45">
            <v>14</v>
          </cell>
          <cell r="G45">
            <v>0</v>
          </cell>
          <cell r="H45">
            <v>0</v>
          </cell>
          <cell r="I45">
            <v>0</v>
          </cell>
          <cell r="J45">
            <v>8</v>
          </cell>
          <cell r="K45">
            <v>0</v>
          </cell>
          <cell r="L45">
            <v>0</v>
          </cell>
          <cell r="M45">
            <v>2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14</v>
          </cell>
          <cell r="Y45">
            <v>0</v>
          </cell>
          <cell r="Z45">
            <v>31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7</v>
          </cell>
          <cell r="AF45">
            <v>0</v>
          </cell>
          <cell r="AG45">
            <v>18</v>
          </cell>
          <cell r="AI45">
            <v>115</v>
          </cell>
          <cell r="AJ45">
            <v>31</v>
          </cell>
          <cell r="AK45">
            <v>9</v>
          </cell>
        </row>
        <row r="46">
          <cell r="C46">
            <v>350710040</v>
          </cell>
          <cell r="D46">
            <v>0</v>
          </cell>
          <cell r="E46">
            <v>73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</v>
          </cell>
          <cell r="U46">
            <v>10</v>
          </cell>
          <cell r="V46">
            <v>0</v>
          </cell>
          <cell r="W46">
            <v>0</v>
          </cell>
          <cell r="X46">
            <v>37</v>
          </cell>
          <cell r="Y46">
            <v>0</v>
          </cell>
          <cell r="Z46">
            <v>0</v>
          </cell>
          <cell r="AA46">
            <v>0</v>
          </cell>
          <cell r="AB46">
            <v>9</v>
          </cell>
          <cell r="AC46">
            <v>0</v>
          </cell>
          <cell r="AD46">
            <v>1</v>
          </cell>
          <cell r="AE46">
            <v>0</v>
          </cell>
          <cell r="AF46">
            <v>0</v>
          </cell>
          <cell r="AG46">
            <v>0</v>
          </cell>
          <cell r="AI46">
            <v>134</v>
          </cell>
          <cell r="AJ46">
            <v>73</v>
          </cell>
          <cell r="AK46">
            <v>6</v>
          </cell>
        </row>
        <row r="47">
          <cell r="C47">
            <v>350710041</v>
          </cell>
          <cell r="D47">
            <v>7</v>
          </cell>
          <cell r="E47">
            <v>0</v>
          </cell>
          <cell r="F47">
            <v>0</v>
          </cell>
          <cell r="G47">
            <v>12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5</v>
          </cell>
          <cell r="P47">
            <v>0</v>
          </cell>
          <cell r="Q47">
            <v>0</v>
          </cell>
          <cell r="R47">
            <v>0</v>
          </cell>
          <cell r="S47">
            <v>9</v>
          </cell>
          <cell r="T47">
            <v>0</v>
          </cell>
          <cell r="U47">
            <v>0</v>
          </cell>
          <cell r="V47">
            <v>0</v>
          </cell>
          <cell r="W47">
            <v>18</v>
          </cell>
          <cell r="X47">
            <v>11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6</v>
          </cell>
          <cell r="AE47">
            <v>0</v>
          </cell>
          <cell r="AF47">
            <v>0</v>
          </cell>
          <cell r="AG47">
            <v>0</v>
          </cell>
          <cell r="AI47">
            <v>68</v>
          </cell>
          <cell r="AJ47">
            <v>18</v>
          </cell>
          <cell r="AK47">
            <v>7</v>
          </cell>
        </row>
        <row r="48">
          <cell r="C48">
            <v>350710042</v>
          </cell>
          <cell r="D48">
            <v>12</v>
          </cell>
          <cell r="E48">
            <v>0</v>
          </cell>
          <cell r="F48">
            <v>19</v>
          </cell>
          <cell r="G48">
            <v>9</v>
          </cell>
          <cell r="H48">
            <v>4</v>
          </cell>
          <cell r="I48">
            <v>3</v>
          </cell>
          <cell r="J48">
            <v>0</v>
          </cell>
          <cell r="K48">
            <v>0</v>
          </cell>
          <cell r="L48">
            <v>0</v>
          </cell>
          <cell r="M48">
            <v>2</v>
          </cell>
          <cell r="N48">
            <v>0</v>
          </cell>
          <cell r="O48">
            <v>0</v>
          </cell>
          <cell r="P48">
            <v>3</v>
          </cell>
          <cell r="Q48">
            <v>0</v>
          </cell>
          <cell r="R48">
            <v>7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3</v>
          </cell>
          <cell r="X48">
            <v>15</v>
          </cell>
          <cell r="Y48">
            <v>46</v>
          </cell>
          <cell r="Z48">
            <v>2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I48">
            <v>125</v>
          </cell>
          <cell r="AJ48">
            <v>46</v>
          </cell>
          <cell r="AK48">
            <v>12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2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18</v>
          </cell>
          <cell r="AF49">
            <v>6</v>
          </cell>
          <cell r="AG49">
            <v>2</v>
          </cell>
          <cell r="AI49">
            <v>28</v>
          </cell>
          <cell r="AJ49">
            <v>18</v>
          </cell>
          <cell r="AK49">
            <v>4</v>
          </cell>
        </row>
        <row r="50">
          <cell r="C50">
            <v>350710044</v>
          </cell>
          <cell r="D50">
            <v>0</v>
          </cell>
          <cell r="E50">
            <v>1</v>
          </cell>
          <cell r="F50">
            <v>3</v>
          </cell>
          <cell r="G50">
            <v>0</v>
          </cell>
          <cell r="H50">
            <v>7</v>
          </cell>
          <cell r="I50">
            <v>9</v>
          </cell>
          <cell r="J50">
            <v>6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2</v>
          </cell>
          <cell r="U50">
            <v>0</v>
          </cell>
          <cell r="V50">
            <v>0</v>
          </cell>
          <cell r="W50">
            <v>0</v>
          </cell>
          <cell r="X50">
            <v>6</v>
          </cell>
          <cell r="Y50">
            <v>0</v>
          </cell>
          <cell r="Z50">
            <v>3</v>
          </cell>
          <cell r="AA50">
            <v>0</v>
          </cell>
          <cell r="AB50">
            <v>0</v>
          </cell>
          <cell r="AC50">
            <v>3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I50">
            <v>40</v>
          </cell>
          <cell r="AJ50">
            <v>9</v>
          </cell>
          <cell r="AK50">
            <v>9</v>
          </cell>
        </row>
        <row r="51">
          <cell r="C51">
            <v>350710045</v>
          </cell>
          <cell r="D51">
            <v>14.5</v>
          </cell>
          <cell r="E51">
            <v>8</v>
          </cell>
          <cell r="F51">
            <v>15</v>
          </cell>
          <cell r="G51">
            <v>8</v>
          </cell>
          <cell r="H51">
            <v>0</v>
          </cell>
          <cell r="I51">
            <v>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3.5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62</v>
          </cell>
          <cell r="W51">
            <v>27</v>
          </cell>
          <cell r="X51">
            <v>37</v>
          </cell>
          <cell r="Y51">
            <v>1</v>
          </cell>
          <cell r="Z51">
            <v>9</v>
          </cell>
          <cell r="AA51">
            <v>2</v>
          </cell>
          <cell r="AB51">
            <v>0</v>
          </cell>
          <cell r="AC51">
            <v>0</v>
          </cell>
          <cell r="AD51">
            <v>7</v>
          </cell>
          <cell r="AE51">
            <v>15</v>
          </cell>
          <cell r="AF51">
            <v>1</v>
          </cell>
          <cell r="AG51">
            <v>0</v>
          </cell>
          <cell r="AI51">
            <v>217</v>
          </cell>
          <cell r="AJ51">
            <v>62</v>
          </cell>
          <cell r="AK51">
            <v>15</v>
          </cell>
        </row>
      </sheetData>
      <sheetData sheetId="6">
        <row r="8">
          <cell r="C8">
            <v>350710001</v>
          </cell>
          <cell r="D8">
            <v>27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19</v>
          </cell>
          <cell r="W8">
            <v>31</v>
          </cell>
          <cell r="X8">
            <v>0</v>
          </cell>
          <cell r="Y8">
            <v>0</v>
          </cell>
          <cell r="Z8">
            <v>0</v>
          </cell>
          <cell r="AA8">
            <v>35</v>
          </cell>
          <cell r="AB8">
            <v>20</v>
          </cell>
          <cell r="AC8">
            <v>0</v>
          </cell>
          <cell r="AD8">
            <v>0</v>
          </cell>
          <cell r="AE8">
            <v>2</v>
          </cell>
          <cell r="AF8">
            <v>0</v>
          </cell>
          <cell r="AG8">
            <v>0</v>
          </cell>
          <cell r="AH8">
            <v>11</v>
          </cell>
          <cell r="AI8">
            <v>194</v>
          </cell>
          <cell r="AJ8">
            <v>44</v>
          </cell>
          <cell r="AK8">
            <v>9</v>
          </cell>
        </row>
        <row r="9">
          <cell r="C9">
            <v>350710002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27</v>
          </cell>
          <cell r="J9">
            <v>0</v>
          </cell>
          <cell r="K9">
            <v>29</v>
          </cell>
          <cell r="L9">
            <v>0</v>
          </cell>
          <cell r="M9">
            <v>3</v>
          </cell>
          <cell r="N9">
            <v>10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3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74</v>
          </cell>
          <cell r="AJ9">
            <v>29</v>
          </cell>
          <cell r="AK9">
            <v>6</v>
          </cell>
        </row>
        <row r="10">
          <cell r="C10">
            <v>350710003</v>
          </cell>
          <cell r="D10">
            <v>15</v>
          </cell>
          <cell r="E10">
            <v>25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14</v>
          </cell>
          <cell r="L10">
            <v>11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23</v>
          </cell>
          <cell r="V10">
            <v>0</v>
          </cell>
          <cell r="W10">
            <v>30</v>
          </cell>
          <cell r="X10">
            <v>23</v>
          </cell>
          <cell r="Y10">
            <v>0</v>
          </cell>
          <cell r="Z10">
            <v>0</v>
          </cell>
          <cell r="AA10">
            <v>0</v>
          </cell>
          <cell r="AB10">
            <v>48</v>
          </cell>
          <cell r="AC10">
            <v>1</v>
          </cell>
          <cell r="AD10">
            <v>7</v>
          </cell>
          <cell r="AE10">
            <v>2</v>
          </cell>
          <cell r="AF10">
            <v>3</v>
          </cell>
          <cell r="AG10">
            <v>0</v>
          </cell>
          <cell r="AH10">
            <v>0</v>
          </cell>
          <cell r="AI10">
            <v>205</v>
          </cell>
          <cell r="AJ10">
            <v>48</v>
          </cell>
          <cell r="AK10">
            <v>13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7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4</v>
          </cell>
          <cell r="V11">
            <v>7</v>
          </cell>
          <cell r="W11">
            <v>2</v>
          </cell>
          <cell r="X11">
            <v>9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32</v>
          </cell>
          <cell r="AJ11">
            <v>9</v>
          </cell>
          <cell r="AK11">
            <v>6</v>
          </cell>
        </row>
        <row r="12">
          <cell r="C12">
            <v>350710005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25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3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12</v>
          </cell>
          <cell r="AD12">
            <v>0</v>
          </cell>
          <cell r="AE12">
            <v>15</v>
          </cell>
          <cell r="AF12">
            <v>0</v>
          </cell>
          <cell r="AG12">
            <v>0</v>
          </cell>
          <cell r="AH12">
            <v>73</v>
          </cell>
          <cell r="AI12">
            <v>131</v>
          </cell>
          <cell r="AJ12">
            <v>73</v>
          </cell>
          <cell r="AK12">
            <v>7</v>
          </cell>
        </row>
        <row r="13">
          <cell r="C13">
            <v>350710006</v>
          </cell>
          <cell r="D13">
            <v>0</v>
          </cell>
          <cell r="E13">
            <v>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9</v>
          </cell>
          <cell r="M13">
            <v>0</v>
          </cell>
          <cell r="N13">
            <v>0</v>
          </cell>
          <cell r="O13">
            <v>0</v>
          </cell>
          <cell r="P13">
            <v>7</v>
          </cell>
          <cell r="Q13">
            <v>6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7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74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108</v>
          </cell>
          <cell r="AJ13">
            <v>74</v>
          </cell>
          <cell r="AK13">
            <v>6</v>
          </cell>
        </row>
        <row r="14">
          <cell r="C14">
            <v>350710007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13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47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91</v>
          </cell>
          <cell r="AJ14">
            <v>47</v>
          </cell>
          <cell r="AK14">
            <v>3</v>
          </cell>
        </row>
        <row r="15">
          <cell r="C15">
            <v>350710008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17</v>
          </cell>
          <cell r="L15">
            <v>0</v>
          </cell>
          <cell r="M15">
            <v>0</v>
          </cell>
          <cell r="N15">
            <v>23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40</v>
          </cell>
          <cell r="AJ15">
            <v>23</v>
          </cell>
          <cell r="AK15">
            <v>2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8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8</v>
          </cell>
          <cell r="AJ16">
            <v>8</v>
          </cell>
          <cell r="AK16">
            <v>1</v>
          </cell>
        </row>
        <row r="17">
          <cell r="C17">
            <v>350710010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2</v>
          </cell>
          <cell r="Y17">
            <v>0</v>
          </cell>
          <cell r="Z17">
            <v>0</v>
          </cell>
          <cell r="AA17">
            <v>0</v>
          </cell>
          <cell r="AB17">
            <v>10</v>
          </cell>
          <cell r="AC17">
            <v>0</v>
          </cell>
          <cell r="AD17">
            <v>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17</v>
          </cell>
          <cell r="AJ17">
            <v>10</v>
          </cell>
          <cell r="AK17">
            <v>3</v>
          </cell>
        </row>
        <row r="18">
          <cell r="C18">
            <v>350710011</v>
          </cell>
          <cell r="D18">
            <v>25</v>
          </cell>
          <cell r="E18">
            <v>15</v>
          </cell>
          <cell r="F18">
            <v>0</v>
          </cell>
          <cell r="G18">
            <v>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45</v>
          </cell>
          <cell r="AJ18">
            <v>25</v>
          </cell>
          <cell r="AK18">
            <v>3</v>
          </cell>
        </row>
        <row r="19">
          <cell r="C19">
            <v>350710012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10</v>
          </cell>
          <cell r="M19">
            <v>0</v>
          </cell>
          <cell r="N19">
            <v>4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  <cell r="S19">
            <v>0</v>
          </cell>
          <cell r="T19">
            <v>2</v>
          </cell>
          <cell r="U19">
            <v>2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29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49</v>
          </cell>
          <cell r="AJ19">
            <v>29</v>
          </cell>
          <cell r="AK19">
            <v>6</v>
          </cell>
        </row>
        <row r="20">
          <cell r="C20">
            <v>350710013</v>
          </cell>
          <cell r="D20">
            <v>0</v>
          </cell>
          <cell r="E20">
            <v>3</v>
          </cell>
          <cell r="F20">
            <v>0</v>
          </cell>
          <cell r="G20">
            <v>0</v>
          </cell>
          <cell r="H20">
            <v>0</v>
          </cell>
          <cell r="I20">
            <v>2</v>
          </cell>
          <cell r="J20">
            <v>2</v>
          </cell>
          <cell r="K20">
            <v>0</v>
          </cell>
          <cell r="L20">
            <v>15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63</v>
          </cell>
          <cell r="V20">
            <v>0</v>
          </cell>
          <cell r="W20">
            <v>0</v>
          </cell>
          <cell r="X20">
            <v>8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5</v>
          </cell>
          <cell r="AD20">
            <v>4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102</v>
          </cell>
          <cell r="AJ20">
            <v>63</v>
          </cell>
          <cell r="AK20">
            <v>8</v>
          </cell>
        </row>
        <row r="21">
          <cell r="C21">
            <v>350710014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12</v>
          </cell>
          <cell r="I21">
            <v>2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2</v>
          </cell>
          <cell r="O21">
            <v>0</v>
          </cell>
          <cell r="P21">
            <v>1</v>
          </cell>
          <cell r="Q21">
            <v>18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3</v>
          </cell>
          <cell r="AC21">
            <v>0</v>
          </cell>
          <cell r="AD21">
            <v>7</v>
          </cell>
          <cell r="AE21">
            <v>0</v>
          </cell>
          <cell r="AF21">
            <v>0</v>
          </cell>
          <cell r="AG21">
            <v>11</v>
          </cell>
          <cell r="AH21">
            <v>0</v>
          </cell>
          <cell r="AI21">
            <v>64</v>
          </cell>
          <cell r="AJ21">
            <v>18</v>
          </cell>
          <cell r="AK21">
            <v>9</v>
          </cell>
        </row>
        <row r="22">
          <cell r="C22">
            <v>350710015</v>
          </cell>
          <cell r="D22">
            <v>0</v>
          </cell>
          <cell r="E22">
            <v>0</v>
          </cell>
          <cell r="F22">
            <v>0</v>
          </cell>
          <cell r="G22">
            <v>3</v>
          </cell>
          <cell r="H22">
            <v>4</v>
          </cell>
          <cell r="I22">
            <v>1</v>
          </cell>
          <cell r="J22">
            <v>1</v>
          </cell>
          <cell r="K22">
            <v>0</v>
          </cell>
          <cell r="L22">
            <v>4</v>
          </cell>
          <cell r="M22">
            <v>13</v>
          </cell>
          <cell r="N22">
            <v>0</v>
          </cell>
          <cell r="O22">
            <v>3</v>
          </cell>
          <cell r="P22">
            <v>4</v>
          </cell>
          <cell r="R22">
            <v>0</v>
          </cell>
          <cell r="S22">
            <v>0</v>
          </cell>
          <cell r="T22">
            <v>4</v>
          </cell>
          <cell r="U22">
            <v>5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7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49</v>
          </cell>
          <cell r="AJ22">
            <v>13</v>
          </cell>
          <cell r="AK22">
            <v>11</v>
          </cell>
        </row>
        <row r="23">
          <cell r="C23">
            <v>350710016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16</v>
          </cell>
          <cell r="K23">
            <v>0</v>
          </cell>
          <cell r="L23">
            <v>0</v>
          </cell>
          <cell r="M23">
            <v>0</v>
          </cell>
          <cell r="N23">
            <v>9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13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24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62</v>
          </cell>
          <cell r="AJ23">
            <v>24</v>
          </cell>
          <cell r="AK23">
            <v>4</v>
          </cell>
        </row>
        <row r="24">
          <cell r="C24">
            <v>350710017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29</v>
          </cell>
          <cell r="M24">
            <v>23</v>
          </cell>
          <cell r="N24">
            <v>14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9</v>
          </cell>
          <cell r="U24">
            <v>61</v>
          </cell>
          <cell r="V24">
            <v>12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19</v>
          </cell>
          <cell r="AB24">
            <v>73</v>
          </cell>
          <cell r="AC24">
            <v>0</v>
          </cell>
          <cell r="AD24">
            <v>0</v>
          </cell>
          <cell r="AE24">
            <v>24</v>
          </cell>
          <cell r="AF24">
            <v>0</v>
          </cell>
          <cell r="AG24">
            <v>0</v>
          </cell>
          <cell r="AH24">
            <v>39</v>
          </cell>
          <cell r="AI24">
            <v>303</v>
          </cell>
          <cell r="AJ24">
            <v>73</v>
          </cell>
          <cell r="AK24">
            <v>10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60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30</v>
          </cell>
          <cell r="AI25">
            <v>90</v>
          </cell>
          <cell r="AJ25">
            <v>60</v>
          </cell>
          <cell r="AK25">
            <v>2</v>
          </cell>
        </row>
        <row r="26">
          <cell r="C26">
            <v>350710019</v>
          </cell>
          <cell r="D26">
            <v>0</v>
          </cell>
          <cell r="E26">
            <v>0</v>
          </cell>
          <cell r="F26">
            <v>0</v>
          </cell>
          <cell r="G26">
            <v>41</v>
          </cell>
          <cell r="H26">
            <v>23</v>
          </cell>
          <cell r="I26">
            <v>17</v>
          </cell>
          <cell r="J26">
            <v>4</v>
          </cell>
          <cell r="K26">
            <v>0</v>
          </cell>
          <cell r="L26">
            <v>0</v>
          </cell>
          <cell r="M26">
            <v>22</v>
          </cell>
          <cell r="N26">
            <v>0</v>
          </cell>
          <cell r="O26">
            <v>0</v>
          </cell>
          <cell r="P26">
            <v>0</v>
          </cell>
          <cell r="Q26">
            <v>7</v>
          </cell>
          <cell r="R26">
            <v>0</v>
          </cell>
          <cell r="S26">
            <v>0</v>
          </cell>
          <cell r="T26">
            <v>28</v>
          </cell>
          <cell r="U26">
            <v>21</v>
          </cell>
          <cell r="V26">
            <v>3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22</v>
          </cell>
          <cell r="AD26">
            <v>33</v>
          </cell>
          <cell r="AE26">
            <v>11</v>
          </cell>
          <cell r="AF26">
            <v>0</v>
          </cell>
          <cell r="AG26">
            <v>44</v>
          </cell>
          <cell r="AH26">
            <v>29</v>
          </cell>
          <cell r="AI26">
            <v>305</v>
          </cell>
          <cell r="AJ26">
            <v>44</v>
          </cell>
          <cell r="AK26">
            <v>14</v>
          </cell>
        </row>
        <row r="27">
          <cell r="C27">
            <v>350710020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29</v>
          </cell>
          <cell r="I27">
            <v>1</v>
          </cell>
          <cell r="J27">
            <v>0</v>
          </cell>
          <cell r="K27">
            <v>0</v>
          </cell>
          <cell r="L27">
            <v>0</v>
          </cell>
          <cell r="M27">
            <v>2</v>
          </cell>
          <cell r="N27">
            <v>57</v>
          </cell>
          <cell r="O27">
            <v>2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7</v>
          </cell>
          <cell r="V27">
            <v>4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5</v>
          </cell>
          <cell r="AC27">
            <v>0</v>
          </cell>
          <cell r="AD27">
            <v>2</v>
          </cell>
          <cell r="AE27">
            <v>0</v>
          </cell>
          <cell r="AF27">
            <v>1</v>
          </cell>
          <cell r="AG27">
            <v>1</v>
          </cell>
          <cell r="AH27">
            <v>0</v>
          </cell>
          <cell r="AI27">
            <v>111</v>
          </cell>
          <cell r="AJ27">
            <v>57</v>
          </cell>
          <cell r="AK27">
            <v>11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0</v>
          </cell>
          <cell r="G28">
            <v>7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13</v>
          </cell>
          <cell r="O28">
            <v>0</v>
          </cell>
          <cell r="P28">
            <v>5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64</v>
          </cell>
          <cell r="AC28">
            <v>0</v>
          </cell>
          <cell r="AD28">
            <v>39</v>
          </cell>
          <cell r="AE28">
            <v>0</v>
          </cell>
          <cell r="AF28">
            <v>0</v>
          </cell>
          <cell r="AG28">
            <v>18</v>
          </cell>
          <cell r="AH28">
            <v>0</v>
          </cell>
          <cell r="AI28">
            <v>146</v>
          </cell>
          <cell r="AJ28">
            <v>64</v>
          </cell>
          <cell r="AK28">
            <v>6</v>
          </cell>
        </row>
        <row r="29">
          <cell r="C29">
            <v>350710022</v>
          </cell>
          <cell r="D29">
            <v>0</v>
          </cell>
          <cell r="E29">
            <v>0</v>
          </cell>
          <cell r="F29">
            <v>14</v>
          </cell>
          <cell r="G29">
            <v>0</v>
          </cell>
          <cell r="H29">
            <v>2</v>
          </cell>
          <cell r="I29">
            <v>2</v>
          </cell>
          <cell r="J29">
            <v>4</v>
          </cell>
          <cell r="K29">
            <v>0</v>
          </cell>
          <cell r="L29">
            <v>6</v>
          </cell>
          <cell r="M29">
            <v>3</v>
          </cell>
          <cell r="N29">
            <v>12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>0,4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49</v>
          </cell>
          <cell r="AC29">
            <v>0</v>
          </cell>
          <cell r="AD29">
            <v>28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120</v>
          </cell>
          <cell r="AJ29">
            <v>49</v>
          </cell>
          <cell r="AK29">
            <v>9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6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56</v>
          </cell>
          <cell r="AC30">
            <v>12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74</v>
          </cell>
          <cell r="AJ30">
            <v>56</v>
          </cell>
          <cell r="AK30">
            <v>3</v>
          </cell>
        </row>
        <row r="31">
          <cell r="C31">
            <v>350710025</v>
          </cell>
          <cell r="D31">
            <v>0</v>
          </cell>
          <cell r="E31">
            <v>0</v>
          </cell>
          <cell r="F31">
            <v>0</v>
          </cell>
          <cell r="G31">
            <v>1</v>
          </cell>
          <cell r="H31">
            <v>0</v>
          </cell>
          <cell r="I31">
            <v>3</v>
          </cell>
          <cell r="J31">
            <v>2</v>
          </cell>
          <cell r="K31">
            <v>0</v>
          </cell>
          <cell r="L31">
            <v>9</v>
          </cell>
          <cell r="M31">
            <v>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2</v>
          </cell>
          <cell r="V31">
            <v>0</v>
          </cell>
          <cell r="W31">
            <v>0</v>
          </cell>
          <cell r="X31">
            <v>2</v>
          </cell>
          <cell r="Y31">
            <v>0</v>
          </cell>
          <cell r="Z31">
            <v>0</v>
          </cell>
          <cell r="AA31">
            <v>0</v>
          </cell>
          <cell r="AB31">
            <v>7</v>
          </cell>
          <cell r="AC31">
            <v>10</v>
          </cell>
          <cell r="AD31">
            <v>2</v>
          </cell>
          <cell r="AE31">
            <v>0</v>
          </cell>
          <cell r="AF31">
            <v>0</v>
          </cell>
          <cell r="AG31">
            <v>5</v>
          </cell>
          <cell r="AH31">
            <v>0</v>
          </cell>
          <cell r="AI31">
            <v>44</v>
          </cell>
          <cell r="AJ31">
            <v>10</v>
          </cell>
          <cell r="AK31">
            <v>11</v>
          </cell>
        </row>
        <row r="32">
          <cell r="C32">
            <v>350710026</v>
          </cell>
          <cell r="D32">
            <v>0</v>
          </cell>
          <cell r="E32">
            <v>16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32</v>
          </cell>
          <cell r="K32">
            <v>0</v>
          </cell>
          <cell r="L32">
            <v>7</v>
          </cell>
          <cell r="M32">
            <v>0</v>
          </cell>
          <cell r="N32">
            <v>42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7</v>
          </cell>
          <cell r="AE32">
            <v>2</v>
          </cell>
          <cell r="AF32">
            <v>0</v>
          </cell>
          <cell r="AG32">
            <v>0</v>
          </cell>
          <cell r="AH32">
            <v>6</v>
          </cell>
          <cell r="AI32">
            <v>112</v>
          </cell>
          <cell r="AJ32">
            <v>42</v>
          </cell>
          <cell r="AK32">
            <v>7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19</v>
          </cell>
          <cell r="L33">
            <v>5</v>
          </cell>
          <cell r="M33">
            <v>0</v>
          </cell>
          <cell r="N33">
            <v>0</v>
          </cell>
          <cell r="O33">
            <v>0</v>
          </cell>
          <cell r="P33">
            <v>5</v>
          </cell>
          <cell r="Q33">
            <v>0</v>
          </cell>
          <cell r="R33">
            <v>0</v>
          </cell>
          <cell r="S33">
            <v>0</v>
          </cell>
          <cell r="T33">
            <v>15</v>
          </cell>
          <cell r="U33">
            <v>0</v>
          </cell>
          <cell r="V33">
            <v>13</v>
          </cell>
          <cell r="W33">
            <v>29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51</v>
          </cell>
          <cell r="AC33">
            <v>0</v>
          </cell>
          <cell r="AD33">
            <v>0</v>
          </cell>
          <cell r="AE33">
            <v>12</v>
          </cell>
          <cell r="AF33">
            <v>9</v>
          </cell>
          <cell r="AG33">
            <v>0</v>
          </cell>
          <cell r="AH33">
            <v>0</v>
          </cell>
          <cell r="AI33">
            <v>158</v>
          </cell>
          <cell r="AJ33">
            <v>51</v>
          </cell>
          <cell r="AK33">
            <v>9</v>
          </cell>
        </row>
        <row r="34">
          <cell r="C34">
            <v>350710028</v>
          </cell>
          <cell r="D34">
            <v>8</v>
          </cell>
          <cell r="E34">
            <v>0</v>
          </cell>
          <cell r="F34">
            <v>0</v>
          </cell>
          <cell r="G34">
            <v>17</v>
          </cell>
          <cell r="H34">
            <v>0</v>
          </cell>
          <cell r="I34">
            <v>0</v>
          </cell>
          <cell r="J34">
            <v>3</v>
          </cell>
          <cell r="K34">
            <v>0</v>
          </cell>
          <cell r="L34">
            <v>0</v>
          </cell>
          <cell r="M34">
            <v>21</v>
          </cell>
          <cell r="N34">
            <v>1</v>
          </cell>
          <cell r="O34">
            <v>11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6</v>
          </cell>
          <cell r="V34">
            <v>0</v>
          </cell>
          <cell r="W34">
            <v>25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19</v>
          </cell>
          <cell r="AC34">
            <v>15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134</v>
          </cell>
          <cell r="AJ34">
            <v>25</v>
          </cell>
          <cell r="AK34">
            <v>12</v>
          </cell>
        </row>
        <row r="35">
          <cell r="C35">
            <v>350710029</v>
          </cell>
          <cell r="D35">
            <v>11</v>
          </cell>
          <cell r="E35">
            <v>23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14</v>
          </cell>
          <cell r="M35">
            <v>0</v>
          </cell>
          <cell r="N35">
            <v>0</v>
          </cell>
          <cell r="O35">
            <v>36</v>
          </cell>
          <cell r="P35">
            <v>26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12</v>
          </cell>
          <cell r="W35">
            <v>30</v>
          </cell>
          <cell r="X35">
            <v>14</v>
          </cell>
          <cell r="Y35">
            <v>0</v>
          </cell>
          <cell r="Z35">
            <v>0</v>
          </cell>
          <cell r="AA35">
            <v>0</v>
          </cell>
          <cell r="AB35">
            <v>55</v>
          </cell>
          <cell r="AC35">
            <v>0</v>
          </cell>
          <cell r="AD35">
            <v>14</v>
          </cell>
          <cell r="AE35">
            <v>0</v>
          </cell>
          <cell r="AF35">
            <v>41</v>
          </cell>
          <cell r="AG35">
            <v>0</v>
          </cell>
          <cell r="AH35">
            <v>0</v>
          </cell>
          <cell r="AI35">
            <v>276</v>
          </cell>
          <cell r="AJ35">
            <v>55</v>
          </cell>
          <cell r="AK35">
            <v>11</v>
          </cell>
        </row>
        <row r="36">
          <cell r="C36">
            <v>350710030</v>
          </cell>
          <cell r="D36">
            <v>0</v>
          </cell>
          <cell r="E36">
            <v>0</v>
          </cell>
          <cell r="F36">
            <v>0</v>
          </cell>
          <cell r="G36">
            <v>2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29</v>
          </cell>
          <cell r="M36">
            <v>0.2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5</v>
          </cell>
          <cell r="V36">
            <v>0</v>
          </cell>
          <cell r="W36">
            <v>0</v>
          </cell>
          <cell r="X36">
            <v>13</v>
          </cell>
          <cell r="Y36">
            <v>0</v>
          </cell>
          <cell r="Z36">
            <v>0</v>
          </cell>
          <cell r="AA36">
            <v>0</v>
          </cell>
          <cell r="AB36">
            <v>15</v>
          </cell>
          <cell r="AC36">
            <v>0</v>
          </cell>
          <cell r="AD36">
            <v>21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85.2</v>
          </cell>
          <cell r="AJ36">
            <v>29</v>
          </cell>
          <cell r="AK36">
            <v>7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38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52</v>
          </cell>
          <cell r="AC37">
            <v>17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107</v>
          </cell>
          <cell r="AJ37">
            <v>52</v>
          </cell>
          <cell r="AK37">
            <v>3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0</v>
          </cell>
          <cell r="G38">
            <v>3</v>
          </cell>
          <cell r="H38">
            <v>18</v>
          </cell>
          <cell r="I38">
            <v>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0.5</v>
          </cell>
          <cell r="V38">
            <v>0.4</v>
          </cell>
          <cell r="W38">
            <v>10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0.9</v>
          </cell>
          <cell r="AC38">
            <v>0</v>
          </cell>
          <cell r="AD38">
            <v>0.3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43.099999999999994</v>
          </cell>
          <cell r="AJ38">
            <v>18</v>
          </cell>
          <cell r="AK38">
            <v>8</v>
          </cell>
        </row>
        <row r="39">
          <cell r="C39">
            <v>350710033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6</v>
          </cell>
          <cell r="K39">
            <v>9</v>
          </cell>
          <cell r="L39">
            <v>21</v>
          </cell>
          <cell r="M39">
            <v>0</v>
          </cell>
          <cell r="N39">
            <v>2</v>
          </cell>
          <cell r="O39">
            <v>0</v>
          </cell>
          <cell r="P39">
            <v>5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</v>
          </cell>
          <cell r="V39">
            <v>10</v>
          </cell>
          <cell r="W39">
            <v>0</v>
          </cell>
          <cell r="X39">
            <v>3</v>
          </cell>
          <cell r="Y39">
            <v>0</v>
          </cell>
          <cell r="Z39">
            <v>0</v>
          </cell>
          <cell r="AA39">
            <v>0</v>
          </cell>
          <cell r="AB39">
            <v>2</v>
          </cell>
          <cell r="AC39">
            <v>0</v>
          </cell>
          <cell r="AD39">
            <v>5</v>
          </cell>
          <cell r="AE39">
            <v>0</v>
          </cell>
          <cell r="AF39">
            <v>3</v>
          </cell>
          <cell r="AG39">
            <v>0</v>
          </cell>
          <cell r="AH39">
            <v>0</v>
          </cell>
          <cell r="AI39">
            <v>68</v>
          </cell>
          <cell r="AJ39">
            <v>21</v>
          </cell>
          <cell r="AK39">
            <v>11</v>
          </cell>
        </row>
        <row r="40">
          <cell r="C40">
            <v>350710034</v>
          </cell>
          <cell r="D40">
            <v>1</v>
          </cell>
          <cell r="E40">
            <v>12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2</v>
          </cell>
          <cell r="K40">
            <v>0</v>
          </cell>
          <cell r="L40">
            <v>6</v>
          </cell>
          <cell r="M40">
            <v>0</v>
          </cell>
          <cell r="N40">
            <v>0</v>
          </cell>
          <cell r="O40">
            <v>0</v>
          </cell>
          <cell r="P40">
            <v>1</v>
          </cell>
          <cell r="Q40">
            <v>2</v>
          </cell>
          <cell r="R40">
            <v>0</v>
          </cell>
          <cell r="S40">
            <v>0</v>
          </cell>
          <cell r="T40">
            <v>0</v>
          </cell>
          <cell r="U40">
            <v>5</v>
          </cell>
          <cell r="V40">
            <v>2</v>
          </cell>
          <cell r="W40">
            <v>1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2</v>
          </cell>
          <cell r="AD40">
            <v>6</v>
          </cell>
          <cell r="AE40">
            <v>0</v>
          </cell>
          <cell r="AF40">
            <v>2</v>
          </cell>
          <cell r="AG40">
            <v>81</v>
          </cell>
          <cell r="AH40">
            <v>3</v>
          </cell>
          <cell r="AI40">
            <v>127</v>
          </cell>
          <cell r="AJ40">
            <v>81</v>
          </cell>
          <cell r="AK40">
            <v>15</v>
          </cell>
        </row>
        <row r="41">
          <cell r="C41">
            <v>350710035</v>
          </cell>
          <cell r="D41">
            <v>24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25</v>
          </cell>
          <cell r="M41">
            <v>4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30</v>
          </cell>
          <cell r="U41">
            <v>23</v>
          </cell>
          <cell r="V41">
            <v>0</v>
          </cell>
          <cell r="W41">
            <v>32</v>
          </cell>
          <cell r="X41">
            <v>48</v>
          </cell>
          <cell r="Y41">
            <v>0</v>
          </cell>
          <cell r="Z41">
            <v>0</v>
          </cell>
          <cell r="AA41">
            <v>0</v>
          </cell>
          <cell r="AB41">
            <v>32</v>
          </cell>
          <cell r="AC41">
            <v>0</v>
          </cell>
          <cell r="AD41">
            <v>8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226</v>
          </cell>
          <cell r="AJ41">
            <v>48</v>
          </cell>
          <cell r="AK41">
            <v>9</v>
          </cell>
        </row>
        <row r="42">
          <cell r="C42">
            <v>350710036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24</v>
          </cell>
          <cell r="I42">
            <v>29</v>
          </cell>
          <cell r="J42">
            <v>23</v>
          </cell>
          <cell r="K42">
            <v>3</v>
          </cell>
          <cell r="L42">
            <v>0</v>
          </cell>
          <cell r="M42">
            <v>2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4</v>
          </cell>
          <cell r="AD42">
            <v>12</v>
          </cell>
          <cell r="AE42">
            <v>2</v>
          </cell>
          <cell r="AF42">
            <v>0</v>
          </cell>
          <cell r="AG42">
            <v>0</v>
          </cell>
          <cell r="AH42">
            <v>0</v>
          </cell>
          <cell r="AI42">
            <v>99</v>
          </cell>
          <cell r="AJ42">
            <v>29</v>
          </cell>
          <cell r="AK42">
            <v>8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8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9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40</v>
          </cell>
          <cell r="AC43">
            <v>0</v>
          </cell>
          <cell r="AD43">
            <v>4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61</v>
          </cell>
          <cell r="AJ43">
            <v>40</v>
          </cell>
          <cell r="AK43">
            <v>4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30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19</v>
          </cell>
          <cell r="Y44">
            <v>0</v>
          </cell>
          <cell r="Z44">
            <v>0</v>
          </cell>
          <cell r="AA44">
            <v>0</v>
          </cell>
          <cell r="AB44">
            <v>31</v>
          </cell>
          <cell r="AC44">
            <v>8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88</v>
          </cell>
          <cell r="AJ44">
            <v>31</v>
          </cell>
          <cell r="AK44">
            <v>4</v>
          </cell>
        </row>
        <row r="45">
          <cell r="C45">
            <v>350710039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19</v>
          </cell>
          <cell r="K45">
            <v>5</v>
          </cell>
          <cell r="L45">
            <v>0</v>
          </cell>
          <cell r="M45">
            <v>0</v>
          </cell>
          <cell r="N45">
            <v>11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7</v>
          </cell>
          <cell r="V45">
            <v>0</v>
          </cell>
          <cell r="W45">
            <v>0</v>
          </cell>
          <cell r="X45">
            <v>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11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56</v>
          </cell>
          <cell r="AJ45">
            <v>19</v>
          </cell>
          <cell r="AK45">
            <v>6</v>
          </cell>
        </row>
        <row r="46">
          <cell r="C46">
            <v>350710040</v>
          </cell>
          <cell r="D46">
            <v>0</v>
          </cell>
          <cell r="E46">
            <v>5</v>
          </cell>
          <cell r="F46">
            <v>3</v>
          </cell>
          <cell r="G46">
            <v>4</v>
          </cell>
          <cell r="H46">
            <v>5</v>
          </cell>
          <cell r="I46">
            <v>25</v>
          </cell>
          <cell r="J46">
            <v>0</v>
          </cell>
          <cell r="K46">
            <v>0</v>
          </cell>
          <cell r="L46">
            <v>0</v>
          </cell>
          <cell r="M46">
            <v>3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8</v>
          </cell>
          <cell r="U46">
            <v>14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5</v>
          </cell>
          <cell r="AC46">
            <v>7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79</v>
          </cell>
          <cell r="AJ46">
            <v>25</v>
          </cell>
          <cell r="AK46">
            <v>10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4</v>
          </cell>
          <cell r="I47">
            <v>0</v>
          </cell>
          <cell r="J47">
            <v>7</v>
          </cell>
          <cell r="K47">
            <v>0</v>
          </cell>
          <cell r="L47">
            <v>0</v>
          </cell>
          <cell r="M47">
            <v>12</v>
          </cell>
          <cell r="N47">
            <v>0</v>
          </cell>
          <cell r="O47">
            <v>0</v>
          </cell>
          <cell r="P47">
            <v>10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5</v>
          </cell>
          <cell r="V47">
            <v>0</v>
          </cell>
          <cell r="W47">
            <v>5</v>
          </cell>
          <cell r="X47">
            <v>0</v>
          </cell>
          <cell r="Y47">
            <v>0</v>
          </cell>
          <cell r="Z47">
            <v>0</v>
          </cell>
          <cell r="AA47">
            <v>7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47</v>
          </cell>
          <cell r="AI47">
            <v>97</v>
          </cell>
          <cell r="AJ47">
            <v>47</v>
          </cell>
          <cell r="AK47">
            <v>8</v>
          </cell>
        </row>
        <row r="48">
          <cell r="C48">
            <v>350710042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6</v>
          </cell>
          <cell r="J48">
            <v>16</v>
          </cell>
          <cell r="K48">
            <v>49</v>
          </cell>
          <cell r="L48">
            <v>0</v>
          </cell>
          <cell r="M48">
            <v>0</v>
          </cell>
          <cell r="N48">
            <v>11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9</v>
          </cell>
          <cell r="W48">
            <v>0</v>
          </cell>
          <cell r="X48">
            <v>7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14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112</v>
          </cell>
          <cell r="AJ48">
            <v>49</v>
          </cell>
          <cell r="AK48">
            <v>7</v>
          </cell>
        </row>
        <row r="49">
          <cell r="C49">
            <v>350710043</v>
          </cell>
          <cell r="D49">
            <v>0</v>
          </cell>
          <cell r="E49">
            <v>42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4</v>
          </cell>
          <cell r="K49">
            <v>10</v>
          </cell>
          <cell r="L49">
            <v>25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4</v>
          </cell>
          <cell r="V49">
            <v>2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6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93</v>
          </cell>
          <cell r="AJ49">
            <v>42</v>
          </cell>
          <cell r="AK49">
            <v>7</v>
          </cell>
        </row>
        <row r="50">
          <cell r="C50">
            <v>350710044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4</v>
          </cell>
          <cell r="J50">
            <v>0</v>
          </cell>
          <cell r="K50">
            <v>3</v>
          </cell>
          <cell r="L50">
            <v>0</v>
          </cell>
          <cell r="M50">
            <v>0</v>
          </cell>
          <cell r="N50">
            <v>6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1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14</v>
          </cell>
          <cell r="AJ50">
            <v>6</v>
          </cell>
          <cell r="AK50">
            <v>4</v>
          </cell>
        </row>
        <row r="51">
          <cell r="C51">
            <v>350710045</v>
          </cell>
          <cell r="D51">
            <v>0</v>
          </cell>
          <cell r="E51">
            <v>1</v>
          </cell>
          <cell r="F51">
            <v>5</v>
          </cell>
          <cell r="G51">
            <v>28</v>
          </cell>
          <cell r="H51">
            <v>24</v>
          </cell>
          <cell r="I51">
            <v>55</v>
          </cell>
          <cell r="J51">
            <v>0</v>
          </cell>
          <cell r="K51">
            <v>0</v>
          </cell>
          <cell r="L51">
            <v>0</v>
          </cell>
          <cell r="M51">
            <v>20</v>
          </cell>
          <cell r="N51">
            <v>0</v>
          </cell>
          <cell r="O51">
            <v>0</v>
          </cell>
          <cell r="P51">
            <v>7.5</v>
          </cell>
          <cell r="Q51">
            <v>0</v>
          </cell>
          <cell r="R51">
            <v>0</v>
          </cell>
          <cell r="S51">
            <v>0</v>
          </cell>
          <cell r="T51">
            <v>7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10</v>
          </cell>
          <cell r="AB51">
            <v>3</v>
          </cell>
          <cell r="AC51">
            <v>3.5</v>
          </cell>
          <cell r="AD51">
            <v>1</v>
          </cell>
          <cell r="AE51">
            <v>10.5</v>
          </cell>
          <cell r="AF51">
            <v>4</v>
          </cell>
          <cell r="AG51">
            <v>0</v>
          </cell>
          <cell r="AH51">
            <v>12</v>
          </cell>
          <cell r="AI51">
            <v>191.5</v>
          </cell>
          <cell r="AJ51">
            <v>55</v>
          </cell>
          <cell r="AK51">
            <v>15</v>
          </cell>
        </row>
      </sheetData>
      <sheetData sheetId="7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5</v>
          </cell>
          <cell r="I8">
            <v>0</v>
          </cell>
          <cell r="J8">
            <v>2</v>
          </cell>
          <cell r="K8">
            <v>6</v>
          </cell>
          <cell r="L8">
            <v>0</v>
          </cell>
          <cell r="M8">
            <v>0</v>
          </cell>
          <cell r="N8">
            <v>15</v>
          </cell>
          <cell r="O8">
            <v>0</v>
          </cell>
          <cell r="P8">
            <v>0</v>
          </cell>
          <cell r="Q8">
            <v>0</v>
          </cell>
          <cell r="R8">
            <v>20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I8">
            <v>51</v>
          </cell>
          <cell r="AJ8">
            <v>20</v>
          </cell>
        </row>
        <row r="9">
          <cell r="C9">
            <v>350710002</v>
          </cell>
          <cell r="D9">
            <v>49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22</v>
          </cell>
          <cell r="K9">
            <v>0</v>
          </cell>
          <cell r="L9">
            <v>0</v>
          </cell>
          <cell r="M9">
            <v>0</v>
          </cell>
          <cell r="N9">
            <v>12</v>
          </cell>
          <cell r="O9">
            <v>0</v>
          </cell>
          <cell r="P9">
            <v>0</v>
          </cell>
          <cell r="Q9">
            <v>0</v>
          </cell>
          <cell r="R9">
            <v>3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11</v>
          </cell>
          <cell r="X9">
            <v>2</v>
          </cell>
          <cell r="Y9">
            <v>2</v>
          </cell>
          <cell r="Z9">
            <v>0</v>
          </cell>
          <cell r="AA9">
            <v>7</v>
          </cell>
          <cell r="AB9">
            <v>3</v>
          </cell>
          <cell r="AC9">
            <v>17</v>
          </cell>
          <cell r="AD9">
            <v>23</v>
          </cell>
          <cell r="AE9">
            <v>3</v>
          </cell>
          <cell r="AF9">
            <v>2</v>
          </cell>
          <cell r="AG9">
            <v>1</v>
          </cell>
          <cell r="AI9">
            <v>159</v>
          </cell>
          <cell r="AJ9">
            <v>49</v>
          </cell>
        </row>
        <row r="10">
          <cell r="C10">
            <v>350710003</v>
          </cell>
          <cell r="D10">
            <v>0</v>
          </cell>
          <cell r="E10">
            <v>2</v>
          </cell>
          <cell r="F10">
            <v>0</v>
          </cell>
          <cell r="G10">
            <v>0</v>
          </cell>
          <cell r="H10">
            <v>16</v>
          </cell>
          <cell r="I10">
            <v>9</v>
          </cell>
          <cell r="J10">
            <v>0</v>
          </cell>
          <cell r="K10">
            <v>9</v>
          </cell>
          <cell r="L10">
            <v>3</v>
          </cell>
          <cell r="M10">
            <v>0</v>
          </cell>
          <cell r="N10">
            <v>0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33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I10">
            <v>74</v>
          </cell>
          <cell r="AJ10">
            <v>33</v>
          </cell>
        </row>
        <row r="11">
          <cell r="C11">
            <v>350710004</v>
          </cell>
          <cell r="D11">
            <v>32</v>
          </cell>
          <cell r="E11">
            <v>0</v>
          </cell>
          <cell r="F11">
            <v>0</v>
          </cell>
          <cell r="G11">
            <v>0</v>
          </cell>
          <cell r="H11">
            <v>43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9</v>
          </cell>
          <cell r="O11">
            <v>0</v>
          </cell>
          <cell r="P11">
            <v>0</v>
          </cell>
          <cell r="Q11">
            <v>3</v>
          </cell>
          <cell r="R11">
            <v>0</v>
          </cell>
          <cell r="S11">
            <v>2</v>
          </cell>
          <cell r="T11">
            <v>0</v>
          </cell>
          <cell r="U11">
            <v>7</v>
          </cell>
          <cell r="V11">
            <v>0</v>
          </cell>
          <cell r="W11">
            <v>22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6</v>
          </cell>
          <cell r="AD11">
            <v>11</v>
          </cell>
          <cell r="AE11">
            <v>19</v>
          </cell>
          <cell r="AF11">
            <v>5</v>
          </cell>
          <cell r="AG11">
            <v>0</v>
          </cell>
          <cell r="AI11">
            <v>159</v>
          </cell>
          <cell r="AJ11">
            <v>43</v>
          </cell>
        </row>
        <row r="12">
          <cell r="C12">
            <v>350710005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7</v>
          </cell>
          <cell r="S12">
            <v>5</v>
          </cell>
          <cell r="T12">
            <v>15</v>
          </cell>
          <cell r="U12">
            <v>10</v>
          </cell>
          <cell r="V12">
            <v>25</v>
          </cell>
          <cell r="W12">
            <v>28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15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I12">
            <v>133</v>
          </cell>
          <cell r="AJ12">
            <v>28</v>
          </cell>
        </row>
        <row r="13">
          <cell r="C13">
            <v>350710006</v>
          </cell>
          <cell r="D13">
            <v>54</v>
          </cell>
          <cell r="E13">
            <v>0</v>
          </cell>
          <cell r="F13">
            <v>0</v>
          </cell>
          <cell r="G13">
            <v>5</v>
          </cell>
          <cell r="H13">
            <v>7</v>
          </cell>
          <cell r="I13">
            <v>39</v>
          </cell>
          <cell r="J13">
            <v>0</v>
          </cell>
          <cell r="K13">
            <v>0</v>
          </cell>
          <cell r="L13">
            <v>0</v>
          </cell>
          <cell r="M13">
            <v>5</v>
          </cell>
          <cell r="N13">
            <v>0</v>
          </cell>
          <cell r="O13">
            <v>5</v>
          </cell>
          <cell r="P13">
            <v>15</v>
          </cell>
          <cell r="Q13">
            <v>0</v>
          </cell>
          <cell r="R13">
            <v>0</v>
          </cell>
          <cell r="S13">
            <v>38</v>
          </cell>
          <cell r="T13">
            <v>15</v>
          </cell>
          <cell r="U13">
            <v>5</v>
          </cell>
          <cell r="V13">
            <v>35</v>
          </cell>
          <cell r="W13">
            <v>11</v>
          </cell>
          <cell r="X13">
            <v>5</v>
          </cell>
          <cell r="Y13">
            <v>0</v>
          </cell>
          <cell r="Z13">
            <v>5</v>
          </cell>
          <cell r="AA13">
            <v>17</v>
          </cell>
          <cell r="AB13">
            <v>13</v>
          </cell>
          <cell r="AC13">
            <v>19</v>
          </cell>
          <cell r="AD13">
            <v>30</v>
          </cell>
          <cell r="AE13">
            <v>8</v>
          </cell>
          <cell r="AF13">
            <v>5</v>
          </cell>
          <cell r="AG13">
            <v>10</v>
          </cell>
          <cell r="AI13">
            <v>346</v>
          </cell>
          <cell r="AJ13">
            <v>54</v>
          </cell>
        </row>
        <row r="14">
          <cell r="C14">
            <v>350710007</v>
          </cell>
          <cell r="D14">
            <v>79</v>
          </cell>
          <cell r="E14">
            <v>0</v>
          </cell>
          <cell r="F14">
            <v>3</v>
          </cell>
          <cell r="G14">
            <v>0</v>
          </cell>
          <cell r="H14">
            <v>0</v>
          </cell>
          <cell r="I14">
            <v>0</v>
          </cell>
          <cell r="J14">
            <v>11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5</v>
          </cell>
          <cell r="R14">
            <v>0</v>
          </cell>
          <cell r="S14">
            <v>3</v>
          </cell>
          <cell r="T14">
            <v>3</v>
          </cell>
          <cell r="U14">
            <v>0</v>
          </cell>
          <cell r="V14">
            <v>0</v>
          </cell>
          <cell r="W14">
            <v>16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11</v>
          </cell>
          <cell r="AE14">
            <v>0</v>
          </cell>
          <cell r="AF14">
            <v>0</v>
          </cell>
          <cell r="AG14">
            <v>21</v>
          </cell>
          <cell r="AI14">
            <v>152</v>
          </cell>
          <cell r="AJ14">
            <v>79</v>
          </cell>
        </row>
        <row r="15">
          <cell r="C15">
            <v>350710008</v>
          </cell>
          <cell r="D15">
            <v>22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23</v>
          </cell>
          <cell r="K15">
            <v>0</v>
          </cell>
          <cell r="L15">
            <v>0</v>
          </cell>
          <cell r="M15">
            <v>0</v>
          </cell>
          <cell r="N15">
            <v>17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7</v>
          </cell>
          <cell r="T15">
            <v>0</v>
          </cell>
          <cell r="U15">
            <v>0</v>
          </cell>
          <cell r="V15">
            <v>0</v>
          </cell>
          <cell r="W15">
            <v>18</v>
          </cell>
          <cell r="X15">
            <v>0</v>
          </cell>
          <cell r="Y15">
            <v>0</v>
          </cell>
          <cell r="Z15">
            <v>9</v>
          </cell>
          <cell r="AA15">
            <v>7</v>
          </cell>
          <cell r="AB15">
            <v>7</v>
          </cell>
          <cell r="AC15">
            <v>0</v>
          </cell>
          <cell r="AD15">
            <v>43</v>
          </cell>
          <cell r="AE15">
            <v>0</v>
          </cell>
          <cell r="AF15">
            <v>17</v>
          </cell>
          <cell r="AG15">
            <v>0</v>
          </cell>
          <cell r="AI15">
            <v>170</v>
          </cell>
          <cell r="AJ15">
            <v>43</v>
          </cell>
        </row>
        <row r="16">
          <cell r="C16">
            <v>350710009</v>
          </cell>
          <cell r="D16">
            <v>28</v>
          </cell>
          <cell r="E16">
            <v>0</v>
          </cell>
          <cell r="F16">
            <v>0</v>
          </cell>
          <cell r="G16">
            <v>0</v>
          </cell>
          <cell r="H16">
            <v>3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29</v>
          </cell>
          <cell r="O16">
            <v>0</v>
          </cell>
          <cell r="P16">
            <v>0</v>
          </cell>
          <cell r="Q16">
            <v>22</v>
          </cell>
          <cell r="R16">
            <v>0</v>
          </cell>
          <cell r="S16">
            <v>25</v>
          </cell>
          <cell r="T16">
            <v>0</v>
          </cell>
          <cell r="U16">
            <v>14</v>
          </cell>
          <cell r="V16">
            <v>21</v>
          </cell>
          <cell r="W16">
            <v>8</v>
          </cell>
          <cell r="X16">
            <v>0</v>
          </cell>
          <cell r="Y16">
            <v>0</v>
          </cell>
          <cell r="Z16">
            <v>0</v>
          </cell>
          <cell r="AA16">
            <v>6</v>
          </cell>
          <cell r="AB16">
            <v>14</v>
          </cell>
          <cell r="AC16">
            <v>42</v>
          </cell>
          <cell r="AD16">
            <v>20</v>
          </cell>
          <cell r="AE16">
            <v>0</v>
          </cell>
          <cell r="AF16">
            <v>0</v>
          </cell>
          <cell r="AG16">
            <v>23</v>
          </cell>
          <cell r="AI16">
            <v>255</v>
          </cell>
          <cell r="AJ16">
            <v>42</v>
          </cell>
        </row>
        <row r="17">
          <cell r="C17">
            <v>350710010</v>
          </cell>
          <cell r="D17">
            <v>3</v>
          </cell>
          <cell r="E17">
            <v>0</v>
          </cell>
          <cell r="F17">
            <v>0</v>
          </cell>
          <cell r="G17">
            <v>0</v>
          </cell>
          <cell r="H17">
            <v>10</v>
          </cell>
          <cell r="I17">
            <v>3</v>
          </cell>
          <cell r="J17">
            <v>1</v>
          </cell>
          <cell r="K17">
            <v>0</v>
          </cell>
          <cell r="L17">
            <v>0</v>
          </cell>
          <cell r="M17">
            <v>0</v>
          </cell>
          <cell r="N17">
            <v>25</v>
          </cell>
          <cell r="O17">
            <v>0</v>
          </cell>
          <cell r="P17">
            <v>0</v>
          </cell>
          <cell r="Q17">
            <v>24</v>
          </cell>
          <cell r="R17">
            <v>0</v>
          </cell>
          <cell r="S17">
            <v>18</v>
          </cell>
          <cell r="T17">
            <v>0</v>
          </cell>
          <cell r="U17">
            <v>14</v>
          </cell>
          <cell r="V17">
            <v>14</v>
          </cell>
          <cell r="W17">
            <v>7</v>
          </cell>
          <cell r="X17">
            <v>6</v>
          </cell>
          <cell r="Y17">
            <v>0</v>
          </cell>
          <cell r="Z17">
            <v>5</v>
          </cell>
          <cell r="AA17">
            <v>3</v>
          </cell>
          <cell r="AB17">
            <v>0</v>
          </cell>
          <cell r="AC17">
            <v>38</v>
          </cell>
          <cell r="AD17">
            <v>29</v>
          </cell>
          <cell r="AE17">
            <v>2</v>
          </cell>
          <cell r="AF17">
            <v>0</v>
          </cell>
          <cell r="AG17">
            <v>14</v>
          </cell>
          <cell r="AI17">
            <v>216</v>
          </cell>
          <cell r="AJ17">
            <v>38</v>
          </cell>
        </row>
        <row r="18">
          <cell r="C18">
            <v>350710011</v>
          </cell>
          <cell r="D18">
            <v>25</v>
          </cell>
          <cell r="E18">
            <v>15</v>
          </cell>
          <cell r="F18">
            <v>20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5</v>
          </cell>
          <cell r="L18">
            <v>10</v>
          </cell>
          <cell r="M18">
            <v>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30</v>
          </cell>
          <cell r="S18">
            <v>25</v>
          </cell>
          <cell r="T18">
            <v>44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55</v>
          </cell>
          <cell r="AG18">
            <v>0</v>
          </cell>
          <cell r="AI18">
            <v>234</v>
          </cell>
          <cell r="AJ18">
            <v>55</v>
          </cell>
        </row>
        <row r="19">
          <cell r="C19">
            <v>350710012</v>
          </cell>
          <cell r="D19">
            <v>0</v>
          </cell>
          <cell r="E19">
            <v>19</v>
          </cell>
          <cell r="F19">
            <v>0</v>
          </cell>
          <cell r="G19">
            <v>0</v>
          </cell>
          <cell r="H19">
            <v>2</v>
          </cell>
          <cell r="I19">
            <v>29</v>
          </cell>
          <cell r="J19">
            <v>2</v>
          </cell>
          <cell r="K19">
            <v>0</v>
          </cell>
          <cell r="L19">
            <v>0</v>
          </cell>
          <cell r="M19">
            <v>55</v>
          </cell>
          <cell r="N19">
            <v>0</v>
          </cell>
          <cell r="O19">
            <v>2</v>
          </cell>
          <cell r="P19">
            <v>16</v>
          </cell>
          <cell r="Q19">
            <v>0</v>
          </cell>
          <cell r="R19">
            <v>5</v>
          </cell>
          <cell r="S19">
            <v>0</v>
          </cell>
          <cell r="T19">
            <v>25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51</v>
          </cell>
          <cell r="Z19">
            <v>27</v>
          </cell>
          <cell r="AA19">
            <v>0</v>
          </cell>
          <cell r="AB19">
            <v>42</v>
          </cell>
          <cell r="AC19">
            <v>19</v>
          </cell>
          <cell r="AD19">
            <v>0</v>
          </cell>
          <cell r="AE19">
            <v>0</v>
          </cell>
          <cell r="AF19">
            <v>1</v>
          </cell>
          <cell r="AG19">
            <v>21</v>
          </cell>
          <cell r="AI19">
            <v>316</v>
          </cell>
          <cell r="AJ19">
            <v>55</v>
          </cell>
        </row>
        <row r="20">
          <cell r="C20">
            <v>350710013</v>
          </cell>
          <cell r="D20">
            <v>22</v>
          </cell>
          <cell r="E20">
            <v>0</v>
          </cell>
          <cell r="F20">
            <v>4</v>
          </cell>
          <cell r="G20">
            <v>0</v>
          </cell>
          <cell r="H20">
            <v>2</v>
          </cell>
          <cell r="I20">
            <v>10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5</v>
          </cell>
          <cell r="Q20">
            <v>2</v>
          </cell>
          <cell r="R20">
            <v>0</v>
          </cell>
          <cell r="S20">
            <v>19</v>
          </cell>
          <cell r="T20">
            <v>0</v>
          </cell>
          <cell r="U20">
            <v>0</v>
          </cell>
          <cell r="V20">
            <v>21</v>
          </cell>
          <cell r="W20">
            <v>0</v>
          </cell>
          <cell r="X20">
            <v>6</v>
          </cell>
          <cell r="Y20">
            <v>0</v>
          </cell>
          <cell r="Z20">
            <v>0</v>
          </cell>
          <cell r="AA20">
            <v>0</v>
          </cell>
          <cell r="AB20">
            <v>9</v>
          </cell>
          <cell r="AC20">
            <v>0</v>
          </cell>
          <cell r="AD20">
            <v>28</v>
          </cell>
          <cell r="AE20">
            <v>0</v>
          </cell>
          <cell r="AF20">
            <v>0</v>
          </cell>
          <cell r="AG20">
            <v>0</v>
          </cell>
          <cell r="AI20">
            <v>128</v>
          </cell>
          <cell r="AJ20">
            <v>28</v>
          </cell>
        </row>
        <row r="21">
          <cell r="C21">
            <v>350710014</v>
          </cell>
          <cell r="D21">
            <v>52</v>
          </cell>
          <cell r="E21">
            <v>0</v>
          </cell>
          <cell r="F21">
            <v>0</v>
          </cell>
          <cell r="G21">
            <v>19</v>
          </cell>
          <cell r="H21">
            <v>7</v>
          </cell>
          <cell r="I21">
            <v>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16</v>
          </cell>
          <cell r="O21">
            <v>0</v>
          </cell>
          <cell r="P21">
            <v>3</v>
          </cell>
          <cell r="Q21">
            <v>0</v>
          </cell>
          <cell r="R21">
            <v>1</v>
          </cell>
          <cell r="S21">
            <v>7</v>
          </cell>
          <cell r="T21">
            <v>0</v>
          </cell>
          <cell r="U21">
            <v>6</v>
          </cell>
          <cell r="V21">
            <v>2</v>
          </cell>
          <cell r="W21">
            <v>22</v>
          </cell>
          <cell r="X21">
            <v>0</v>
          </cell>
          <cell r="Y21">
            <v>0</v>
          </cell>
          <cell r="Z21">
            <v>15</v>
          </cell>
          <cell r="AA21">
            <v>31</v>
          </cell>
          <cell r="AB21">
            <v>12</v>
          </cell>
          <cell r="AC21">
            <v>47</v>
          </cell>
          <cell r="AD21">
            <v>31</v>
          </cell>
          <cell r="AE21">
            <v>4</v>
          </cell>
          <cell r="AF21">
            <v>0</v>
          </cell>
          <cell r="AG21">
            <v>18</v>
          </cell>
          <cell r="AI21">
            <v>294</v>
          </cell>
          <cell r="AJ21">
            <v>52</v>
          </cell>
        </row>
        <row r="22">
          <cell r="C22">
            <v>350710015</v>
          </cell>
          <cell r="D22">
            <v>13</v>
          </cell>
          <cell r="E22">
            <v>0</v>
          </cell>
          <cell r="F22">
            <v>3</v>
          </cell>
          <cell r="G22">
            <v>0</v>
          </cell>
          <cell r="H22">
            <v>5</v>
          </cell>
          <cell r="I22">
            <v>3</v>
          </cell>
          <cell r="J22">
            <v>0</v>
          </cell>
          <cell r="K22">
            <v>0</v>
          </cell>
          <cell r="L22">
            <v>0</v>
          </cell>
          <cell r="M22">
            <v>22</v>
          </cell>
          <cell r="N22">
            <v>0</v>
          </cell>
          <cell r="O22">
            <v>24</v>
          </cell>
          <cell r="P22">
            <v>5</v>
          </cell>
          <cell r="Q22">
            <v>7</v>
          </cell>
          <cell r="R22">
            <v>14</v>
          </cell>
          <cell r="S22">
            <v>0</v>
          </cell>
          <cell r="T22">
            <v>15</v>
          </cell>
          <cell r="U22">
            <v>0</v>
          </cell>
          <cell r="V22">
            <v>4</v>
          </cell>
          <cell r="W22">
            <v>0</v>
          </cell>
          <cell r="X22">
            <v>0</v>
          </cell>
          <cell r="Y22">
            <v>8</v>
          </cell>
          <cell r="Z22">
            <v>5</v>
          </cell>
          <cell r="AA22">
            <v>7</v>
          </cell>
          <cell r="AB22">
            <v>21</v>
          </cell>
          <cell r="AC22">
            <v>16</v>
          </cell>
          <cell r="AD22">
            <v>9</v>
          </cell>
          <cell r="AE22">
            <v>0</v>
          </cell>
          <cell r="AF22">
            <v>0</v>
          </cell>
          <cell r="AG22">
            <v>4</v>
          </cell>
          <cell r="AI22">
            <v>185</v>
          </cell>
          <cell r="AJ22">
            <v>24</v>
          </cell>
        </row>
        <row r="23">
          <cell r="C23">
            <v>350710016</v>
          </cell>
          <cell r="D23">
            <v>52</v>
          </cell>
          <cell r="E23">
            <v>0</v>
          </cell>
          <cell r="F23">
            <v>1</v>
          </cell>
          <cell r="G23">
            <v>0</v>
          </cell>
          <cell r="H23">
            <v>0</v>
          </cell>
          <cell r="I23">
            <v>0</v>
          </cell>
          <cell r="J23">
            <v>6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7</v>
          </cell>
          <cell r="R23">
            <v>0</v>
          </cell>
          <cell r="S23">
            <v>10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2</v>
          </cell>
          <cell r="AB23">
            <v>0</v>
          </cell>
          <cell r="AC23">
            <v>0</v>
          </cell>
          <cell r="AD23">
            <v>15</v>
          </cell>
          <cell r="AE23">
            <v>4</v>
          </cell>
          <cell r="AF23">
            <v>0</v>
          </cell>
          <cell r="AG23">
            <v>39</v>
          </cell>
          <cell r="AI23">
            <v>136</v>
          </cell>
          <cell r="AJ23">
            <v>52</v>
          </cell>
        </row>
        <row r="24">
          <cell r="C24">
            <v>350710017</v>
          </cell>
          <cell r="D24">
            <v>40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9</v>
          </cell>
          <cell r="J24">
            <v>0</v>
          </cell>
          <cell r="K24">
            <v>0</v>
          </cell>
          <cell r="L24">
            <v>3</v>
          </cell>
          <cell r="M24">
            <v>37</v>
          </cell>
          <cell r="N24">
            <v>63</v>
          </cell>
          <cell r="O24">
            <v>0</v>
          </cell>
          <cell r="P24">
            <v>28</v>
          </cell>
          <cell r="Q24">
            <v>37</v>
          </cell>
          <cell r="R24">
            <v>4</v>
          </cell>
          <cell r="S24">
            <v>0</v>
          </cell>
          <cell r="T24">
            <v>0</v>
          </cell>
          <cell r="U24">
            <v>13</v>
          </cell>
          <cell r="V24">
            <v>22</v>
          </cell>
          <cell r="W24">
            <v>8</v>
          </cell>
          <cell r="X24">
            <v>4</v>
          </cell>
          <cell r="Y24">
            <v>0</v>
          </cell>
          <cell r="Z24">
            <v>17</v>
          </cell>
          <cell r="AA24">
            <v>49</v>
          </cell>
          <cell r="AB24">
            <v>35</v>
          </cell>
          <cell r="AC24">
            <v>19</v>
          </cell>
          <cell r="AD24">
            <v>11</v>
          </cell>
          <cell r="AE24">
            <v>22</v>
          </cell>
          <cell r="AF24">
            <v>17</v>
          </cell>
          <cell r="AG24">
            <v>8</v>
          </cell>
          <cell r="AI24">
            <v>446</v>
          </cell>
          <cell r="AJ24">
            <v>63</v>
          </cell>
        </row>
        <row r="25">
          <cell r="C25">
            <v>350710018</v>
          </cell>
          <cell r="D25">
            <v>30</v>
          </cell>
          <cell r="E25">
            <v>0</v>
          </cell>
          <cell r="F25">
            <v>0</v>
          </cell>
          <cell r="G25">
            <v>6</v>
          </cell>
          <cell r="H25">
            <v>0</v>
          </cell>
          <cell r="I25">
            <v>0</v>
          </cell>
          <cell r="J25">
            <v>52</v>
          </cell>
          <cell r="K25">
            <v>0</v>
          </cell>
          <cell r="L25">
            <v>0</v>
          </cell>
          <cell r="M25">
            <v>0</v>
          </cell>
          <cell r="N25">
            <v>11</v>
          </cell>
          <cell r="O25">
            <v>40</v>
          </cell>
          <cell r="P25">
            <v>15</v>
          </cell>
          <cell r="Q25">
            <v>0</v>
          </cell>
          <cell r="R25">
            <v>0</v>
          </cell>
          <cell r="S25">
            <v>20</v>
          </cell>
          <cell r="T25">
            <v>0</v>
          </cell>
          <cell r="U25">
            <v>30</v>
          </cell>
          <cell r="V25">
            <v>55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16</v>
          </cell>
          <cell r="AB25">
            <v>0</v>
          </cell>
          <cell r="AC25">
            <v>0</v>
          </cell>
          <cell r="AD25">
            <v>0</v>
          </cell>
          <cell r="AE25">
            <v>60</v>
          </cell>
          <cell r="AF25">
            <v>0</v>
          </cell>
          <cell r="AG25">
            <v>0</v>
          </cell>
          <cell r="AI25">
            <v>335</v>
          </cell>
          <cell r="AJ25">
            <v>60</v>
          </cell>
        </row>
        <row r="26">
          <cell r="C26">
            <v>350710019</v>
          </cell>
          <cell r="D26">
            <v>45</v>
          </cell>
          <cell r="E26">
            <v>0</v>
          </cell>
          <cell r="F26">
            <v>11</v>
          </cell>
          <cell r="G26">
            <v>19</v>
          </cell>
          <cell r="H26">
            <v>27</v>
          </cell>
          <cell r="I26">
            <v>21</v>
          </cell>
          <cell r="J26">
            <v>0</v>
          </cell>
          <cell r="K26">
            <v>0</v>
          </cell>
          <cell r="L26">
            <v>0</v>
          </cell>
          <cell r="M26">
            <v>38</v>
          </cell>
          <cell r="N26">
            <v>0</v>
          </cell>
          <cell r="O26">
            <v>21</v>
          </cell>
          <cell r="P26">
            <v>17</v>
          </cell>
          <cell r="Q26">
            <v>19</v>
          </cell>
          <cell r="R26">
            <v>37</v>
          </cell>
          <cell r="S26">
            <v>31</v>
          </cell>
          <cell r="T26">
            <v>47</v>
          </cell>
          <cell r="U26">
            <v>32</v>
          </cell>
          <cell r="V26">
            <v>51</v>
          </cell>
          <cell r="W26">
            <v>46</v>
          </cell>
          <cell r="X26">
            <v>24</v>
          </cell>
          <cell r="Y26">
            <v>31</v>
          </cell>
          <cell r="Z26">
            <v>47</v>
          </cell>
          <cell r="AA26">
            <v>61</v>
          </cell>
          <cell r="AB26">
            <v>26</v>
          </cell>
          <cell r="AC26">
            <v>43</v>
          </cell>
          <cell r="AD26">
            <v>21</v>
          </cell>
          <cell r="AE26">
            <v>0</v>
          </cell>
          <cell r="AF26">
            <v>0</v>
          </cell>
          <cell r="AG26">
            <v>33</v>
          </cell>
          <cell r="AI26">
            <v>748</v>
          </cell>
          <cell r="AJ26">
            <v>61</v>
          </cell>
        </row>
        <row r="27">
          <cell r="C27">
            <v>350710020</v>
          </cell>
          <cell r="D27">
            <v>25</v>
          </cell>
          <cell r="E27">
            <v>0</v>
          </cell>
          <cell r="F27">
            <v>0</v>
          </cell>
          <cell r="G27">
            <v>0</v>
          </cell>
          <cell r="H27">
            <v>3</v>
          </cell>
          <cell r="I27">
            <v>39</v>
          </cell>
          <cell r="J27">
            <v>6</v>
          </cell>
          <cell r="K27">
            <v>0</v>
          </cell>
          <cell r="L27">
            <v>0</v>
          </cell>
          <cell r="M27">
            <v>0</v>
          </cell>
          <cell r="N27">
            <v>100</v>
          </cell>
          <cell r="O27">
            <v>0</v>
          </cell>
          <cell r="P27">
            <v>0</v>
          </cell>
          <cell r="Q27">
            <v>8</v>
          </cell>
          <cell r="R27">
            <v>3</v>
          </cell>
          <cell r="S27">
            <v>6</v>
          </cell>
          <cell r="T27">
            <v>0</v>
          </cell>
          <cell r="U27">
            <v>22</v>
          </cell>
          <cell r="V27">
            <v>15</v>
          </cell>
          <cell r="W27">
            <v>9</v>
          </cell>
          <cell r="X27">
            <v>2</v>
          </cell>
          <cell r="Y27">
            <v>0</v>
          </cell>
          <cell r="Z27">
            <v>32</v>
          </cell>
          <cell r="AA27">
            <v>14</v>
          </cell>
          <cell r="AB27">
            <v>20</v>
          </cell>
          <cell r="AC27">
            <v>51</v>
          </cell>
          <cell r="AD27">
            <v>11</v>
          </cell>
          <cell r="AE27">
            <v>1</v>
          </cell>
          <cell r="AF27">
            <v>0</v>
          </cell>
          <cell r="AG27">
            <v>1</v>
          </cell>
          <cell r="AI27">
            <v>368</v>
          </cell>
          <cell r="AJ27">
            <v>100</v>
          </cell>
        </row>
        <row r="28">
          <cell r="C28">
            <v>350710021</v>
          </cell>
          <cell r="D28">
            <v>31</v>
          </cell>
          <cell r="E28">
            <v>0</v>
          </cell>
          <cell r="F28">
            <v>0</v>
          </cell>
          <cell r="G28">
            <v>0</v>
          </cell>
          <cell r="H28">
            <v>9</v>
          </cell>
          <cell r="I28">
            <v>5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7</v>
          </cell>
          <cell r="O28">
            <v>0</v>
          </cell>
          <cell r="P28">
            <v>6</v>
          </cell>
          <cell r="Q28">
            <v>8</v>
          </cell>
          <cell r="R28">
            <v>0</v>
          </cell>
          <cell r="S28">
            <v>10</v>
          </cell>
          <cell r="T28">
            <v>6</v>
          </cell>
          <cell r="U28">
            <v>0</v>
          </cell>
          <cell r="V28">
            <v>24</v>
          </cell>
          <cell r="W28">
            <v>7</v>
          </cell>
          <cell r="X28">
            <v>0</v>
          </cell>
          <cell r="Y28">
            <v>0</v>
          </cell>
          <cell r="Z28">
            <v>0</v>
          </cell>
          <cell r="AA28">
            <v>11</v>
          </cell>
          <cell r="AB28">
            <v>20</v>
          </cell>
          <cell r="AC28">
            <v>25</v>
          </cell>
          <cell r="AD28">
            <v>16</v>
          </cell>
          <cell r="AE28">
            <v>0</v>
          </cell>
          <cell r="AF28">
            <v>0</v>
          </cell>
          <cell r="AG28">
            <v>0</v>
          </cell>
          <cell r="AI28">
            <v>185</v>
          </cell>
          <cell r="AJ28">
            <v>31</v>
          </cell>
        </row>
        <row r="29">
          <cell r="C29">
            <v>350710022</v>
          </cell>
          <cell r="D29">
            <v>64</v>
          </cell>
          <cell r="E29">
            <v>2</v>
          </cell>
          <cell r="F29">
            <v>1</v>
          </cell>
          <cell r="G29">
            <v>0</v>
          </cell>
          <cell r="H29">
            <v>21</v>
          </cell>
          <cell r="I29">
            <v>18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4</v>
          </cell>
          <cell r="O29">
            <v>1</v>
          </cell>
          <cell r="P29">
            <v>0</v>
          </cell>
          <cell r="Q29">
            <v>5</v>
          </cell>
          <cell r="R29">
            <v>12</v>
          </cell>
          <cell r="S29">
            <v>13</v>
          </cell>
          <cell r="T29" t="str">
            <v>0,00</v>
          </cell>
          <cell r="U29">
            <v>9</v>
          </cell>
          <cell r="V29">
            <v>2</v>
          </cell>
          <cell r="W29">
            <v>6</v>
          </cell>
          <cell r="X29" t="str">
            <v>0,1</v>
          </cell>
          <cell r="Y29">
            <v>0</v>
          </cell>
          <cell r="Z29">
            <v>1</v>
          </cell>
          <cell r="AA29">
            <v>0</v>
          </cell>
          <cell r="AB29">
            <v>70</v>
          </cell>
          <cell r="AC29" t="str">
            <v>0,3</v>
          </cell>
          <cell r="AD29">
            <v>37</v>
          </cell>
          <cell r="AE29">
            <v>0.1</v>
          </cell>
          <cell r="AF29">
            <v>0</v>
          </cell>
          <cell r="AG29">
            <v>0</v>
          </cell>
          <cell r="AI29">
            <v>266.10000000000002</v>
          </cell>
          <cell r="AJ29">
            <v>70</v>
          </cell>
        </row>
        <row r="30">
          <cell r="C30">
            <v>350710024</v>
          </cell>
          <cell r="D30">
            <v>54</v>
          </cell>
          <cell r="E30">
            <v>0</v>
          </cell>
          <cell r="F30">
            <v>0</v>
          </cell>
          <cell r="G30">
            <v>0</v>
          </cell>
          <cell r="H30">
            <v>7</v>
          </cell>
          <cell r="I30">
            <v>22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17</v>
          </cell>
          <cell r="T30">
            <v>30</v>
          </cell>
          <cell r="U30">
            <v>52</v>
          </cell>
          <cell r="V30">
            <v>15</v>
          </cell>
          <cell r="W30">
            <v>7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6</v>
          </cell>
          <cell r="AC30">
            <v>33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I30">
            <v>243</v>
          </cell>
          <cell r="AJ30">
            <v>54</v>
          </cell>
        </row>
        <row r="31">
          <cell r="C31">
            <v>350710025</v>
          </cell>
          <cell r="D31">
            <v>17</v>
          </cell>
          <cell r="E31">
            <v>0</v>
          </cell>
          <cell r="F31">
            <v>4</v>
          </cell>
          <cell r="G31">
            <v>1</v>
          </cell>
          <cell r="H31">
            <v>9</v>
          </cell>
          <cell r="I31">
            <v>11</v>
          </cell>
          <cell r="J31">
            <v>0</v>
          </cell>
          <cell r="K31">
            <v>0</v>
          </cell>
          <cell r="L31">
            <v>4</v>
          </cell>
          <cell r="M31">
            <v>0</v>
          </cell>
          <cell r="N31">
            <v>1</v>
          </cell>
          <cell r="O31">
            <v>3</v>
          </cell>
          <cell r="P31">
            <v>1</v>
          </cell>
          <cell r="Q31">
            <v>5</v>
          </cell>
          <cell r="R31">
            <v>6</v>
          </cell>
          <cell r="S31">
            <v>3</v>
          </cell>
          <cell r="T31">
            <v>2</v>
          </cell>
          <cell r="U31">
            <v>1</v>
          </cell>
          <cell r="V31">
            <v>3</v>
          </cell>
          <cell r="W31">
            <v>2</v>
          </cell>
          <cell r="X31">
            <v>4</v>
          </cell>
          <cell r="Y31">
            <v>1</v>
          </cell>
          <cell r="Z31">
            <v>0</v>
          </cell>
          <cell r="AA31">
            <v>1</v>
          </cell>
          <cell r="AB31">
            <v>3</v>
          </cell>
          <cell r="AC31">
            <v>2</v>
          </cell>
          <cell r="AD31">
            <v>14</v>
          </cell>
          <cell r="AE31">
            <v>2</v>
          </cell>
          <cell r="AF31">
            <v>0</v>
          </cell>
          <cell r="AG31">
            <v>0</v>
          </cell>
          <cell r="AI31">
            <v>100</v>
          </cell>
          <cell r="AJ31">
            <v>17</v>
          </cell>
        </row>
        <row r="32">
          <cell r="C32">
            <v>350710026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7</v>
          </cell>
          <cell r="J32">
            <v>22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6</v>
          </cell>
          <cell r="P32">
            <v>5</v>
          </cell>
          <cell r="Q32">
            <v>0</v>
          </cell>
          <cell r="R32">
            <v>12</v>
          </cell>
          <cell r="S32">
            <v>7</v>
          </cell>
          <cell r="T32">
            <v>6</v>
          </cell>
          <cell r="U32">
            <v>0</v>
          </cell>
          <cell r="V32">
            <v>4</v>
          </cell>
          <cell r="W32">
            <v>0</v>
          </cell>
          <cell r="X32">
            <v>0</v>
          </cell>
          <cell r="Y32">
            <v>0</v>
          </cell>
          <cell r="Z32">
            <v>4</v>
          </cell>
          <cell r="AA32">
            <v>7</v>
          </cell>
          <cell r="AB32">
            <v>12</v>
          </cell>
          <cell r="AC32">
            <v>6</v>
          </cell>
          <cell r="AD32">
            <v>51</v>
          </cell>
          <cell r="AE32">
            <v>36</v>
          </cell>
          <cell r="AF32">
            <v>0</v>
          </cell>
          <cell r="AG32">
            <v>35</v>
          </cell>
          <cell r="AI32">
            <v>220</v>
          </cell>
          <cell r="AJ32">
            <v>51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13</v>
          </cell>
          <cell r="I33">
            <v>0</v>
          </cell>
          <cell r="J33">
            <v>3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28</v>
          </cell>
          <cell r="S33">
            <v>2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I33">
            <v>46</v>
          </cell>
          <cell r="AJ33">
            <v>28</v>
          </cell>
        </row>
        <row r="34">
          <cell r="C34">
            <v>350710028</v>
          </cell>
          <cell r="D34">
            <v>18</v>
          </cell>
          <cell r="E34">
            <v>0</v>
          </cell>
          <cell r="F34">
            <v>0</v>
          </cell>
          <cell r="G34">
            <v>11</v>
          </cell>
          <cell r="H34">
            <v>34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11</v>
          </cell>
          <cell r="N34">
            <v>0</v>
          </cell>
          <cell r="O34">
            <v>16</v>
          </cell>
          <cell r="P34">
            <v>3</v>
          </cell>
          <cell r="Q34">
            <v>1</v>
          </cell>
          <cell r="R34">
            <v>0</v>
          </cell>
          <cell r="S34">
            <v>56</v>
          </cell>
          <cell r="T34">
            <v>12</v>
          </cell>
          <cell r="U34">
            <v>0</v>
          </cell>
          <cell r="V34">
            <v>21</v>
          </cell>
          <cell r="W34">
            <v>5</v>
          </cell>
          <cell r="X34">
            <v>0</v>
          </cell>
          <cell r="Y34">
            <v>0</v>
          </cell>
          <cell r="Z34">
            <v>27</v>
          </cell>
          <cell r="AA34">
            <v>44</v>
          </cell>
          <cell r="AB34">
            <v>34</v>
          </cell>
          <cell r="AC34">
            <v>24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I34">
            <v>317</v>
          </cell>
          <cell r="AJ34">
            <v>56</v>
          </cell>
        </row>
        <row r="35">
          <cell r="C35">
            <v>350710029</v>
          </cell>
          <cell r="D35">
            <v>62</v>
          </cell>
          <cell r="E35">
            <v>0</v>
          </cell>
          <cell r="F35">
            <v>0</v>
          </cell>
          <cell r="G35">
            <v>0</v>
          </cell>
          <cell r="H35">
            <v>8</v>
          </cell>
          <cell r="I35">
            <v>0</v>
          </cell>
          <cell r="J35">
            <v>0</v>
          </cell>
          <cell r="K35">
            <v>11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22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5</v>
          </cell>
          <cell r="AD35">
            <v>2</v>
          </cell>
          <cell r="AE35">
            <v>0</v>
          </cell>
          <cell r="AF35">
            <v>0</v>
          </cell>
          <cell r="AG35">
            <v>0</v>
          </cell>
          <cell r="AI35">
            <v>110</v>
          </cell>
          <cell r="AJ35">
            <v>62</v>
          </cell>
        </row>
        <row r="36">
          <cell r="C36">
            <v>350710030</v>
          </cell>
          <cell r="D36">
            <v>8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7</v>
          </cell>
          <cell r="J36">
            <v>0</v>
          </cell>
          <cell r="K36">
            <v>0</v>
          </cell>
          <cell r="L36">
            <v>7</v>
          </cell>
          <cell r="M36">
            <v>0</v>
          </cell>
          <cell r="N36">
            <v>2</v>
          </cell>
          <cell r="O36">
            <v>0</v>
          </cell>
          <cell r="P36">
            <v>4</v>
          </cell>
          <cell r="Q36">
            <v>1</v>
          </cell>
          <cell r="R36">
            <v>33</v>
          </cell>
          <cell r="S36">
            <v>3</v>
          </cell>
          <cell r="T36">
            <v>5</v>
          </cell>
          <cell r="U36" t="str">
            <v>0,2</v>
          </cell>
          <cell r="V36">
            <v>0</v>
          </cell>
          <cell r="W36">
            <v>2</v>
          </cell>
          <cell r="X36">
            <v>2</v>
          </cell>
          <cell r="Y36">
            <v>0</v>
          </cell>
          <cell r="Z36">
            <v>0</v>
          </cell>
          <cell r="AA36" t="str">
            <v>0,4</v>
          </cell>
          <cell r="AB36">
            <v>2</v>
          </cell>
          <cell r="AC36">
            <v>4</v>
          </cell>
          <cell r="AD36">
            <v>8</v>
          </cell>
          <cell r="AE36">
            <v>0</v>
          </cell>
          <cell r="AF36">
            <v>0</v>
          </cell>
          <cell r="AG36">
            <v>0</v>
          </cell>
          <cell r="AI36">
            <v>90</v>
          </cell>
          <cell r="AJ36">
            <v>33</v>
          </cell>
        </row>
        <row r="37">
          <cell r="C37">
            <v>350710031</v>
          </cell>
          <cell r="D37">
            <v>31</v>
          </cell>
          <cell r="E37">
            <v>0</v>
          </cell>
          <cell r="F37">
            <v>0</v>
          </cell>
          <cell r="G37">
            <v>0</v>
          </cell>
          <cell r="H37">
            <v>47</v>
          </cell>
          <cell r="I37">
            <v>23</v>
          </cell>
          <cell r="J37">
            <v>0</v>
          </cell>
          <cell r="K37">
            <v>0</v>
          </cell>
          <cell r="L37">
            <v>0</v>
          </cell>
          <cell r="M37">
            <v>12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9</v>
          </cell>
          <cell r="T37">
            <v>0</v>
          </cell>
          <cell r="U37">
            <v>27</v>
          </cell>
          <cell r="V37">
            <v>0</v>
          </cell>
          <cell r="W37">
            <v>14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12</v>
          </cell>
          <cell r="AC37">
            <v>23</v>
          </cell>
          <cell r="AD37">
            <v>15</v>
          </cell>
          <cell r="AE37">
            <v>0</v>
          </cell>
          <cell r="AF37">
            <v>0</v>
          </cell>
          <cell r="AG37">
            <v>0</v>
          </cell>
          <cell r="AI37">
            <v>213</v>
          </cell>
          <cell r="AJ37">
            <v>47</v>
          </cell>
        </row>
        <row r="38">
          <cell r="C38">
            <v>350710032</v>
          </cell>
          <cell r="D38">
            <v>15</v>
          </cell>
          <cell r="E38">
            <v>0</v>
          </cell>
          <cell r="F38">
            <v>0</v>
          </cell>
          <cell r="G38">
            <v>0</v>
          </cell>
          <cell r="H38">
            <v>15</v>
          </cell>
          <cell r="I38">
            <v>0</v>
          </cell>
          <cell r="J38">
            <v>0</v>
          </cell>
          <cell r="K38">
            <v>8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10</v>
          </cell>
          <cell r="T38">
            <v>0</v>
          </cell>
          <cell r="U38">
            <v>11</v>
          </cell>
          <cell r="V38">
            <v>15</v>
          </cell>
          <cell r="W38">
            <v>12</v>
          </cell>
          <cell r="X38">
            <v>0.2</v>
          </cell>
          <cell r="Y38">
            <v>15</v>
          </cell>
          <cell r="Z38">
            <v>8</v>
          </cell>
          <cell r="AA38">
            <v>0</v>
          </cell>
          <cell r="AB38">
            <v>3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I38">
            <v>112.2</v>
          </cell>
          <cell r="AJ38">
            <v>15</v>
          </cell>
        </row>
        <row r="39">
          <cell r="C39">
            <v>350710033</v>
          </cell>
          <cell r="D39">
            <v>163</v>
          </cell>
          <cell r="E39">
            <v>0</v>
          </cell>
          <cell r="F39">
            <v>0</v>
          </cell>
          <cell r="G39">
            <v>1</v>
          </cell>
          <cell r="H39">
            <v>7</v>
          </cell>
          <cell r="I39">
            <v>0</v>
          </cell>
          <cell r="J39">
            <v>35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9</v>
          </cell>
          <cell r="R39">
            <v>0</v>
          </cell>
          <cell r="S39">
            <v>3</v>
          </cell>
          <cell r="T39">
            <v>2</v>
          </cell>
          <cell r="U39">
            <v>0</v>
          </cell>
          <cell r="V39">
            <v>0</v>
          </cell>
          <cell r="W39">
            <v>7</v>
          </cell>
          <cell r="X39">
            <v>0</v>
          </cell>
          <cell r="Y39">
            <v>0</v>
          </cell>
          <cell r="Z39">
            <v>0</v>
          </cell>
          <cell r="AA39">
            <v>4</v>
          </cell>
          <cell r="AB39">
            <v>0</v>
          </cell>
          <cell r="AC39">
            <v>4</v>
          </cell>
          <cell r="AD39">
            <v>39</v>
          </cell>
          <cell r="AE39">
            <v>7</v>
          </cell>
          <cell r="AF39">
            <v>0</v>
          </cell>
          <cell r="AG39">
            <v>28</v>
          </cell>
          <cell r="AI39">
            <v>309</v>
          </cell>
          <cell r="AJ39">
            <v>163</v>
          </cell>
        </row>
        <row r="40">
          <cell r="C40">
            <v>350710034</v>
          </cell>
          <cell r="D40">
            <v>48</v>
          </cell>
          <cell r="E40">
            <v>1</v>
          </cell>
          <cell r="F40">
            <v>1</v>
          </cell>
          <cell r="G40">
            <v>0</v>
          </cell>
          <cell r="H40">
            <v>2</v>
          </cell>
          <cell r="I40">
            <v>0</v>
          </cell>
          <cell r="J40">
            <v>0</v>
          </cell>
          <cell r="K40">
            <v>1</v>
          </cell>
          <cell r="L40">
            <v>0</v>
          </cell>
          <cell r="M40">
            <v>0</v>
          </cell>
          <cell r="N40">
            <v>6</v>
          </cell>
          <cell r="O40">
            <v>0</v>
          </cell>
          <cell r="P40">
            <v>2</v>
          </cell>
          <cell r="Q40">
            <v>0</v>
          </cell>
          <cell r="R40">
            <v>0</v>
          </cell>
          <cell r="S40">
            <v>45</v>
          </cell>
          <cell r="T40">
            <v>2</v>
          </cell>
          <cell r="U40">
            <v>1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8</v>
          </cell>
          <cell r="AD40">
            <v>2</v>
          </cell>
          <cell r="AE40">
            <v>3</v>
          </cell>
          <cell r="AF40">
            <v>0</v>
          </cell>
          <cell r="AG40">
            <v>1</v>
          </cell>
          <cell r="AI40">
            <v>123</v>
          </cell>
          <cell r="AJ40">
            <v>48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4</v>
          </cell>
          <cell r="G41">
            <v>0</v>
          </cell>
          <cell r="H41">
            <v>0</v>
          </cell>
          <cell r="I41">
            <v>28</v>
          </cell>
          <cell r="J41">
            <v>0</v>
          </cell>
          <cell r="K41">
            <v>10</v>
          </cell>
          <cell r="L41">
            <v>0</v>
          </cell>
          <cell r="M41">
            <v>0</v>
          </cell>
          <cell r="N41">
            <v>0</v>
          </cell>
          <cell r="O41">
            <v>5</v>
          </cell>
          <cell r="P41">
            <v>0</v>
          </cell>
          <cell r="Q41">
            <v>0</v>
          </cell>
          <cell r="R41">
            <v>0</v>
          </cell>
          <cell r="S41">
            <v>24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I41">
            <v>71</v>
          </cell>
          <cell r="AJ41">
            <v>28</v>
          </cell>
        </row>
        <row r="42">
          <cell r="C42">
            <v>350710036</v>
          </cell>
          <cell r="D42">
            <v>25</v>
          </cell>
          <cell r="E42">
            <v>0</v>
          </cell>
          <cell r="F42">
            <v>0</v>
          </cell>
          <cell r="G42">
            <v>0</v>
          </cell>
          <cell r="H42">
            <v>27</v>
          </cell>
          <cell r="I42">
            <v>23</v>
          </cell>
          <cell r="J42">
            <v>25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37</v>
          </cell>
          <cell r="Q42">
            <v>2</v>
          </cell>
          <cell r="R42">
            <v>5</v>
          </cell>
          <cell r="S42">
            <v>9</v>
          </cell>
          <cell r="T42">
            <v>0</v>
          </cell>
          <cell r="U42">
            <v>0</v>
          </cell>
          <cell r="V42">
            <v>11</v>
          </cell>
          <cell r="W42">
            <v>94</v>
          </cell>
          <cell r="X42">
            <v>0</v>
          </cell>
          <cell r="Y42">
            <v>0</v>
          </cell>
          <cell r="Z42">
            <v>9</v>
          </cell>
          <cell r="AA42">
            <v>21</v>
          </cell>
          <cell r="AB42">
            <v>2</v>
          </cell>
          <cell r="AC42">
            <v>19</v>
          </cell>
          <cell r="AD42">
            <v>102</v>
          </cell>
          <cell r="AE42">
            <v>2</v>
          </cell>
          <cell r="AF42">
            <v>5</v>
          </cell>
          <cell r="AG42">
            <v>7</v>
          </cell>
          <cell r="AI42">
            <v>425</v>
          </cell>
          <cell r="AJ42">
            <v>102</v>
          </cell>
        </row>
        <row r="43">
          <cell r="C43">
            <v>350710037</v>
          </cell>
          <cell r="D43">
            <v>31</v>
          </cell>
          <cell r="E43">
            <v>4</v>
          </cell>
          <cell r="F43">
            <v>0</v>
          </cell>
          <cell r="G43">
            <v>0</v>
          </cell>
          <cell r="H43">
            <v>0</v>
          </cell>
          <cell r="I43">
            <v>19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11</v>
          </cell>
          <cell r="O43">
            <v>0</v>
          </cell>
          <cell r="P43">
            <v>1</v>
          </cell>
          <cell r="Q43">
            <v>2</v>
          </cell>
          <cell r="R43">
            <v>0</v>
          </cell>
          <cell r="S43">
            <v>1</v>
          </cell>
          <cell r="T43">
            <v>0</v>
          </cell>
          <cell r="U43">
            <v>1</v>
          </cell>
          <cell r="V43">
            <v>0</v>
          </cell>
          <cell r="W43">
            <v>8</v>
          </cell>
          <cell r="X43">
            <v>0</v>
          </cell>
          <cell r="Y43">
            <v>0</v>
          </cell>
          <cell r="Z43">
            <v>28</v>
          </cell>
          <cell r="AA43">
            <v>0</v>
          </cell>
          <cell r="AB43">
            <v>0</v>
          </cell>
          <cell r="AC43">
            <v>43</v>
          </cell>
          <cell r="AD43">
            <v>5</v>
          </cell>
          <cell r="AE43">
            <v>0</v>
          </cell>
          <cell r="AF43">
            <v>5</v>
          </cell>
          <cell r="AG43">
            <v>4</v>
          </cell>
          <cell r="AI43">
            <v>163</v>
          </cell>
          <cell r="AJ43">
            <v>43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0</v>
          </cell>
          <cell r="G44">
            <v>33</v>
          </cell>
          <cell r="H44">
            <v>23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7</v>
          </cell>
          <cell r="T44">
            <v>0</v>
          </cell>
          <cell r="U44">
            <v>22</v>
          </cell>
          <cell r="V44">
            <v>0</v>
          </cell>
          <cell r="W44">
            <v>13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15</v>
          </cell>
          <cell r="AC44">
            <v>27</v>
          </cell>
          <cell r="AD44">
            <v>23</v>
          </cell>
          <cell r="AE44">
            <v>0</v>
          </cell>
          <cell r="AF44">
            <v>0</v>
          </cell>
          <cell r="AG44">
            <v>14</v>
          </cell>
          <cell r="AI44">
            <v>191</v>
          </cell>
          <cell r="AJ44">
            <v>33</v>
          </cell>
        </row>
        <row r="45">
          <cell r="C45">
            <v>350710039</v>
          </cell>
          <cell r="D45">
            <v>57</v>
          </cell>
          <cell r="E45">
            <v>0</v>
          </cell>
          <cell r="F45">
            <v>0</v>
          </cell>
          <cell r="G45">
            <v>0</v>
          </cell>
          <cell r="H45">
            <v>2</v>
          </cell>
          <cell r="I45">
            <v>0</v>
          </cell>
          <cell r="J45">
            <v>7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10</v>
          </cell>
          <cell r="R45">
            <v>0</v>
          </cell>
          <cell r="S45">
            <v>11</v>
          </cell>
          <cell r="T45">
            <v>5</v>
          </cell>
          <cell r="U45">
            <v>0</v>
          </cell>
          <cell r="V45">
            <v>4</v>
          </cell>
          <cell r="W45">
            <v>15</v>
          </cell>
          <cell r="X45">
            <v>0</v>
          </cell>
          <cell r="Y45">
            <v>0</v>
          </cell>
          <cell r="Z45">
            <v>0</v>
          </cell>
          <cell r="AA45">
            <v>3</v>
          </cell>
          <cell r="AB45">
            <v>0</v>
          </cell>
          <cell r="AC45">
            <v>0</v>
          </cell>
          <cell r="AD45">
            <v>17</v>
          </cell>
          <cell r="AE45">
            <v>7</v>
          </cell>
          <cell r="AF45">
            <v>0</v>
          </cell>
          <cell r="AG45">
            <v>59</v>
          </cell>
          <cell r="AI45">
            <v>197</v>
          </cell>
          <cell r="AJ45">
            <v>59</v>
          </cell>
        </row>
        <row r="46">
          <cell r="C46">
            <v>350710040</v>
          </cell>
          <cell r="D46">
            <v>7</v>
          </cell>
          <cell r="E46">
            <v>0</v>
          </cell>
          <cell r="F46">
            <v>3</v>
          </cell>
          <cell r="G46">
            <v>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13</v>
          </cell>
          <cell r="R46">
            <v>8</v>
          </cell>
          <cell r="S46">
            <v>1</v>
          </cell>
          <cell r="T46">
            <v>14</v>
          </cell>
          <cell r="U46">
            <v>25</v>
          </cell>
          <cell r="V46">
            <v>5</v>
          </cell>
          <cell r="W46">
            <v>0</v>
          </cell>
          <cell r="X46">
            <v>7</v>
          </cell>
          <cell r="Y46">
            <v>11</v>
          </cell>
          <cell r="Z46">
            <v>3</v>
          </cell>
          <cell r="AA46">
            <v>0</v>
          </cell>
          <cell r="AB46">
            <v>5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I46">
            <v>111</v>
          </cell>
          <cell r="AJ46">
            <v>25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6</v>
          </cell>
          <cell r="H47">
            <v>0</v>
          </cell>
          <cell r="I47">
            <v>3</v>
          </cell>
          <cell r="J47">
            <v>0</v>
          </cell>
          <cell r="K47">
            <v>0</v>
          </cell>
          <cell r="L47">
            <v>0</v>
          </cell>
          <cell r="M47">
            <v>8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10</v>
          </cell>
          <cell r="S47">
            <v>0</v>
          </cell>
          <cell r="T47">
            <v>0</v>
          </cell>
          <cell r="U47">
            <v>5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7</v>
          </cell>
          <cell r="AA47">
            <v>4</v>
          </cell>
          <cell r="AB47">
            <v>13</v>
          </cell>
          <cell r="AC47">
            <v>18</v>
          </cell>
          <cell r="AD47">
            <v>9</v>
          </cell>
          <cell r="AE47">
            <v>5</v>
          </cell>
          <cell r="AF47">
            <v>0</v>
          </cell>
          <cell r="AG47">
            <v>13</v>
          </cell>
          <cell r="AI47">
            <v>101</v>
          </cell>
          <cell r="AJ47">
            <v>18</v>
          </cell>
        </row>
        <row r="48">
          <cell r="C48">
            <v>350710042</v>
          </cell>
          <cell r="D48">
            <v>69</v>
          </cell>
          <cell r="E48">
            <v>0</v>
          </cell>
          <cell r="F48">
            <v>0</v>
          </cell>
          <cell r="G48">
            <v>0</v>
          </cell>
          <cell r="H48">
            <v>9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13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11</v>
          </cell>
          <cell r="T48">
            <v>0</v>
          </cell>
          <cell r="U48">
            <v>0</v>
          </cell>
          <cell r="V48">
            <v>0</v>
          </cell>
          <cell r="W48">
            <v>24</v>
          </cell>
          <cell r="X48">
            <v>0</v>
          </cell>
          <cell r="Y48">
            <v>1</v>
          </cell>
          <cell r="Z48">
            <v>7</v>
          </cell>
          <cell r="AA48">
            <v>3</v>
          </cell>
          <cell r="AB48">
            <v>0</v>
          </cell>
          <cell r="AC48">
            <v>15</v>
          </cell>
          <cell r="AD48">
            <v>35</v>
          </cell>
          <cell r="AE48">
            <v>0</v>
          </cell>
          <cell r="AF48">
            <v>2</v>
          </cell>
          <cell r="AG48">
            <v>27</v>
          </cell>
          <cell r="AI48">
            <v>216</v>
          </cell>
          <cell r="AJ48">
            <v>69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5</v>
          </cell>
          <cell r="H49">
            <v>12</v>
          </cell>
          <cell r="I49">
            <v>22</v>
          </cell>
          <cell r="J49">
            <v>0</v>
          </cell>
          <cell r="K49">
            <v>4</v>
          </cell>
          <cell r="L49">
            <v>0</v>
          </cell>
          <cell r="M49">
            <v>0</v>
          </cell>
          <cell r="N49">
            <v>0</v>
          </cell>
          <cell r="O49">
            <v>3</v>
          </cell>
          <cell r="P49">
            <v>0</v>
          </cell>
          <cell r="Q49">
            <v>0</v>
          </cell>
          <cell r="R49">
            <v>0</v>
          </cell>
          <cell r="S49">
            <v>35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I49">
            <v>81</v>
          </cell>
          <cell r="AJ49">
            <v>35</v>
          </cell>
        </row>
        <row r="50">
          <cell r="C50">
            <v>350710044</v>
          </cell>
          <cell r="D50">
            <v>46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6</v>
          </cell>
          <cell r="U50">
            <v>0</v>
          </cell>
          <cell r="V50">
            <v>0</v>
          </cell>
          <cell r="W50">
            <v>8</v>
          </cell>
          <cell r="X50">
            <v>2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I50">
            <v>76</v>
          </cell>
          <cell r="AJ50">
            <v>46</v>
          </cell>
        </row>
        <row r="51">
          <cell r="C51">
            <v>350710045</v>
          </cell>
          <cell r="D51">
            <v>3</v>
          </cell>
          <cell r="E51">
            <v>0</v>
          </cell>
          <cell r="F51">
            <v>2.5</v>
          </cell>
          <cell r="G51">
            <v>0</v>
          </cell>
          <cell r="H51">
            <v>10</v>
          </cell>
          <cell r="I51">
            <v>15</v>
          </cell>
          <cell r="J51">
            <v>0</v>
          </cell>
          <cell r="K51">
            <v>0</v>
          </cell>
          <cell r="L51">
            <v>0</v>
          </cell>
          <cell r="M51">
            <v>50</v>
          </cell>
          <cell r="N51">
            <v>0</v>
          </cell>
          <cell r="O51">
            <v>2.5</v>
          </cell>
          <cell r="P51">
            <v>3</v>
          </cell>
          <cell r="Q51">
            <v>22</v>
          </cell>
          <cell r="R51">
            <v>32</v>
          </cell>
          <cell r="S51">
            <v>1</v>
          </cell>
          <cell r="T51">
            <v>20</v>
          </cell>
          <cell r="U51">
            <v>8</v>
          </cell>
          <cell r="V51">
            <v>78</v>
          </cell>
          <cell r="W51">
            <v>7</v>
          </cell>
          <cell r="X51">
            <v>0</v>
          </cell>
          <cell r="Y51">
            <v>22</v>
          </cell>
          <cell r="Z51">
            <v>22</v>
          </cell>
          <cell r="AA51">
            <v>38</v>
          </cell>
          <cell r="AB51">
            <v>45</v>
          </cell>
          <cell r="AC51">
            <v>90</v>
          </cell>
          <cell r="AD51">
            <v>92</v>
          </cell>
          <cell r="AE51">
            <v>3</v>
          </cell>
          <cell r="AF51">
            <v>58</v>
          </cell>
          <cell r="AG51">
            <v>123</v>
          </cell>
          <cell r="AI51">
            <v>747</v>
          </cell>
          <cell r="AJ51">
            <v>123</v>
          </cell>
        </row>
      </sheetData>
      <sheetData sheetId="8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26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28</v>
          </cell>
          <cell r="AJ8">
            <v>26</v>
          </cell>
          <cell r="AK8">
            <v>3</v>
          </cell>
        </row>
        <row r="9">
          <cell r="C9">
            <v>350710002</v>
          </cell>
          <cell r="D9">
            <v>4</v>
          </cell>
          <cell r="E9">
            <v>21</v>
          </cell>
          <cell r="F9">
            <v>0</v>
          </cell>
          <cell r="G9">
            <v>8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22</v>
          </cell>
          <cell r="O9">
            <v>9</v>
          </cell>
          <cell r="P9">
            <v>8</v>
          </cell>
          <cell r="Q9">
            <v>6</v>
          </cell>
          <cell r="R9">
            <v>3</v>
          </cell>
          <cell r="S9">
            <v>3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2</v>
          </cell>
          <cell r="AF9">
            <v>0</v>
          </cell>
          <cell r="AG9">
            <v>0</v>
          </cell>
          <cell r="AH9">
            <v>0</v>
          </cell>
          <cell r="AI9">
            <v>92</v>
          </cell>
          <cell r="AJ9">
            <v>22</v>
          </cell>
          <cell r="AK9">
            <v>13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23</v>
          </cell>
          <cell r="I10">
            <v>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29</v>
          </cell>
          <cell r="AJ10">
            <v>23</v>
          </cell>
          <cell r="AK10">
            <v>2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7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38</v>
          </cell>
          <cell r="O11">
            <v>26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71</v>
          </cell>
          <cell r="AJ11">
            <v>38</v>
          </cell>
          <cell r="AK11">
            <v>3</v>
          </cell>
        </row>
        <row r="12">
          <cell r="C12">
            <v>350710005</v>
          </cell>
          <cell r="D12">
            <v>3</v>
          </cell>
          <cell r="E12">
            <v>0</v>
          </cell>
          <cell r="F12">
            <v>5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9</v>
          </cell>
          <cell r="O12">
            <v>12</v>
          </cell>
          <cell r="P12">
            <v>0</v>
          </cell>
          <cell r="Q12">
            <v>15</v>
          </cell>
          <cell r="R12">
            <v>8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53</v>
          </cell>
          <cell r="AJ12">
            <v>15</v>
          </cell>
          <cell r="AK12">
            <v>7</v>
          </cell>
        </row>
        <row r="13">
          <cell r="C13">
            <v>350710006</v>
          </cell>
          <cell r="D13">
            <v>6</v>
          </cell>
          <cell r="E13">
            <v>5</v>
          </cell>
          <cell r="F13">
            <v>6</v>
          </cell>
          <cell r="G13">
            <v>5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16</v>
          </cell>
          <cell r="O13">
            <v>24</v>
          </cell>
          <cell r="P13">
            <v>8</v>
          </cell>
          <cell r="Q13">
            <v>5</v>
          </cell>
          <cell r="R13">
            <v>5</v>
          </cell>
          <cell r="S13">
            <v>8</v>
          </cell>
          <cell r="T13">
            <v>10</v>
          </cell>
          <cell r="U13">
            <v>20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9</v>
          </cell>
          <cell r="AG13">
            <v>0</v>
          </cell>
          <cell r="AH13">
            <v>0</v>
          </cell>
          <cell r="AI13">
            <v>138</v>
          </cell>
          <cell r="AJ13">
            <v>24</v>
          </cell>
          <cell r="AK13">
            <v>15</v>
          </cell>
        </row>
        <row r="14">
          <cell r="C14">
            <v>350710007</v>
          </cell>
          <cell r="D14">
            <v>11</v>
          </cell>
          <cell r="E14">
            <v>15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28</v>
          </cell>
          <cell r="AJ14">
            <v>15</v>
          </cell>
          <cell r="AK14">
            <v>4</v>
          </cell>
        </row>
        <row r="15">
          <cell r="C15">
            <v>350710008</v>
          </cell>
          <cell r="D15">
            <v>12</v>
          </cell>
          <cell r="E15">
            <v>22</v>
          </cell>
          <cell r="F15">
            <v>0</v>
          </cell>
          <cell r="G15">
            <v>18</v>
          </cell>
          <cell r="H15">
            <v>0</v>
          </cell>
          <cell r="I15">
            <v>0</v>
          </cell>
          <cell r="J15">
            <v>0</v>
          </cell>
          <cell r="K15">
            <v>5</v>
          </cell>
          <cell r="L15">
            <v>0</v>
          </cell>
          <cell r="M15">
            <v>0</v>
          </cell>
          <cell r="N15">
            <v>12</v>
          </cell>
          <cell r="O15">
            <v>32</v>
          </cell>
          <cell r="P15">
            <v>0</v>
          </cell>
          <cell r="Q15">
            <v>24</v>
          </cell>
          <cell r="R15">
            <v>17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142</v>
          </cell>
          <cell r="AJ15">
            <v>32</v>
          </cell>
          <cell r="AK15">
            <v>8</v>
          </cell>
        </row>
        <row r="16">
          <cell r="C16">
            <v>350710009</v>
          </cell>
          <cell r="D16">
            <v>5</v>
          </cell>
          <cell r="E16">
            <v>31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30</v>
          </cell>
          <cell r="O16">
            <v>89</v>
          </cell>
          <cell r="P16">
            <v>7</v>
          </cell>
          <cell r="Q16">
            <v>9</v>
          </cell>
          <cell r="R16">
            <v>1</v>
          </cell>
          <cell r="S16">
            <v>0</v>
          </cell>
          <cell r="T16">
            <v>10</v>
          </cell>
          <cell r="U16">
            <v>1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16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199</v>
          </cell>
          <cell r="AJ16">
            <v>89</v>
          </cell>
          <cell r="AK16">
            <v>10</v>
          </cell>
        </row>
        <row r="17">
          <cell r="C17">
            <v>350710010</v>
          </cell>
          <cell r="D17">
            <v>3</v>
          </cell>
          <cell r="E17">
            <v>29</v>
          </cell>
          <cell r="F17">
            <v>0</v>
          </cell>
          <cell r="G17">
            <v>0</v>
          </cell>
          <cell r="H17">
            <v>0</v>
          </cell>
          <cell r="I17">
            <v>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29</v>
          </cell>
          <cell r="O17">
            <v>30</v>
          </cell>
          <cell r="P17">
            <v>4</v>
          </cell>
          <cell r="Q17">
            <v>9</v>
          </cell>
          <cell r="R17">
            <v>0</v>
          </cell>
          <cell r="S17">
            <v>0</v>
          </cell>
          <cell r="T17">
            <v>15</v>
          </cell>
          <cell r="U17">
            <v>1</v>
          </cell>
          <cell r="V17">
            <v>0</v>
          </cell>
          <cell r="W17">
            <v>0</v>
          </cell>
          <cell r="X17">
            <v>0</v>
          </cell>
          <cell r="Y17">
            <v>1</v>
          </cell>
          <cell r="Z17">
            <v>0</v>
          </cell>
          <cell r="AA17">
            <v>15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138</v>
          </cell>
          <cell r="AJ17">
            <v>30</v>
          </cell>
          <cell r="AK17">
            <v>11</v>
          </cell>
        </row>
        <row r="18">
          <cell r="C18">
            <v>350710011</v>
          </cell>
          <cell r="D18">
            <v>20</v>
          </cell>
          <cell r="E18">
            <v>15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25</v>
          </cell>
          <cell r="X18">
            <v>30</v>
          </cell>
          <cell r="Y18">
            <v>45</v>
          </cell>
          <cell r="Z18">
            <v>15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150</v>
          </cell>
          <cell r="AJ18">
            <v>45</v>
          </cell>
          <cell r="AK18">
            <v>6</v>
          </cell>
        </row>
        <row r="19">
          <cell r="C19">
            <v>350710012</v>
          </cell>
          <cell r="D19">
            <v>25</v>
          </cell>
          <cell r="E19">
            <v>0</v>
          </cell>
          <cell r="F19">
            <v>30</v>
          </cell>
          <cell r="G19">
            <v>0</v>
          </cell>
          <cell r="H19">
            <v>23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23</v>
          </cell>
          <cell r="N19">
            <v>65</v>
          </cell>
          <cell r="O19">
            <v>0</v>
          </cell>
          <cell r="P19">
            <v>38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3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207</v>
          </cell>
          <cell r="AJ19">
            <v>65</v>
          </cell>
          <cell r="AK19">
            <v>7</v>
          </cell>
        </row>
        <row r="20">
          <cell r="C20">
            <v>350710013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20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3</v>
          </cell>
          <cell r="O20">
            <v>22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47</v>
          </cell>
          <cell r="AJ20">
            <v>22</v>
          </cell>
          <cell r="AK20">
            <v>4</v>
          </cell>
        </row>
        <row r="21">
          <cell r="C21">
            <v>350710014</v>
          </cell>
          <cell r="D21">
            <v>7</v>
          </cell>
          <cell r="E21">
            <v>0</v>
          </cell>
          <cell r="F21">
            <v>4</v>
          </cell>
          <cell r="G21">
            <v>0</v>
          </cell>
          <cell r="H21">
            <v>0</v>
          </cell>
          <cell r="I21">
            <v>2</v>
          </cell>
          <cell r="J21">
            <v>0</v>
          </cell>
          <cell r="K21">
            <v>0</v>
          </cell>
          <cell r="L21">
            <v>0</v>
          </cell>
          <cell r="M21">
            <v>1</v>
          </cell>
          <cell r="N21">
            <v>13</v>
          </cell>
          <cell r="O21">
            <v>33</v>
          </cell>
          <cell r="P21">
            <v>8</v>
          </cell>
          <cell r="Q21">
            <v>45</v>
          </cell>
          <cell r="R21">
            <v>0</v>
          </cell>
          <cell r="S21">
            <v>0</v>
          </cell>
          <cell r="T21">
            <v>13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4</v>
          </cell>
          <cell r="Z21">
            <v>0</v>
          </cell>
          <cell r="AA21">
            <v>19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149</v>
          </cell>
          <cell r="AJ21">
            <v>45</v>
          </cell>
          <cell r="AK21">
            <v>11</v>
          </cell>
        </row>
        <row r="22">
          <cell r="C22">
            <v>350710015</v>
          </cell>
          <cell r="D22">
            <v>26</v>
          </cell>
          <cell r="E22">
            <v>11</v>
          </cell>
          <cell r="F22">
            <v>4</v>
          </cell>
          <cell r="G22">
            <v>1</v>
          </cell>
          <cell r="H22">
            <v>9</v>
          </cell>
          <cell r="I22">
            <v>0</v>
          </cell>
          <cell r="J22">
            <v>2</v>
          </cell>
          <cell r="K22">
            <v>0</v>
          </cell>
          <cell r="L22">
            <v>0</v>
          </cell>
          <cell r="M22">
            <v>14</v>
          </cell>
          <cell r="N22">
            <v>49</v>
          </cell>
          <cell r="O22">
            <v>22</v>
          </cell>
          <cell r="P22">
            <v>19</v>
          </cell>
          <cell r="Q22">
            <v>11</v>
          </cell>
          <cell r="R22">
            <v>0</v>
          </cell>
          <cell r="S22">
            <v>0</v>
          </cell>
          <cell r="T22">
            <v>3</v>
          </cell>
          <cell r="U22">
            <v>1</v>
          </cell>
          <cell r="V22">
            <v>0</v>
          </cell>
          <cell r="W22">
            <v>6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181</v>
          </cell>
          <cell r="AJ22">
            <v>49</v>
          </cell>
          <cell r="AK22">
            <v>15</v>
          </cell>
        </row>
        <row r="23">
          <cell r="C23">
            <v>350710016</v>
          </cell>
          <cell r="D23">
            <v>9</v>
          </cell>
          <cell r="E23">
            <v>6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4</v>
          </cell>
          <cell r="O23">
            <v>0</v>
          </cell>
          <cell r="P23">
            <v>0</v>
          </cell>
          <cell r="Q23">
            <v>0</v>
          </cell>
          <cell r="R23">
            <v>5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</v>
          </cell>
          <cell r="Y23">
            <v>0</v>
          </cell>
          <cell r="Z23">
            <v>4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29</v>
          </cell>
          <cell r="AJ23">
            <v>9</v>
          </cell>
          <cell r="AK23">
            <v>6</v>
          </cell>
        </row>
        <row r="24">
          <cell r="C24">
            <v>350710017</v>
          </cell>
          <cell r="D24">
            <v>2</v>
          </cell>
          <cell r="E24">
            <v>6</v>
          </cell>
          <cell r="F24">
            <v>12</v>
          </cell>
          <cell r="G24">
            <v>5</v>
          </cell>
          <cell r="H24">
            <v>6</v>
          </cell>
          <cell r="I24">
            <v>2</v>
          </cell>
          <cell r="J24">
            <v>4</v>
          </cell>
          <cell r="K24">
            <v>0</v>
          </cell>
          <cell r="L24">
            <v>0</v>
          </cell>
          <cell r="M24">
            <v>9</v>
          </cell>
          <cell r="N24">
            <v>16</v>
          </cell>
          <cell r="O24">
            <v>47</v>
          </cell>
          <cell r="P24">
            <v>32</v>
          </cell>
          <cell r="Q24">
            <v>17</v>
          </cell>
          <cell r="R24">
            <v>0</v>
          </cell>
          <cell r="S24">
            <v>11</v>
          </cell>
          <cell r="T24">
            <v>41</v>
          </cell>
          <cell r="U24">
            <v>5</v>
          </cell>
          <cell r="V24">
            <v>3</v>
          </cell>
          <cell r="W24">
            <v>1</v>
          </cell>
          <cell r="X24">
            <v>0</v>
          </cell>
          <cell r="Y24">
            <v>1</v>
          </cell>
          <cell r="Z24">
            <v>4</v>
          </cell>
          <cell r="AA24">
            <v>0</v>
          </cell>
          <cell r="AB24">
            <v>0</v>
          </cell>
          <cell r="AC24">
            <v>0</v>
          </cell>
          <cell r="AD24">
            <v>12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236</v>
          </cell>
          <cell r="AJ24">
            <v>47</v>
          </cell>
          <cell r="AK24">
            <v>20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8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28</v>
          </cell>
          <cell r="AJ25">
            <v>20</v>
          </cell>
          <cell r="AK25">
            <v>2</v>
          </cell>
        </row>
        <row r="26">
          <cell r="C26">
            <v>350710019</v>
          </cell>
          <cell r="D26">
            <v>37</v>
          </cell>
          <cell r="E26">
            <v>41</v>
          </cell>
          <cell r="F26">
            <v>21</v>
          </cell>
          <cell r="G26">
            <v>0</v>
          </cell>
          <cell r="H26">
            <v>37</v>
          </cell>
          <cell r="I26">
            <v>0</v>
          </cell>
          <cell r="J26">
            <v>5</v>
          </cell>
          <cell r="K26">
            <v>0</v>
          </cell>
          <cell r="L26">
            <v>0</v>
          </cell>
          <cell r="M26">
            <v>5</v>
          </cell>
          <cell r="N26">
            <v>77</v>
          </cell>
          <cell r="O26">
            <v>41</v>
          </cell>
          <cell r="P26">
            <v>47</v>
          </cell>
          <cell r="Q26">
            <v>30</v>
          </cell>
          <cell r="R26">
            <v>8</v>
          </cell>
          <cell r="S26">
            <v>61</v>
          </cell>
          <cell r="T26">
            <v>0</v>
          </cell>
          <cell r="U26">
            <v>21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17</v>
          </cell>
          <cell r="AA26">
            <v>0</v>
          </cell>
          <cell r="AB26">
            <v>0</v>
          </cell>
          <cell r="AC26">
            <v>0</v>
          </cell>
          <cell r="AD26">
            <v>3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455</v>
          </cell>
          <cell r="AJ26">
            <v>77</v>
          </cell>
          <cell r="AK26">
            <v>16</v>
          </cell>
        </row>
        <row r="27">
          <cell r="C27">
            <v>350710020</v>
          </cell>
          <cell r="D27">
            <v>17</v>
          </cell>
          <cell r="E27">
            <v>31</v>
          </cell>
          <cell r="F27">
            <v>12</v>
          </cell>
          <cell r="G27">
            <v>0</v>
          </cell>
          <cell r="H27">
            <v>19</v>
          </cell>
          <cell r="I27">
            <v>19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12</v>
          </cell>
          <cell r="O27">
            <v>67</v>
          </cell>
          <cell r="P27">
            <v>12</v>
          </cell>
          <cell r="Q27">
            <v>41</v>
          </cell>
          <cell r="R27">
            <v>1</v>
          </cell>
          <cell r="S27">
            <v>1</v>
          </cell>
          <cell r="T27">
            <v>9</v>
          </cell>
          <cell r="U27">
            <v>1</v>
          </cell>
          <cell r="V27">
            <v>0</v>
          </cell>
          <cell r="W27">
            <v>0</v>
          </cell>
          <cell r="X27">
            <v>1</v>
          </cell>
          <cell r="Y27">
            <v>1</v>
          </cell>
          <cell r="Z27">
            <v>1</v>
          </cell>
          <cell r="AA27">
            <v>10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256</v>
          </cell>
          <cell r="AJ27">
            <v>67</v>
          </cell>
          <cell r="AK27">
            <v>18</v>
          </cell>
        </row>
        <row r="28">
          <cell r="C28">
            <v>350710021</v>
          </cell>
          <cell r="D28">
            <v>5</v>
          </cell>
          <cell r="E28">
            <v>7</v>
          </cell>
          <cell r="F28">
            <v>0</v>
          </cell>
          <cell r="G28">
            <v>0</v>
          </cell>
          <cell r="H28">
            <v>9</v>
          </cell>
          <cell r="I28">
            <v>11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5</v>
          </cell>
          <cell r="O28">
            <v>43</v>
          </cell>
          <cell r="P28">
            <v>16</v>
          </cell>
          <cell r="Q28">
            <v>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104</v>
          </cell>
          <cell r="AJ28">
            <v>43</v>
          </cell>
          <cell r="AK28">
            <v>8</v>
          </cell>
        </row>
        <row r="29">
          <cell r="C29">
            <v>350710022</v>
          </cell>
          <cell r="D29">
            <v>0</v>
          </cell>
          <cell r="E29">
            <v>6</v>
          </cell>
          <cell r="F29">
            <v>6</v>
          </cell>
          <cell r="G29">
            <v>0</v>
          </cell>
          <cell r="H29">
            <v>16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0.2</v>
          </cell>
          <cell r="O29">
            <v>50</v>
          </cell>
          <cell r="P29">
            <v>19</v>
          </cell>
          <cell r="Q29">
            <v>4</v>
          </cell>
          <cell r="R29">
            <v>0.2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101.4</v>
          </cell>
          <cell r="AJ29">
            <v>50</v>
          </cell>
          <cell r="AK29">
            <v>8</v>
          </cell>
        </row>
        <row r="30">
          <cell r="C30">
            <v>350710024</v>
          </cell>
          <cell r="D30">
            <v>8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38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46</v>
          </cell>
          <cell r="AJ30">
            <v>38</v>
          </cell>
          <cell r="AK30">
            <v>2</v>
          </cell>
        </row>
        <row r="31">
          <cell r="C31">
            <v>350710025</v>
          </cell>
          <cell r="D31">
            <v>3</v>
          </cell>
          <cell r="E31">
            <v>1</v>
          </cell>
          <cell r="F31">
            <v>2</v>
          </cell>
          <cell r="G31">
            <v>1</v>
          </cell>
          <cell r="H31">
            <v>0</v>
          </cell>
          <cell r="I31">
            <v>1</v>
          </cell>
          <cell r="J31">
            <v>0</v>
          </cell>
          <cell r="K31">
            <v>1</v>
          </cell>
          <cell r="L31">
            <v>0</v>
          </cell>
          <cell r="M31">
            <v>0</v>
          </cell>
          <cell r="N31">
            <v>2</v>
          </cell>
          <cell r="O31">
            <v>14</v>
          </cell>
          <cell r="P31">
            <v>5</v>
          </cell>
          <cell r="Q31">
            <v>1</v>
          </cell>
          <cell r="R31">
            <v>1</v>
          </cell>
          <cell r="S31">
            <v>3</v>
          </cell>
          <cell r="T31">
            <v>0</v>
          </cell>
          <cell r="U31">
            <v>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4</v>
          </cell>
          <cell r="AA31">
            <v>1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42</v>
          </cell>
          <cell r="AJ31">
            <v>14</v>
          </cell>
          <cell r="AK31">
            <v>16</v>
          </cell>
        </row>
        <row r="32">
          <cell r="C32">
            <v>350710026</v>
          </cell>
          <cell r="D32">
            <v>49</v>
          </cell>
          <cell r="E32">
            <v>36</v>
          </cell>
          <cell r="F32">
            <v>14</v>
          </cell>
          <cell r="G32">
            <v>0</v>
          </cell>
          <cell r="H32">
            <v>0</v>
          </cell>
          <cell r="I32">
            <v>40</v>
          </cell>
          <cell r="J32">
            <v>13</v>
          </cell>
          <cell r="K32">
            <v>0</v>
          </cell>
          <cell r="L32">
            <v>0</v>
          </cell>
          <cell r="M32">
            <v>6</v>
          </cell>
          <cell r="N32">
            <v>7</v>
          </cell>
          <cell r="O32">
            <v>5</v>
          </cell>
          <cell r="P32">
            <v>0</v>
          </cell>
          <cell r="Q32">
            <v>4</v>
          </cell>
          <cell r="R32">
            <v>6</v>
          </cell>
          <cell r="S32">
            <v>0</v>
          </cell>
          <cell r="T32">
            <v>8</v>
          </cell>
          <cell r="U32">
            <v>4</v>
          </cell>
          <cell r="V32">
            <v>0</v>
          </cell>
          <cell r="W32">
            <v>0</v>
          </cell>
          <cell r="X32">
            <v>4</v>
          </cell>
          <cell r="Y32">
            <v>0</v>
          </cell>
          <cell r="Z32">
            <v>5</v>
          </cell>
          <cell r="AA32">
            <v>9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210</v>
          </cell>
          <cell r="AJ32">
            <v>49</v>
          </cell>
          <cell r="AK32">
            <v>15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50</v>
          </cell>
          <cell r="H33">
            <v>30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80</v>
          </cell>
          <cell r="AJ33">
            <v>50</v>
          </cell>
          <cell r="AK33">
            <v>2</v>
          </cell>
        </row>
        <row r="34">
          <cell r="C34">
            <v>350710028</v>
          </cell>
          <cell r="D34">
            <v>25</v>
          </cell>
          <cell r="E34">
            <v>11</v>
          </cell>
          <cell r="F34">
            <v>6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117</v>
          </cell>
          <cell r="O34">
            <v>21</v>
          </cell>
          <cell r="P34">
            <v>39</v>
          </cell>
          <cell r="Q34">
            <v>17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3</v>
          </cell>
          <cell r="Z34">
            <v>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244</v>
          </cell>
          <cell r="AJ34">
            <v>117</v>
          </cell>
          <cell r="AK34">
            <v>9</v>
          </cell>
        </row>
        <row r="35">
          <cell r="C35">
            <v>350710029</v>
          </cell>
          <cell r="D35">
            <v>0</v>
          </cell>
          <cell r="E35">
            <v>0</v>
          </cell>
          <cell r="F35">
            <v>30</v>
          </cell>
          <cell r="G35">
            <v>47</v>
          </cell>
          <cell r="H35">
            <v>58</v>
          </cell>
          <cell r="I35">
            <v>25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160</v>
          </cell>
          <cell r="AJ35">
            <v>58</v>
          </cell>
          <cell r="AK35">
            <v>4</v>
          </cell>
        </row>
        <row r="36">
          <cell r="C36">
            <v>350710030</v>
          </cell>
          <cell r="D36">
            <v>5</v>
          </cell>
          <cell r="E36">
            <v>5</v>
          </cell>
          <cell r="F36">
            <v>0</v>
          </cell>
          <cell r="G36">
            <v>0</v>
          </cell>
          <cell r="H36">
            <v>0.2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5</v>
          </cell>
          <cell r="P36">
            <v>6</v>
          </cell>
          <cell r="Q36">
            <v>0.3</v>
          </cell>
          <cell r="R36">
            <v>0</v>
          </cell>
          <cell r="S36">
            <v>0</v>
          </cell>
          <cell r="T36">
            <v>1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0.3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22.8</v>
          </cell>
          <cell r="AJ36">
            <v>6</v>
          </cell>
          <cell r="AK36">
            <v>8</v>
          </cell>
        </row>
        <row r="37">
          <cell r="C37">
            <v>350710031</v>
          </cell>
          <cell r="D37">
            <v>0</v>
          </cell>
          <cell r="E37">
            <v>11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10</v>
          </cell>
          <cell r="O37">
            <v>0</v>
          </cell>
          <cell r="P37">
            <v>0</v>
          </cell>
          <cell r="Q37">
            <v>12</v>
          </cell>
          <cell r="R37">
            <v>0</v>
          </cell>
          <cell r="S37">
            <v>23</v>
          </cell>
          <cell r="T37">
            <v>9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65</v>
          </cell>
          <cell r="AJ37">
            <v>23</v>
          </cell>
          <cell r="AK37">
            <v>5</v>
          </cell>
        </row>
        <row r="38">
          <cell r="C38">
            <v>350710032</v>
          </cell>
          <cell r="D38">
            <v>2</v>
          </cell>
          <cell r="E38">
            <v>0.3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0.5</v>
          </cell>
          <cell r="O38">
            <v>12</v>
          </cell>
          <cell r="P38">
            <v>18</v>
          </cell>
          <cell r="Q38">
            <v>0</v>
          </cell>
          <cell r="R38">
            <v>0.8</v>
          </cell>
          <cell r="S38">
            <v>0.2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33.799999999999997</v>
          </cell>
          <cell r="AJ38">
            <v>18</v>
          </cell>
          <cell r="AK38">
            <v>7</v>
          </cell>
        </row>
        <row r="39">
          <cell r="C39">
            <v>350710033</v>
          </cell>
          <cell r="D39">
            <v>15</v>
          </cell>
          <cell r="E39">
            <v>20</v>
          </cell>
          <cell r="F39">
            <v>0</v>
          </cell>
          <cell r="G39">
            <v>6</v>
          </cell>
          <cell r="H39">
            <v>0</v>
          </cell>
          <cell r="I39">
            <v>9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12</v>
          </cell>
          <cell r="O39">
            <v>0</v>
          </cell>
          <cell r="P39">
            <v>0</v>
          </cell>
          <cell r="Q39">
            <v>0</v>
          </cell>
          <cell r="R39">
            <v>5</v>
          </cell>
          <cell r="S39">
            <v>3</v>
          </cell>
          <cell r="T39">
            <v>0</v>
          </cell>
          <cell r="U39">
            <v>0</v>
          </cell>
          <cell r="V39">
            <v>1</v>
          </cell>
          <cell r="W39">
            <v>0</v>
          </cell>
          <cell r="X39">
            <v>0</v>
          </cell>
          <cell r="Y39">
            <v>0</v>
          </cell>
          <cell r="Z39">
            <v>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77</v>
          </cell>
          <cell r="AJ39">
            <v>20</v>
          </cell>
          <cell r="AK39">
            <v>9</v>
          </cell>
        </row>
        <row r="40">
          <cell r="C40">
            <v>350710034</v>
          </cell>
          <cell r="D40">
            <v>0</v>
          </cell>
          <cell r="E40">
            <v>1</v>
          </cell>
          <cell r="F40">
            <v>0</v>
          </cell>
          <cell r="G40">
            <v>10</v>
          </cell>
          <cell r="H40">
            <v>2</v>
          </cell>
          <cell r="I40">
            <v>20</v>
          </cell>
          <cell r="J40">
            <v>2</v>
          </cell>
          <cell r="K40">
            <v>0</v>
          </cell>
          <cell r="L40">
            <v>0</v>
          </cell>
          <cell r="M40">
            <v>0</v>
          </cell>
          <cell r="N40">
            <v>2</v>
          </cell>
          <cell r="O40">
            <v>1</v>
          </cell>
          <cell r="P40">
            <v>0</v>
          </cell>
          <cell r="Q40">
            <v>0</v>
          </cell>
          <cell r="R40">
            <v>0</v>
          </cell>
          <cell r="S40">
            <v>2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41</v>
          </cell>
          <cell r="AJ40">
            <v>20</v>
          </cell>
          <cell r="AK40">
            <v>9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3</v>
          </cell>
          <cell r="AJ41">
            <v>3</v>
          </cell>
          <cell r="AK41">
            <v>1</v>
          </cell>
        </row>
        <row r="42">
          <cell r="C42">
            <v>350710036</v>
          </cell>
          <cell r="D42">
            <v>105</v>
          </cell>
          <cell r="E42">
            <v>79</v>
          </cell>
          <cell r="F42">
            <v>4</v>
          </cell>
          <cell r="G42">
            <v>0</v>
          </cell>
          <cell r="H42">
            <v>0</v>
          </cell>
          <cell r="I42">
            <v>35</v>
          </cell>
          <cell r="J42">
            <v>2</v>
          </cell>
          <cell r="K42">
            <v>0</v>
          </cell>
          <cell r="L42">
            <v>0</v>
          </cell>
          <cell r="M42">
            <v>2</v>
          </cell>
          <cell r="N42">
            <v>38</v>
          </cell>
          <cell r="O42">
            <v>45</v>
          </cell>
          <cell r="P42">
            <v>8</v>
          </cell>
          <cell r="Q42">
            <v>7</v>
          </cell>
          <cell r="R42">
            <v>96</v>
          </cell>
          <cell r="S42">
            <v>2</v>
          </cell>
          <cell r="T42">
            <v>1</v>
          </cell>
          <cell r="U42">
            <v>2</v>
          </cell>
          <cell r="V42">
            <v>0</v>
          </cell>
          <cell r="W42">
            <v>0</v>
          </cell>
          <cell r="X42">
            <v>9</v>
          </cell>
          <cell r="Y42">
            <v>7</v>
          </cell>
          <cell r="Z42">
            <v>0</v>
          </cell>
          <cell r="AA42">
            <v>5</v>
          </cell>
          <cell r="AB42">
            <v>0</v>
          </cell>
          <cell r="AC42">
            <v>1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448</v>
          </cell>
          <cell r="AJ42">
            <v>105</v>
          </cell>
          <cell r="AK42">
            <v>18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2</v>
          </cell>
          <cell r="G43">
            <v>5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2</v>
          </cell>
          <cell r="O43">
            <v>24</v>
          </cell>
          <cell r="P43">
            <v>0</v>
          </cell>
          <cell r="Q43">
            <v>1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2</v>
          </cell>
          <cell r="Y43">
            <v>3</v>
          </cell>
          <cell r="Z43">
            <v>2</v>
          </cell>
          <cell r="AA43">
            <v>25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66</v>
          </cell>
          <cell r="AJ43">
            <v>25</v>
          </cell>
          <cell r="AK43">
            <v>9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9</v>
          </cell>
          <cell r="G44">
            <v>5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9</v>
          </cell>
          <cell r="O44">
            <v>11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34</v>
          </cell>
          <cell r="AJ44">
            <v>11</v>
          </cell>
          <cell r="AK44">
            <v>4</v>
          </cell>
        </row>
        <row r="45">
          <cell r="C45">
            <v>350710039</v>
          </cell>
          <cell r="D45">
            <v>18</v>
          </cell>
          <cell r="E45">
            <v>7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6</v>
          </cell>
          <cell r="O45">
            <v>0</v>
          </cell>
          <cell r="P45">
            <v>0</v>
          </cell>
          <cell r="Q45">
            <v>0</v>
          </cell>
          <cell r="R45">
            <v>7</v>
          </cell>
          <cell r="S45">
            <v>0</v>
          </cell>
          <cell r="T45">
            <v>0</v>
          </cell>
          <cell r="U45">
            <v>0</v>
          </cell>
          <cell r="V45">
            <v>2</v>
          </cell>
          <cell r="W45">
            <v>0</v>
          </cell>
          <cell r="X45">
            <v>0</v>
          </cell>
          <cell r="Y45">
            <v>3</v>
          </cell>
          <cell r="Z45">
            <v>6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49</v>
          </cell>
          <cell r="AJ45">
            <v>18</v>
          </cell>
          <cell r="AK45">
            <v>7</v>
          </cell>
        </row>
        <row r="46">
          <cell r="C46">
            <v>350710040</v>
          </cell>
          <cell r="D46">
            <v>2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10</v>
          </cell>
          <cell r="P46">
            <v>23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3</v>
          </cell>
          <cell r="V46">
            <v>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45</v>
          </cell>
          <cell r="AJ46">
            <v>23</v>
          </cell>
          <cell r="AK46">
            <v>7</v>
          </cell>
        </row>
        <row r="47">
          <cell r="C47">
            <v>350710041</v>
          </cell>
          <cell r="D47">
            <v>8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18</v>
          </cell>
          <cell r="O47">
            <v>25</v>
          </cell>
          <cell r="P47">
            <v>22</v>
          </cell>
          <cell r="Q47">
            <v>12</v>
          </cell>
          <cell r="R47">
            <v>9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6</v>
          </cell>
          <cell r="Y47">
            <v>0</v>
          </cell>
          <cell r="Z47">
            <v>12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112</v>
          </cell>
          <cell r="AJ47">
            <v>25</v>
          </cell>
          <cell r="AK47">
            <v>8</v>
          </cell>
        </row>
        <row r="48">
          <cell r="C48">
            <v>350710042</v>
          </cell>
          <cell r="D48">
            <v>26</v>
          </cell>
          <cell r="E48">
            <v>37</v>
          </cell>
          <cell r="F48">
            <v>0</v>
          </cell>
          <cell r="G48">
            <v>3</v>
          </cell>
          <cell r="H48">
            <v>0</v>
          </cell>
          <cell r="I48">
            <v>5</v>
          </cell>
          <cell r="J48">
            <v>0</v>
          </cell>
          <cell r="K48">
            <v>0</v>
          </cell>
          <cell r="L48">
            <v>0</v>
          </cell>
          <cell r="M48">
            <v>1</v>
          </cell>
          <cell r="N48">
            <v>7</v>
          </cell>
          <cell r="O48">
            <v>17</v>
          </cell>
          <cell r="P48">
            <v>3</v>
          </cell>
          <cell r="Q48">
            <v>16</v>
          </cell>
          <cell r="R48">
            <v>8</v>
          </cell>
          <cell r="S48">
            <v>1</v>
          </cell>
          <cell r="T48">
            <v>0</v>
          </cell>
          <cell r="U48">
            <v>4</v>
          </cell>
          <cell r="V48">
            <v>0</v>
          </cell>
          <cell r="W48">
            <v>0</v>
          </cell>
          <cell r="X48">
            <v>0</v>
          </cell>
          <cell r="Y48">
            <v>2</v>
          </cell>
          <cell r="Z48">
            <v>0</v>
          </cell>
          <cell r="AA48">
            <v>12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142</v>
          </cell>
          <cell r="AJ48">
            <v>37</v>
          </cell>
          <cell r="AK48">
            <v>14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4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4</v>
          </cell>
          <cell r="AJ49">
            <v>4</v>
          </cell>
          <cell r="AK49">
            <v>1</v>
          </cell>
        </row>
        <row r="50">
          <cell r="C50">
            <v>350710044</v>
          </cell>
          <cell r="D50">
            <v>2</v>
          </cell>
          <cell r="E50">
            <v>19</v>
          </cell>
          <cell r="F50">
            <v>0</v>
          </cell>
          <cell r="G50">
            <v>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20</v>
          </cell>
          <cell r="O50">
            <v>12</v>
          </cell>
          <cell r="P50">
            <v>10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70</v>
          </cell>
          <cell r="AJ50">
            <v>20</v>
          </cell>
          <cell r="AK50">
            <v>6</v>
          </cell>
        </row>
        <row r="51">
          <cell r="C51">
            <v>350710045</v>
          </cell>
          <cell r="D51">
            <v>108</v>
          </cell>
          <cell r="E51">
            <v>7</v>
          </cell>
          <cell r="F51">
            <v>0</v>
          </cell>
          <cell r="G51">
            <v>8</v>
          </cell>
          <cell r="H51">
            <v>116</v>
          </cell>
          <cell r="I51">
            <v>15</v>
          </cell>
          <cell r="J51">
            <v>1</v>
          </cell>
          <cell r="K51">
            <v>0</v>
          </cell>
          <cell r="L51">
            <v>0</v>
          </cell>
          <cell r="M51">
            <v>21</v>
          </cell>
          <cell r="N51">
            <v>101</v>
          </cell>
          <cell r="O51">
            <v>28</v>
          </cell>
          <cell r="P51">
            <v>84</v>
          </cell>
          <cell r="Q51">
            <v>11</v>
          </cell>
          <cell r="R51">
            <v>27</v>
          </cell>
          <cell r="S51">
            <v>5</v>
          </cell>
          <cell r="T51">
            <v>2</v>
          </cell>
          <cell r="U51">
            <v>1</v>
          </cell>
          <cell r="V51">
            <v>0</v>
          </cell>
          <cell r="W51">
            <v>13</v>
          </cell>
          <cell r="X51">
            <v>14.5</v>
          </cell>
          <cell r="Y51">
            <v>5</v>
          </cell>
          <cell r="Z51">
            <v>20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587.5</v>
          </cell>
          <cell r="AJ51">
            <v>116</v>
          </cell>
          <cell r="AK51">
            <v>19</v>
          </cell>
        </row>
      </sheetData>
      <sheetData sheetId="9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13</v>
          </cell>
          <cell r="P8">
            <v>30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46</v>
          </cell>
          <cell r="AJ8">
            <v>30</v>
          </cell>
        </row>
        <row r="9">
          <cell r="C9">
            <v>350710002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3</v>
          </cell>
          <cell r="L9">
            <v>0</v>
          </cell>
          <cell r="M9">
            <v>12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11</v>
          </cell>
          <cell r="W9">
            <v>0</v>
          </cell>
          <cell r="X9">
            <v>0</v>
          </cell>
          <cell r="Y9">
            <v>3</v>
          </cell>
          <cell r="Z9">
            <v>0</v>
          </cell>
          <cell r="AA9">
            <v>0</v>
          </cell>
          <cell r="AB9">
            <v>6</v>
          </cell>
          <cell r="AC9">
            <v>0</v>
          </cell>
          <cell r="AD9">
            <v>4</v>
          </cell>
          <cell r="AE9">
            <v>0</v>
          </cell>
          <cell r="AF9">
            <v>0</v>
          </cell>
          <cell r="AG9">
            <v>9</v>
          </cell>
          <cell r="AH9">
            <v>0</v>
          </cell>
          <cell r="AI9">
            <v>54</v>
          </cell>
          <cell r="AJ9">
            <v>12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23</v>
          </cell>
          <cell r="R10">
            <v>7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30</v>
          </cell>
          <cell r="AJ10">
            <v>23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</v>
          </cell>
          <cell r="U11">
            <v>0</v>
          </cell>
          <cell r="V11">
            <v>0</v>
          </cell>
          <cell r="W11">
            <v>5</v>
          </cell>
          <cell r="X11">
            <v>0</v>
          </cell>
          <cell r="Y11">
            <v>0</v>
          </cell>
          <cell r="Z11">
            <v>9</v>
          </cell>
          <cell r="AA11">
            <v>0</v>
          </cell>
          <cell r="AB11">
            <v>12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7</v>
          </cell>
          <cell r="AH11">
            <v>0</v>
          </cell>
          <cell r="AI11">
            <v>50</v>
          </cell>
          <cell r="AJ11">
            <v>14</v>
          </cell>
        </row>
        <row r="12">
          <cell r="C12">
            <v>350710005</v>
          </cell>
          <cell r="D12">
            <v>0</v>
          </cell>
          <cell r="E12">
            <v>8</v>
          </cell>
          <cell r="F12">
            <v>0</v>
          </cell>
          <cell r="G12">
            <v>0</v>
          </cell>
          <cell r="H12">
            <v>0</v>
          </cell>
          <cell r="I12">
            <v>15</v>
          </cell>
          <cell r="J12">
            <v>10</v>
          </cell>
          <cell r="K12">
            <v>0</v>
          </cell>
          <cell r="L12">
            <v>8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15</v>
          </cell>
          <cell r="AH12">
            <v>20</v>
          </cell>
          <cell r="AI12">
            <v>88</v>
          </cell>
          <cell r="AJ12">
            <v>20</v>
          </cell>
        </row>
        <row r="13">
          <cell r="C13">
            <v>350710006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</v>
          </cell>
          <cell r="L13">
            <v>25</v>
          </cell>
          <cell r="M13">
            <v>7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9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5</v>
          </cell>
          <cell r="AD13">
            <v>0</v>
          </cell>
          <cell r="AE13">
            <v>0</v>
          </cell>
          <cell r="AF13">
            <v>5</v>
          </cell>
          <cell r="AG13">
            <v>5</v>
          </cell>
          <cell r="AH13">
            <v>0</v>
          </cell>
          <cell r="AI13">
            <v>61</v>
          </cell>
          <cell r="AJ13">
            <v>25</v>
          </cell>
        </row>
        <row r="14">
          <cell r="C14">
            <v>350710007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</v>
          </cell>
          <cell r="L14">
            <v>0</v>
          </cell>
          <cell r="M14">
            <v>16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7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28</v>
          </cell>
          <cell r="AJ14">
            <v>16</v>
          </cell>
        </row>
        <row r="15">
          <cell r="C15">
            <v>350710008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15</v>
          </cell>
          <cell r="J15">
            <v>5</v>
          </cell>
          <cell r="K15">
            <v>11</v>
          </cell>
          <cell r="L15">
            <v>0</v>
          </cell>
          <cell r="M15">
            <v>16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9</v>
          </cell>
          <cell r="W15">
            <v>3</v>
          </cell>
          <cell r="X15">
            <v>0</v>
          </cell>
          <cell r="Y15">
            <v>0</v>
          </cell>
          <cell r="Z15">
            <v>7</v>
          </cell>
          <cell r="AA15">
            <v>0</v>
          </cell>
          <cell r="AB15">
            <v>5</v>
          </cell>
          <cell r="AC15">
            <v>7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5</v>
          </cell>
          <cell r="AI15">
            <v>83</v>
          </cell>
          <cell r="AJ15">
            <v>16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6</v>
          </cell>
          <cell r="K16">
            <v>7</v>
          </cell>
          <cell r="L16">
            <v>0</v>
          </cell>
          <cell r="M16">
            <v>8</v>
          </cell>
          <cell r="N16">
            <v>3</v>
          </cell>
          <cell r="O16">
            <v>14</v>
          </cell>
          <cell r="P16">
            <v>3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4</v>
          </cell>
          <cell r="W16">
            <v>5</v>
          </cell>
          <cell r="X16">
            <v>0</v>
          </cell>
          <cell r="Y16">
            <v>0</v>
          </cell>
          <cell r="Z16">
            <v>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25</v>
          </cell>
          <cell r="AH16">
            <v>0</v>
          </cell>
          <cell r="AI16">
            <v>80</v>
          </cell>
          <cell r="AJ16">
            <v>25</v>
          </cell>
        </row>
        <row r="17">
          <cell r="C17">
            <v>350710010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</v>
          </cell>
          <cell r="K17">
            <v>7</v>
          </cell>
          <cell r="L17">
            <v>4</v>
          </cell>
          <cell r="M17">
            <v>7</v>
          </cell>
          <cell r="N17">
            <v>3</v>
          </cell>
          <cell r="O17">
            <v>5</v>
          </cell>
          <cell r="P17">
            <v>17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2</v>
          </cell>
          <cell r="V17">
            <v>4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13</v>
          </cell>
          <cell r="AC17">
            <v>5</v>
          </cell>
          <cell r="AD17">
            <v>0</v>
          </cell>
          <cell r="AE17">
            <v>3</v>
          </cell>
          <cell r="AF17">
            <v>0</v>
          </cell>
          <cell r="AG17">
            <v>29</v>
          </cell>
          <cell r="AH17">
            <v>4</v>
          </cell>
          <cell r="AI17">
            <v>104</v>
          </cell>
          <cell r="AJ17">
            <v>29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10</v>
          </cell>
          <cell r="M18">
            <v>0</v>
          </cell>
          <cell r="N18">
            <v>0</v>
          </cell>
          <cell r="O18">
            <v>0</v>
          </cell>
          <cell r="P18">
            <v>15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10</v>
          </cell>
          <cell r="AE18">
            <v>15</v>
          </cell>
          <cell r="AF18">
            <v>20</v>
          </cell>
          <cell r="AG18">
            <v>0</v>
          </cell>
          <cell r="AH18">
            <v>0</v>
          </cell>
          <cell r="AI18">
            <v>70</v>
          </cell>
          <cell r="AJ18">
            <v>20</v>
          </cell>
        </row>
        <row r="19">
          <cell r="C19">
            <v>350710012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5</v>
          </cell>
          <cell r="J19">
            <v>0</v>
          </cell>
          <cell r="K19">
            <v>16</v>
          </cell>
          <cell r="L19">
            <v>6</v>
          </cell>
          <cell r="M19">
            <v>9</v>
          </cell>
          <cell r="N19">
            <v>60</v>
          </cell>
          <cell r="O19">
            <v>2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12</v>
          </cell>
          <cell r="U19">
            <v>5</v>
          </cell>
          <cell r="V19">
            <v>4</v>
          </cell>
          <cell r="W19">
            <v>0</v>
          </cell>
          <cell r="X19">
            <v>0</v>
          </cell>
          <cell r="Y19">
            <v>3</v>
          </cell>
          <cell r="Z19">
            <v>0</v>
          </cell>
          <cell r="AA19">
            <v>2</v>
          </cell>
          <cell r="AB19">
            <v>6</v>
          </cell>
          <cell r="AC19">
            <v>0</v>
          </cell>
          <cell r="AD19">
            <v>0</v>
          </cell>
          <cell r="AE19">
            <v>0</v>
          </cell>
          <cell r="AF19">
            <v>2</v>
          </cell>
          <cell r="AG19">
            <v>2</v>
          </cell>
          <cell r="AH19">
            <v>1</v>
          </cell>
          <cell r="AI19">
            <v>135</v>
          </cell>
          <cell r="AJ19">
            <v>60</v>
          </cell>
        </row>
        <row r="20">
          <cell r="C20">
            <v>350710013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22</v>
          </cell>
          <cell r="K20">
            <v>0</v>
          </cell>
          <cell r="L20">
            <v>0</v>
          </cell>
          <cell r="M20">
            <v>2</v>
          </cell>
          <cell r="N20">
            <v>0</v>
          </cell>
          <cell r="O20">
            <v>0</v>
          </cell>
          <cell r="P20">
            <v>1</v>
          </cell>
          <cell r="Q20">
            <v>0</v>
          </cell>
          <cell r="R20">
            <v>0</v>
          </cell>
          <cell r="S20">
            <v>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2</v>
          </cell>
          <cell r="AE20">
            <v>0</v>
          </cell>
          <cell r="AF20">
            <v>0</v>
          </cell>
          <cell r="AG20">
            <v>0</v>
          </cell>
          <cell r="AH20">
            <v>5</v>
          </cell>
          <cell r="AI20">
            <v>38</v>
          </cell>
          <cell r="AJ20">
            <v>22</v>
          </cell>
        </row>
        <row r="21">
          <cell r="C21">
            <v>350710014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18</v>
          </cell>
          <cell r="L21">
            <v>0</v>
          </cell>
          <cell r="M21">
            <v>14</v>
          </cell>
          <cell r="N21">
            <v>0</v>
          </cell>
          <cell r="O21">
            <v>28</v>
          </cell>
          <cell r="P21">
            <v>27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10</v>
          </cell>
          <cell r="AD21">
            <v>0</v>
          </cell>
          <cell r="AE21">
            <v>0</v>
          </cell>
          <cell r="AF21">
            <v>0</v>
          </cell>
          <cell r="AG21">
            <v>41</v>
          </cell>
          <cell r="AH21">
            <v>9</v>
          </cell>
          <cell r="AI21">
            <v>147</v>
          </cell>
          <cell r="AJ21">
            <v>41</v>
          </cell>
        </row>
        <row r="22">
          <cell r="C22">
            <v>350710015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2</v>
          </cell>
          <cell r="K22">
            <v>4</v>
          </cell>
          <cell r="L22">
            <v>7</v>
          </cell>
          <cell r="M22">
            <v>3</v>
          </cell>
          <cell r="N22">
            <v>5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3</v>
          </cell>
          <cell r="U22">
            <v>0</v>
          </cell>
          <cell r="V22">
            <v>21</v>
          </cell>
          <cell r="W22">
            <v>0</v>
          </cell>
          <cell r="X22">
            <v>3</v>
          </cell>
          <cell r="Y22">
            <v>0</v>
          </cell>
          <cell r="Z22">
            <v>0</v>
          </cell>
          <cell r="AA22">
            <v>0</v>
          </cell>
          <cell r="AB22">
            <v>1</v>
          </cell>
          <cell r="AC22">
            <v>13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62</v>
          </cell>
          <cell r="AJ22">
            <v>21</v>
          </cell>
        </row>
        <row r="23">
          <cell r="C23">
            <v>350710016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5</v>
          </cell>
          <cell r="K23">
            <v>3</v>
          </cell>
          <cell r="L23">
            <v>0</v>
          </cell>
          <cell r="M23">
            <v>14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6</v>
          </cell>
          <cell r="T23">
            <v>0</v>
          </cell>
          <cell r="U23">
            <v>4</v>
          </cell>
          <cell r="V23">
            <v>3</v>
          </cell>
          <cell r="W23">
            <v>0</v>
          </cell>
          <cell r="X23">
            <v>0</v>
          </cell>
          <cell r="Y23">
            <v>2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6</v>
          </cell>
          <cell r="AI23">
            <v>43</v>
          </cell>
          <cell r="AJ23">
            <v>14</v>
          </cell>
        </row>
        <row r="24">
          <cell r="C24">
            <v>350710017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35</v>
          </cell>
          <cell r="L24">
            <v>4</v>
          </cell>
          <cell r="M24">
            <v>22</v>
          </cell>
          <cell r="N24">
            <v>0</v>
          </cell>
          <cell r="O24">
            <v>0</v>
          </cell>
          <cell r="P24">
            <v>4</v>
          </cell>
          <cell r="Q24">
            <v>0</v>
          </cell>
          <cell r="R24">
            <v>0</v>
          </cell>
          <cell r="S24">
            <v>0</v>
          </cell>
          <cell r="T24">
            <v>11</v>
          </cell>
          <cell r="U24">
            <v>31</v>
          </cell>
          <cell r="V24">
            <v>49</v>
          </cell>
          <cell r="W24">
            <v>8</v>
          </cell>
          <cell r="X24">
            <v>0</v>
          </cell>
          <cell r="Y24">
            <v>2</v>
          </cell>
          <cell r="Z24">
            <v>0</v>
          </cell>
          <cell r="AA24">
            <v>0</v>
          </cell>
          <cell r="AB24">
            <v>11</v>
          </cell>
          <cell r="AC24">
            <v>24</v>
          </cell>
          <cell r="AD24">
            <v>28</v>
          </cell>
          <cell r="AE24">
            <v>0</v>
          </cell>
          <cell r="AF24">
            <v>5</v>
          </cell>
          <cell r="AG24">
            <v>0</v>
          </cell>
          <cell r="AH24">
            <v>7</v>
          </cell>
          <cell r="AI24">
            <v>241</v>
          </cell>
          <cell r="AJ24">
            <v>49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</v>
          </cell>
          <cell r="K25">
            <v>8</v>
          </cell>
          <cell r="L25">
            <v>20</v>
          </cell>
          <cell r="M25">
            <v>0</v>
          </cell>
          <cell r="N25">
            <v>0</v>
          </cell>
          <cell r="O25">
            <v>0</v>
          </cell>
          <cell r="P25">
            <v>3</v>
          </cell>
          <cell r="Q25">
            <v>0</v>
          </cell>
          <cell r="R25">
            <v>0</v>
          </cell>
          <cell r="S25">
            <v>0</v>
          </cell>
          <cell r="T25">
            <v>15</v>
          </cell>
          <cell r="U25">
            <v>30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</v>
          </cell>
          <cell r="AH25">
            <v>0</v>
          </cell>
          <cell r="AI25">
            <v>84</v>
          </cell>
          <cell r="AJ25">
            <v>30</v>
          </cell>
        </row>
        <row r="26">
          <cell r="C26">
            <v>350710019</v>
          </cell>
          <cell r="D26">
            <v>0</v>
          </cell>
          <cell r="E26">
            <v>43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33</v>
          </cell>
          <cell r="K26">
            <v>29</v>
          </cell>
          <cell r="L26">
            <v>21</v>
          </cell>
          <cell r="M26">
            <v>36</v>
          </cell>
          <cell r="N26">
            <v>0</v>
          </cell>
          <cell r="O26">
            <v>49</v>
          </cell>
          <cell r="P26">
            <v>0</v>
          </cell>
          <cell r="Q26">
            <v>0</v>
          </cell>
          <cell r="R26">
            <v>0</v>
          </cell>
          <cell r="S26">
            <v>11</v>
          </cell>
          <cell r="T26">
            <v>43</v>
          </cell>
          <cell r="U26">
            <v>41</v>
          </cell>
          <cell r="V26">
            <v>24</v>
          </cell>
          <cell r="W26">
            <v>0</v>
          </cell>
          <cell r="X26">
            <v>0</v>
          </cell>
          <cell r="Y26">
            <v>16</v>
          </cell>
          <cell r="Z26">
            <v>21</v>
          </cell>
          <cell r="AA26">
            <v>9</v>
          </cell>
          <cell r="AB26">
            <v>18</v>
          </cell>
          <cell r="AC26">
            <v>27</v>
          </cell>
          <cell r="AD26">
            <v>7</v>
          </cell>
          <cell r="AE26">
            <v>0</v>
          </cell>
          <cell r="AF26">
            <v>31</v>
          </cell>
          <cell r="AG26">
            <v>48</v>
          </cell>
          <cell r="AH26">
            <v>2</v>
          </cell>
          <cell r="AI26">
            <v>509</v>
          </cell>
          <cell r="AJ26">
            <v>49</v>
          </cell>
        </row>
        <row r="27">
          <cell r="C27">
            <v>350710020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7</v>
          </cell>
          <cell r="K27">
            <v>12</v>
          </cell>
          <cell r="L27">
            <v>1</v>
          </cell>
          <cell r="M27">
            <v>7</v>
          </cell>
          <cell r="N27">
            <v>13</v>
          </cell>
          <cell r="O27">
            <v>60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</v>
          </cell>
          <cell r="V27">
            <v>3</v>
          </cell>
          <cell r="W27">
            <v>1</v>
          </cell>
          <cell r="X27">
            <v>0</v>
          </cell>
          <cell r="Y27">
            <v>0</v>
          </cell>
          <cell r="Z27">
            <v>4</v>
          </cell>
          <cell r="AA27">
            <v>0</v>
          </cell>
          <cell r="AB27">
            <v>3</v>
          </cell>
          <cell r="AC27">
            <v>6</v>
          </cell>
          <cell r="AD27">
            <v>9</v>
          </cell>
          <cell r="AE27">
            <v>2</v>
          </cell>
          <cell r="AF27">
            <v>0</v>
          </cell>
          <cell r="AG27">
            <v>3</v>
          </cell>
          <cell r="AH27">
            <v>3</v>
          </cell>
          <cell r="AI27">
            <v>143</v>
          </cell>
          <cell r="AJ27">
            <v>60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19</v>
          </cell>
          <cell r="L28">
            <v>6</v>
          </cell>
          <cell r="M28">
            <v>8</v>
          </cell>
          <cell r="N28">
            <v>0</v>
          </cell>
          <cell r="O28">
            <v>15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5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7</v>
          </cell>
          <cell r="AI28">
            <v>60</v>
          </cell>
          <cell r="AJ28">
            <v>19</v>
          </cell>
        </row>
        <row r="29">
          <cell r="C29">
            <v>350710022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60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4</v>
          </cell>
          <cell r="U29">
            <v>0</v>
          </cell>
          <cell r="V29">
            <v>0</v>
          </cell>
          <cell r="W29">
            <v>0</v>
          </cell>
          <cell r="X29">
            <v>2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2</v>
          </cell>
          <cell r="AD29">
            <v>0</v>
          </cell>
          <cell r="AE29">
            <v>0</v>
          </cell>
          <cell r="AF29">
            <v>0</v>
          </cell>
          <cell r="AG29">
            <v>4</v>
          </cell>
          <cell r="AH29">
            <v>20</v>
          </cell>
          <cell r="AI29">
            <v>92</v>
          </cell>
          <cell r="AJ29">
            <v>60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6</v>
          </cell>
          <cell r="K30">
            <v>12</v>
          </cell>
          <cell r="L30">
            <v>16</v>
          </cell>
          <cell r="M30">
            <v>28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62</v>
          </cell>
          <cell r="AJ30">
            <v>28</v>
          </cell>
        </row>
        <row r="31">
          <cell r="C31">
            <v>350710025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5</v>
          </cell>
          <cell r="K31">
            <v>3</v>
          </cell>
          <cell r="L31">
            <v>2</v>
          </cell>
          <cell r="M31">
            <v>1</v>
          </cell>
          <cell r="N31">
            <v>0</v>
          </cell>
          <cell r="O31">
            <v>0</v>
          </cell>
          <cell r="P31">
            <v>2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2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1</v>
          </cell>
          <cell r="AG31">
            <v>7</v>
          </cell>
          <cell r="AH31">
            <v>3</v>
          </cell>
          <cell r="AI31">
            <v>27</v>
          </cell>
          <cell r="AJ31">
            <v>7</v>
          </cell>
        </row>
        <row r="32">
          <cell r="C32">
            <v>350710026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5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3</v>
          </cell>
          <cell r="T32">
            <v>0</v>
          </cell>
          <cell r="U32">
            <v>5</v>
          </cell>
          <cell r="V32">
            <v>7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4</v>
          </cell>
          <cell r="AD32">
            <v>0</v>
          </cell>
          <cell r="AE32">
            <v>5</v>
          </cell>
          <cell r="AF32">
            <v>0</v>
          </cell>
          <cell r="AG32">
            <v>0</v>
          </cell>
          <cell r="AH32">
            <v>8</v>
          </cell>
          <cell r="AI32">
            <v>37</v>
          </cell>
          <cell r="AJ32">
            <v>8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70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70</v>
          </cell>
          <cell r="AJ33">
            <v>70</v>
          </cell>
        </row>
        <row r="34">
          <cell r="C34">
            <v>350710028</v>
          </cell>
          <cell r="D34">
            <v>0</v>
          </cell>
          <cell r="E34">
            <v>6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27</v>
          </cell>
          <cell r="K34">
            <v>0</v>
          </cell>
          <cell r="L34">
            <v>5</v>
          </cell>
          <cell r="M34">
            <v>2</v>
          </cell>
          <cell r="N34">
            <v>10</v>
          </cell>
          <cell r="O34">
            <v>6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</v>
          </cell>
          <cell r="U34">
            <v>0</v>
          </cell>
          <cell r="V34">
            <v>10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5</v>
          </cell>
          <cell r="AC34">
            <v>3</v>
          </cell>
          <cell r="AD34">
            <v>0</v>
          </cell>
          <cell r="AE34">
            <v>0</v>
          </cell>
          <cell r="AF34">
            <v>0</v>
          </cell>
          <cell r="AG34">
            <v>8</v>
          </cell>
          <cell r="AH34">
            <v>5</v>
          </cell>
          <cell r="AI34">
            <v>88</v>
          </cell>
          <cell r="AJ34">
            <v>27</v>
          </cell>
        </row>
        <row r="35">
          <cell r="C35">
            <v>350710029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</row>
        <row r="36">
          <cell r="C36">
            <v>350710030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</v>
          </cell>
          <cell r="K36">
            <v>18</v>
          </cell>
          <cell r="L36">
            <v>1</v>
          </cell>
          <cell r="M36">
            <v>7</v>
          </cell>
          <cell r="N36">
            <v>0.3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1</v>
          </cell>
          <cell r="V36">
            <v>0.2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0.2</v>
          </cell>
          <cell r="AD36">
            <v>0</v>
          </cell>
          <cell r="AE36">
            <v>0</v>
          </cell>
          <cell r="AF36">
            <v>0.1</v>
          </cell>
          <cell r="AG36">
            <v>2</v>
          </cell>
          <cell r="AH36">
            <v>32</v>
          </cell>
          <cell r="AI36">
            <v>63.8</v>
          </cell>
          <cell r="AJ36">
            <v>32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12</v>
          </cell>
          <cell r="L37">
            <v>0</v>
          </cell>
          <cell r="M37">
            <v>9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8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11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6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46</v>
          </cell>
          <cell r="AJ37">
            <v>12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12</v>
          </cell>
          <cell r="K38">
            <v>0</v>
          </cell>
          <cell r="L38">
            <v>0</v>
          </cell>
          <cell r="M38">
            <v>0.2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0.1</v>
          </cell>
          <cell r="AH38">
            <v>0</v>
          </cell>
          <cell r="AI38">
            <v>12.299999999999999</v>
          </cell>
          <cell r="AJ38">
            <v>12</v>
          </cell>
        </row>
        <row r="39">
          <cell r="C39">
            <v>350710033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4</v>
          </cell>
          <cell r="K39">
            <v>3</v>
          </cell>
          <cell r="L39">
            <v>0</v>
          </cell>
          <cell r="M39">
            <v>32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1</v>
          </cell>
          <cell r="Z39">
            <v>4</v>
          </cell>
          <cell r="AA39">
            <v>0</v>
          </cell>
          <cell r="AB39">
            <v>0</v>
          </cell>
          <cell r="AC39">
            <v>3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9</v>
          </cell>
          <cell r="AI39">
            <v>56</v>
          </cell>
          <cell r="AJ39">
            <v>32</v>
          </cell>
        </row>
        <row r="40">
          <cell r="C40">
            <v>350710034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2</v>
          </cell>
          <cell r="L40">
            <v>0</v>
          </cell>
          <cell r="M40">
            <v>1</v>
          </cell>
          <cell r="N40">
            <v>0</v>
          </cell>
          <cell r="O40">
            <v>0</v>
          </cell>
          <cell r="P40">
            <v>9</v>
          </cell>
          <cell r="Q40">
            <v>0</v>
          </cell>
          <cell r="R40">
            <v>0</v>
          </cell>
          <cell r="S40">
            <v>0</v>
          </cell>
          <cell r="T40">
            <v>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1</v>
          </cell>
          <cell r="AE40">
            <v>0</v>
          </cell>
          <cell r="AF40">
            <v>0</v>
          </cell>
          <cell r="AG40">
            <v>1</v>
          </cell>
          <cell r="AH40">
            <v>0</v>
          </cell>
          <cell r="AI40">
            <v>15</v>
          </cell>
          <cell r="AJ40">
            <v>9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22</v>
          </cell>
          <cell r="Q41">
            <v>26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48</v>
          </cell>
          <cell r="AJ41">
            <v>26</v>
          </cell>
        </row>
        <row r="42">
          <cell r="C42">
            <v>350710036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14</v>
          </cell>
          <cell r="K42">
            <v>6</v>
          </cell>
          <cell r="L42">
            <v>0</v>
          </cell>
          <cell r="M42">
            <v>10</v>
          </cell>
          <cell r="N42">
            <v>0</v>
          </cell>
          <cell r="O42">
            <v>124</v>
          </cell>
          <cell r="P42">
            <v>22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2</v>
          </cell>
          <cell r="V42">
            <v>27</v>
          </cell>
          <cell r="W42">
            <v>1</v>
          </cell>
          <cell r="X42">
            <v>0</v>
          </cell>
          <cell r="Y42">
            <v>1</v>
          </cell>
          <cell r="Z42">
            <v>0</v>
          </cell>
          <cell r="AA42">
            <v>0</v>
          </cell>
          <cell r="AB42">
            <v>0</v>
          </cell>
          <cell r="AC42">
            <v>2</v>
          </cell>
          <cell r="AD42">
            <v>14</v>
          </cell>
          <cell r="AE42">
            <v>1</v>
          </cell>
          <cell r="AF42">
            <v>5</v>
          </cell>
          <cell r="AG42">
            <v>7</v>
          </cell>
          <cell r="AH42">
            <v>0</v>
          </cell>
          <cell r="AI42">
            <v>236</v>
          </cell>
          <cell r="AJ42">
            <v>124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6</v>
          </cell>
          <cell r="L43">
            <v>0</v>
          </cell>
          <cell r="M43">
            <v>5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17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7</v>
          </cell>
          <cell r="AA43">
            <v>0</v>
          </cell>
          <cell r="AB43">
            <v>5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1</v>
          </cell>
          <cell r="AH43">
            <v>0</v>
          </cell>
          <cell r="AI43">
            <v>41</v>
          </cell>
          <cell r="AJ43">
            <v>17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10</v>
          </cell>
          <cell r="L44">
            <v>0</v>
          </cell>
          <cell r="M44">
            <v>8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7</v>
          </cell>
          <cell r="U44">
            <v>16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6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47</v>
          </cell>
          <cell r="AJ44">
            <v>16</v>
          </cell>
        </row>
        <row r="45">
          <cell r="C45">
            <v>350710039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7</v>
          </cell>
          <cell r="K45">
            <v>3</v>
          </cell>
          <cell r="L45">
            <v>0</v>
          </cell>
          <cell r="M45">
            <v>18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2</v>
          </cell>
          <cell r="W45">
            <v>0</v>
          </cell>
          <cell r="X45">
            <v>0</v>
          </cell>
          <cell r="Y45">
            <v>1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8</v>
          </cell>
          <cell r="AI45">
            <v>39</v>
          </cell>
          <cell r="AJ45">
            <v>18</v>
          </cell>
        </row>
        <row r="46">
          <cell r="C46">
            <v>350710040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5</v>
          </cell>
          <cell r="K46">
            <v>9</v>
          </cell>
          <cell r="L46">
            <v>0</v>
          </cell>
          <cell r="M46">
            <v>9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8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13</v>
          </cell>
          <cell r="AI46">
            <v>47</v>
          </cell>
          <cell r="AJ46">
            <v>13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12</v>
          </cell>
          <cell r="K47">
            <v>0</v>
          </cell>
          <cell r="L47">
            <v>18</v>
          </cell>
          <cell r="M47">
            <v>0</v>
          </cell>
          <cell r="N47">
            <v>0</v>
          </cell>
          <cell r="O47">
            <v>16</v>
          </cell>
          <cell r="P47">
            <v>4</v>
          </cell>
          <cell r="Q47">
            <v>0</v>
          </cell>
          <cell r="R47">
            <v>0</v>
          </cell>
          <cell r="S47">
            <v>0</v>
          </cell>
          <cell r="T47">
            <v>7</v>
          </cell>
          <cell r="U47">
            <v>0</v>
          </cell>
          <cell r="V47">
            <v>9</v>
          </cell>
          <cell r="W47">
            <v>0</v>
          </cell>
          <cell r="X47">
            <v>0</v>
          </cell>
          <cell r="Y47">
            <v>4</v>
          </cell>
          <cell r="Z47">
            <v>0</v>
          </cell>
          <cell r="AA47">
            <v>0</v>
          </cell>
          <cell r="AB47">
            <v>0</v>
          </cell>
          <cell r="AC47">
            <v>4</v>
          </cell>
          <cell r="AD47">
            <v>7</v>
          </cell>
          <cell r="AE47">
            <v>0</v>
          </cell>
          <cell r="AF47">
            <v>0</v>
          </cell>
          <cell r="AG47">
            <v>12</v>
          </cell>
          <cell r="AH47">
            <v>6</v>
          </cell>
          <cell r="AI47">
            <v>99</v>
          </cell>
          <cell r="AJ47">
            <v>18</v>
          </cell>
        </row>
        <row r="48">
          <cell r="C48">
            <v>350710042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3</v>
          </cell>
          <cell r="K48">
            <v>6</v>
          </cell>
          <cell r="L48">
            <v>0</v>
          </cell>
          <cell r="M48">
            <v>27</v>
          </cell>
          <cell r="N48">
            <v>0</v>
          </cell>
          <cell r="O48">
            <v>2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12</v>
          </cell>
          <cell r="V48">
            <v>9</v>
          </cell>
          <cell r="W48">
            <v>0</v>
          </cell>
          <cell r="X48">
            <v>0</v>
          </cell>
          <cell r="Y48">
            <v>0</v>
          </cell>
          <cell r="Z48">
            <v>7</v>
          </cell>
          <cell r="AA48">
            <v>0</v>
          </cell>
          <cell r="AB48">
            <v>0</v>
          </cell>
          <cell r="AC48">
            <v>6</v>
          </cell>
          <cell r="AD48">
            <v>0</v>
          </cell>
          <cell r="AE48">
            <v>3</v>
          </cell>
          <cell r="AF48">
            <v>0</v>
          </cell>
          <cell r="AG48">
            <v>0</v>
          </cell>
          <cell r="AH48">
            <v>12</v>
          </cell>
          <cell r="AI48">
            <v>87</v>
          </cell>
          <cell r="AJ48">
            <v>27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8</v>
          </cell>
          <cell r="Q49">
            <v>3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11</v>
          </cell>
          <cell r="AJ49">
            <v>8</v>
          </cell>
        </row>
        <row r="50">
          <cell r="C50">
            <v>350710044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2</v>
          </cell>
          <cell r="K50">
            <v>0</v>
          </cell>
          <cell r="L50">
            <v>0</v>
          </cell>
          <cell r="M50">
            <v>10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8</v>
          </cell>
          <cell r="W50">
            <v>0</v>
          </cell>
          <cell r="X50">
            <v>0</v>
          </cell>
          <cell r="Y50">
            <v>0</v>
          </cell>
          <cell r="Z50">
            <v>3</v>
          </cell>
          <cell r="AA50">
            <v>0</v>
          </cell>
          <cell r="AB50">
            <v>1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24</v>
          </cell>
          <cell r="AJ50">
            <v>10</v>
          </cell>
        </row>
        <row r="51">
          <cell r="C51">
            <v>350710045</v>
          </cell>
          <cell r="D51">
            <v>0</v>
          </cell>
          <cell r="E51">
            <v>0</v>
          </cell>
          <cell r="F51">
            <v>7</v>
          </cell>
          <cell r="G51">
            <v>0</v>
          </cell>
          <cell r="H51">
            <v>0</v>
          </cell>
          <cell r="I51">
            <v>18</v>
          </cell>
          <cell r="J51">
            <v>2</v>
          </cell>
          <cell r="K51">
            <v>0</v>
          </cell>
          <cell r="L51">
            <v>17</v>
          </cell>
          <cell r="M51">
            <v>0</v>
          </cell>
          <cell r="N51">
            <v>98</v>
          </cell>
          <cell r="O51">
            <v>30</v>
          </cell>
          <cell r="P51">
            <v>0</v>
          </cell>
          <cell r="Q51">
            <v>0</v>
          </cell>
          <cell r="R51">
            <v>0</v>
          </cell>
          <cell r="S51">
            <v>1</v>
          </cell>
          <cell r="T51">
            <v>15</v>
          </cell>
          <cell r="U51">
            <v>30</v>
          </cell>
          <cell r="V51">
            <v>4</v>
          </cell>
          <cell r="W51">
            <v>0</v>
          </cell>
          <cell r="X51">
            <v>0</v>
          </cell>
          <cell r="Y51">
            <v>2</v>
          </cell>
          <cell r="Z51">
            <v>1</v>
          </cell>
          <cell r="AA51">
            <v>0</v>
          </cell>
          <cell r="AB51">
            <v>12</v>
          </cell>
          <cell r="AC51">
            <v>34</v>
          </cell>
          <cell r="AD51">
            <v>2</v>
          </cell>
          <cell r="AE51">
            <v>2</v>
          </cell>
          <cell r="AF51">
            <v>4</v>
          </cell>
          <cell r="AG51">
            <v>12</v>
          </cell>
          <cell r="AH51">
            <v>1</v>
          </cell>
          <cell r="AI51">
            <v>292</v>
          </cell>
          <cell r="AJ51">
            <v>98</v>
          </cell>
        </row>
      </sheetData>
      <sheetData sheetId="10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I8">
            <v>0</v>
          </cell>
          <cell r="AJ8">
            <v>0</v>
          </cell>
          <cell r="AK8">
            <v>0</v>
          </cell>
        </row>
        <row r="9">
          <cell r="C9">
            <v>350710002</v>
          </cell>
          <cell r="D9">
            <v>16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7</v>
          </cell>
          <cell r="L9">
            <v>12</v>
          </cell>
          <cell r="M9">
            <v>0</v>
          </cell>
          <cell r="N9">
            <v>4</v>
          </cell>
          <cell r="O9">
            <v>0</v>
          </cell>
          <cell r="P9">
            <v>0</v>
          </cell>
          <cell r="Q9">
            <v>0</v>
          </cell>
          <cell r="R9">
            <v>18</v>
          </cell>
          <cell r="S9">
            <v>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37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3</v>
          </cell>
          <cell r="AI9">
            <v>101</v>
          </cell>
          <cell r="AJ9">
            <v>37</v>
          </cell>
          <cell r="AK9">
            <v>8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14</v>
          </cell>
          <cell r="L11">
            <v>0</v>
          </cell>
          <cell r="M11">
            <v>0</v>
          </cell>
          <cell r="N11">
            <v>7</v>
          </cell>
          <cell r="O11">
            <v>29</v>
          </cell>
          <cell r="P11">
            <v>0</v>
          </cell>
          <cell r="Q11">
            <v>0</v>
          </cell>
          <cell r="R11">
            <v>0</v>
          </cell>
          <cell r="S11">
            <v>21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31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I11">
            <v>102</v>
          </cell>
          <cell r="AJ11">
            <v>31</v>
          </cell>
          <cell r="AK11">
            <v>5</v>
          </cell>
        </row>
        <row r="12">
          <cell r="C12">
            <v>350710005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7</v>
          </cell>
          <cell r="K12">
            <v>0</v>
          </cell>
          <cell r="L12">
            <v>0</v>
          </cell>
          <cell r="M12">
            <v>10</v>
          </cell>
          <cell r="N12">
            <v>5</v>
          </cell>
          <cell r="O12">
            <v>0</v>
          </cell>
          <cell r="P12">
            <v>0</v>
          </cell>
          <cell r="Q12">
            <v>25</v>
          </cell>
          <cell r="R12">
            <v>18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12</v>
          </cell>
          <cell r="X12">
            <v>3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I12">
            <v>80</v>
          </cell>
          <cell r="AJ12">
            <v>25</v>
          </cell>
          <cell r="AK12">
            <v>7</v>
          </cell>
        </row>
        <row r="13">
          <cell r="C13">
            <v>350710006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36</v>
          </cell>
          <cell r="M13">
            <v>0</v>
          </cell>
          <cell r="N13">
            <v>10</v>
          </cell>
          <cell r="O13">
            <v>0</v>
          </cell>
          <cell r="P13">
            <v>0</v>
          </cell>
          <cell r="Q13">
            <v>0</v>
          </cell>
          <cell r="R13">
            <v>52</v>
          </cell>
          <cell r="S13">
            <v>5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39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I13">
            <v>142</v>
          </cell>
          <cell r="AJ13">
            <v>52</v>
          </cell>
          <cell r="AK13">
            <v>5</v>
          </cell>
        </row>
        <row r="14">
          <cell r="C14">
            <v>350710007</v>
          </cell>
          <cell r="D14">
            <v>19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</v>
          </cell>
          <cell r="S14">
            <v>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I14">
            <v>92</v>
          </cell>
          <cell r="AJ14">
            <v>21</v>
          </cell>
          <cell r="AK14">
            <v>5</v>
          </cell>
        </row>
        <row r="15">
          <cell r="C15">
            <v>350710008</v>
          </cell>
          <cell r="D15">
            <v>19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13</v>
          </cell>
          <cell r="J15">
            <v>0</v>
          </cell>
          <cell r="K15">
            <v>0</v>
          </cell>
          <cell r="L15">
            <v>6</v>
          </cell>
          <cell r="M15">
            <v>0</v>
          </cell>
          <cell r="N15">
            <v>19</v>
          </cell>
          <cell r="O15">
            <v>7</v>
          </cell>
          <cell r="P15">
            <v>11</v>
          </cell>
          <cell r="Q15">
            <v>17</v>
          </cell>
          <cell r="R15">
            <v>43</v>
          </cell>
          <cell r="S15">
            <v>39</v>
          </cell>
          <cell r="T15">
            <v>0</v>
          </cell>
          <cell r="U15">
            <v>0</v>
          </cell>
          <cell r="V15">
            <v>5</v>
          </cell>
          <cell r="W15">
            <v>9</v>
          </cell>
          <cell r="X15">
            <v>27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17</v>
          </cell>
          <cell r="AG15">
            <v>35</v>
          </cell>
          <cell r="AI15">
            <v>267</v>
          </cell>
          <cell r="AJ15">
            <v>43</v>
          </cell>
          <cell r="AK15">
            <v>14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</v>
          </cell>
          <cell r="I16">
            <v>0</v>
          </cell>
          <cell r="J16">
            <v>3</v>
          </cell>
          <cell r="K16">
            <v>8</v>
          </cell>
          <cell r="L16">
            <v>12</v>
          </cell>
          <cell r="M16">
            <v>0</v>
          </cell>
          <cell r="N16">
            <v>14</v>
          </cell>
          <cell r="O16">
            <v>0</v>
          </cell>
          <cell r="P16">
            <v>0</v>
          </cell>
          <cell r="Q16">
            <v>0</v>
          </cell>
          <cell r="R16">
            <v>6</v>
          </cell>
          <cell r="S16">
            <v>13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16</v>
          </cell>
          <cell r="Y16">
            <v>5</v>
          </cell>
          <cell r="Z16">
            <v>0</v>
          </cell>
          <cell r="AA16">
            <v>25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I16">
            <v>112</v>
          </cell>
          <cell r="AJ16">
            <v>25</v>
          </cell>
          <cell r="AK16">
            <v>10</v>
          </cell>
        </row>
        <row r="17">
          <cell r="C17">
            <v>350710010</v>
          </cell>
          <cell r="D17">
            <v>4</v>
          </cell>
          <cell r="E17">
            <v>0</v>
          </cell>
          <cell r="F17">
            <v>0</v>
          </cell>
          <cell r="G17">
            <v>2</v>
          </cell>
          <cell r="H17">
            <v>12</v>
          </cell>
          <cell r="I17">
            <v>0</v>
          </cell>
          <cell r="J17">
            <v>2</v>
          </cell>
          <cell r="K17">
            <v>6</v>
          </cell>
          <cell r="L17">
            <v>13</v>
          </cell>
          <cell r="M17">
            <v>0</v>
          </cell>
          <cell r="N17">
            <v>19</v>
          </cell>
          <cell r="O17">
            <v>0</v>
          </cell>
          <cell r="P17">
            <v>0</v>
          </cell>
          <cell r="Q17">
            <v>0</v>
          </cell>
          <cell r="R17">
            <v>5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5</v>
          </cell>
          <cell r="X17">
            <v>20</v>
          </cell>
          <cell r="Y17">
            <v>4</v>
          </cell>
          <cell r="Z17">
            <v>2</v>
          </cell>
          <cell r="AA17">
            <v>1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I17">
            <v>111</v>
          </cell>
          <cell r="AJ17">
            <v>20</v>
          </cell>
          <cell r="AK17">
            <v>14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10</v>
          </cell>
          <cell r="J18">
            <v>15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25</v>
          </cell>
          <cell r="AI18">
            <v>75</v>
          </cell>
          <cell r="AJ18">
            <v>25</v>
          </cell>
          <cell r="AK18">
            <v>4</v>
          </cell>
        </row>
        <row r="19">
          <cell r="C19">
            <v>350710012</v>
          </cell>
          <cell r="D19">
            <v>8</v>
          </cell>
          <cell r="E19">
            <v>0</v>
          </cell>
          <cell r="F19">
            <v>0</v>
          </cell>
          <cell r="G19">
            <v>3</v>
          </cell>
          <cell r="H19">
            <v>0</v>
          </cell>
          <cell r="I19">
            <v>0</v>
          </cell>
          <cell r="J19">
            <v>24</v>
          </cell>
          <cell r="K19">
            <v>5</v>
          </cell>
          <cell r="L19">
            <v>0</v>
          </cell>
          <cell r="M19">
            <v>35</v>
          </cell>
          <cell r="N19">
            <v>0</v>
          </cell>
          <cell r="O19">
            <v>0</v>
          </cell>
          <cell r="P19">
            <v>0</v>
          </cell>
          <cell r="Q19">
            <v>3</v>
          </cell>
          <cell r="R19">
            <v>10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14</v>
          </cell>
          <cell r="X19">
            <v>16</v>
          </cell>
          <cell r="Y19">
            <v>4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5</v>
          </cell>
          <cell r="AG19">
            <v>57</v>
          </cell>
          <cell r="AI19">
            <v>184</v>
          </cell>
          <cell r="AJ19">
            <v>57</v>
          </cell>
          <cell r="AK19">
            <v>12</v>
          </cell>
        </row>
        <row r="20">
          <cell r="C20">
            <v>350710013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38</v>
          </cell>
          <cell r="M20">
            <v>0</v>
          </cell>
          <cell r="N20">
            <v>31</v>
          </cell>
          <cell r="O20">
            <v>0</v>
          </cell>
          <cell r="P20">
            <v>0</v>
          </cell>
          <cell r="Q20">
            <v>0</v>
          </cell>
          <cell r="R20">
            <v>15</v>
          </cell>
          <cell r="S20">
            <v>5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15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I20">
            <v>104</v>
          </cell>
          <cell r="AJ20">
            <v>38</v>
          </cell>
          <cell r="AK20">
            <v>5</v>
          </cell>
        </row>
        <row r="21">
          <cell r="C21">
            <v>350710014</v>
          </cell>
          <cell r="D21">
            <v>0</v>
          </cell>
          <cell r="E21">
            <v>8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15</v>
          </cell>
          <cell r="L21">
            <v>13</v>
          </cell>
          <cell r="M21">
            <v>2</v>
          </cell>
          <cell r="N21">
            <v>29</v>
          </cell>
          <cell r="O21">
            <v>0</v>
          </cell>
          <cell r="P21">
            <v>0</v>
          </cell>
          <cell r="Q21">
            <v>0</v>
          </cell>
          <cell r="R21">
            <v>3</v>
          </cell>
          <cell r="S21">
            <v>29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11</v>
          </cell>
          <cell r="Y21">
            <v>3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I21">
            <v>113</v>
          </cell>
          <cell r="AJ21">
            <v>29</v>
          </cell>
          <cell r="AK21">
            <v>9</v>
          </cell>
        </row>
        <row r="22">
          <cell r="C22">
            <v>350710015</v>
          </cell>
          <cell r="D22">
            <v>0</v>
          </cell>
          <cell r="E22">
            <v>3</v>
          </cell>
          <cell r="F22">
            <v>0</v>
          </cell>
          <cell r="G22">
            <v>3</v>
          </cell>
          <cell r="H22">
            <v>6</v>
          </cell>
          <cell r="I22">
            <v>0</v>
          </cell>
          <cell r="J22">
            <v>5</v>
          </cell>
          <cell r="K22">
            <v>5</v>
          </cell>
          <cell r="L22">
            <v>2</v>
          </cell>
          <cell r="M22">
            <v>9</v>
          </cell>
          <cell r="N22">
            <v>80</v>
          </cell>
          <cell r="O22">
            <v>0</v>
          </cell>
          <cell r="P22">
            <v>0</v>
          </cell>
          <cell r="Q22">
            <v>1</v>
          </cell>
          <cell r="R22">
            <v>4</v>
          </cell>
          <cell r="S22">
            <v>7</v>
          </cell>
          <cell r="T22">
            <v>0</v>
          </cell>
          <cell r="U22">
            <v>0</v>
          </cell>
          <cell r="V22">
            <v>0</v>
          </cell>
          <cell r="W22">
            <v>3</v>
          </cell>
          <cell r="X22">
            <v>4</v>
          </cell>
          <cell r="Y22">
            <v>31</v>
          </cell>
          <cell r="Z22">
            <v>0</v>
          </cell>
          <cell r="AA22">
            <v>0</v>
          </cell>
          <cell r="AB22">
            <v>0</v>
          </cell>
          <cell r="AC22">
            <v>6</v>
          </cell>
          <cell r="AD22">
            <v>4</v>
          </cell>
          <cell r="AE22">
            <v>0</v>
          </cell>
          <cell r="AF22">
            <v>0</v>
          </cell>
          <cell r="AG22">
            <v>4</v>
          </cell>
          <cell r="AI22">
            <v>177</v>
          </cell>
          <cell r="AJ22">
            <v>80</v>
          </cell>
          <cell r="AK22">
            <v>17</v>
          </cell>
        </row>
        <row r="23">
          <cell r="C23">
            <v>350710016</v>
          </cell>
          <cell r="D23">
            <v>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11</v>
          </cell>
          <cell r="M23">
            <v>0</v>
          </cell>
          <cell r="N23">
            <v>0</v>
          </cell>
          <cell r="O23">
            <v>0</v>
          </cell>
          <cell r="P23">
            <v>8</v>
          </cell>
          <cell r="Q23">
            <v>0</v>
          </cell>
          <cell r="R23">
            <v>19</v>
          </cell>
          <cell r="S23">
            <v>15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17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I23">
            <v>79</v>
          </cell>
          <cell r="AJ23">
            <v>19</v>
          </cell>
          <cell r="AK23">
            <v>6</v>
          </cell>
        </row>
        <row r="24">
          <cell r="C24">
            <v>350710017</v>
          </cell>
          <cell r="D24">
            <v>0</v>
          </cell>
          <cell r="E24">
            <v>14</v>
          </cell>
          <cell r="F24">
            <v>0</v>
          </cell>
          <cell r="G24">
            <v>0</v>
          </cell>
          <cell r="H24">
            <v>8</v>
          </cell>
          <cell r="I24">
            <v>0</v>
          </cell>
          <cell r="J24">
            <v>0</v>
          </cell>
          <cell r="K24">
            <v>17</v>
          </cell>
          <cell r="L24">
            <v>29</v>
          </cell>
          <cell r="M24">
            <v>12</v>
          </cell>
          <cell r="N24">
            <v>36</v>
          </cell>
          <cell r="O24">
            <v>30</v>
          </cell>
          <cell r="P24">
            <v>0</v>
          </cell>
          <cell r="Q24">
            <v>13</v>
          </cell>
          <cell r="R24">
            <v>19</v>
          </cell>
          <cell r="S24">
            <v>26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12</v>
          </cell>
          <cell r="Y24">
            <v>9</v>
          </cell>
          <cell r="Z24">
            <v>14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2</v>
          </cell>
          <cell r="AI24">
            <v>241</v>
          </cell>
          <cell r="AJ24">
            <v>36</v>
          </cell>
          <cell r="AK24">
            <v>14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12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15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40</v>
          </cell>
          <cell r="R25">
            <v>5</v>
          </cell>
          <cell r="S25">
            <v>0</v>
          </cell>
          <cell r="T25">
            <v>11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17</v>
          </cell>
          <cell r="Z25">
            <v>22</v>
          </cell>
          <cell r="AA25">
            <v>9</v>
          </cell>
          <cell r="AB25">
            <v>0</v>
          </cell>
          <cell r="AC25">
            <v>0</v>
          </cell>
          <cell r="AD25">
            <v>8</v>
          </cell>
          <cell r="AE25">
            <v>0</v>
          </cell>
          <cell r="AF25">
            <v>0</v>
          </cell>
          <cell r="AG25">
            <v>0</v>
          </cell>
          <cell r="AI25">
            <v>159</v>
          </cell>
          <cell r="AJ25">
            <v>40</v>
          </cell>
          <cell r="AK25">
            <v>10</v>
          </cell>
        </row>
        <row r="26">
          <cell r="C26">
            <v>350710019</v>
          </cell>
          <cell r="D26">
            <v>34</v>
          </cell>
          <cell r="E26">
            <v>0</v>
          </cell>
          <cell r="F26">
            <v>9</v>
          </cell>
          <cell r="G26">
            <v>16</v>
          </cell>
          <cell r="H26">
            <v>0</v>
          </cell>
          <cell r="I26">
            <v>0</v>
          </cell>
          <cell r="J26">
            <v>44</v>
          </cell>
          <cell r="K26">
            <v>0</v>
          </cell>
          <cell r="L26">
            <v>0</v>
          </cell>
          <cell r="M26">
            <v>55</v>
          </cell>
          <cell r="N26">
            <v>21</v>
          </cell>
          <cell r="O26">
            <v>0</v>
          </cell>
          <cell r="P26">
            <v>0</v>
          </cell>
          <cell r="Q26">
            <v>0</v>
          </cell>
          <cell r="R26">
            <v>37</v>
          </cell>
          <cell r="S26">
            <v>14</v>
          </cell>
          <cell r="T26">
            <v>0</v>
          </cell>
          <cell r="U26">
            <v>0</v>
          </cell>
          <cell r="V26">
            <v>0</v>
          </cell>
          <cell r="W26">
            <v>39</v>
          </cell>
          <cell r="X26">
            <v>77</v>
          </cell>
          <cell r="Y26">
            <v>29</v>
          </cell>
          <cell r="Z26">
            <v>36</v>
          </cell>
          <cell r="AA26">
            <v>0</v>
          </cell>
          <cell r="AB26">
            <v>0</v>
          </cell>
          <cell r="AC26">
            <v>27</v>
          </cell>
          <cell r="AD26">
            <v>0</v>
          </cell>
          <cell r="AE26">
            <v>0</v>
          </cell>
          <cell r="AF26">
            <v>11</v>
          </cell>
          <cell r="AG26">
            <v>81</v>
          </cell>
          <cell r="AI26">
            <v>530</v>
          </cell>
          <cell r="AJ26">
            <v>81</v>
          </cell>
          <cell r="AK26">
            <v>15</v>
          </cell>
        </row>
        <row r="27">
          <cell r="C27">
            <v>350710020</v>
          </cell>
          <cell r="D27">
            <v>4</v>
          </cell>
          <cell r="E27">
            <v>5</v>
          </cell>
          <cell r="F27">
            <v>0</v>
          </cell>
          <cell r="G27">
            <v>1</v>
          </cell>
          <cell r="H27">
            <v>2</v>
          </cell>
          <cell r="I27">
            <v>0</v>
          </cell>
          <cell r="J27">
            <v>3</v>
          </cell>
          <cell r="K27">
            <v>20</v>
          </cell>
          <cell r="L27">
            <v>11</v>
          </cell>
          <cell r="M27">
            <v>0</v>
          </cell>
          <cell r="N27">
            <v>32</v>
          </cell>
          <cell r="O27">
            <v>0</v>
          </cell>
          <cell r="P27">
            <v>0</v>
          </cell>
          <cell r="Q27">
            <v>0</v>
          </cell>
          <cell r="R27">
            <v>4</v>
          </cell>
          <cell r="S27">
            <v>10</v>
          </cell>
          <cell r="T27">
            <v>0</v>
          </cell>
          <cell r="U27">
            <v>0</v>
          </cell>
          <cell r="V27">
            <v>0</v>
          </cell>
          <cell r="W27">
            <v>1</v>
          </cell>
          <cell r="X27">
            <v>19</v>
          </cell>
          <cell r="Y27">
            <v>17</v>
          </cell>
          <cell r="Z27">
            <v>3</v>
          </cell>
          <cell r="AA27">
            <v>1</v>
          </cell>
          <cell r="AB27">
            <v>0</v>
          </cell>
          <cell r="AC27">
            <v>1</v>
          </cell>
          <cell r="AD27">
            <v>0</v>
          </cell>
          <cell r="AE27">
            <v>0</v>
          </cell>
          <cell r="AF27">
            <v>0</v>
          </cell>
          <cell r="AG27">
            <v>1</v>
          </cell>
          <cell r="AI27">
            <v>135</v>
          </cell>
          <cell r="AJ27">
            <v>32</v>
          </cell>
          <cell r="AK27">
            <v>17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14</v>
          </cell>
          <cell r="L28">
            <v>47</v>
          </cell>
          <cell r="M28">
            <v>0</v>
          </cell>
          <cell r="N28">
            <v>11</v>
          </cell>
          <cell r="O28">
            <v>16</v>
          </cell>
          <cell r="P28">
            <v>0</v>
          </cell>
          <cell r="Q28">
            <v>0</v>
          </cell>
          <cell r="R28">
            <v>19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61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12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I28">
            <v>180</v>
          </cell>
          <cell r="AJ28">
            <v>61</v>
          </cell>
          <cell r="AK28">
            <v>7</v>
          </cell>
        </row>
        <row r="29">
          <cell r="C29">
            <v>350710022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</v>
          </cell>
          <cell r="L29">
            <v>17</v>
          </cell>
          <cell r="M29">
            <v>0.4</v>
          </cell>
          <cell r="N29">
            <v>46</v>
          </cell>
          <cell r="O29">
            <v>0</v>
          </cell>
          <cell r="P29">
            <v>0</v>
          </cell>
          <cell r="Q29">
            <v>0</v>
          </cell>
          <cell r="R29">
            <v>51</v>
          </cell>
          <cell r="S29">
            <v>43</v>
          </cell>
          <cell r="T29">
            <v>0</v>
          </cell>
          <cell r="U29">
            <v>0</v>
          </cell>
          <cell r="V29">
            <v>0</v>
          </cell>
          <cell r="W29">
            <v>19</v>
          </cell>
          <cell r="X29">
            <v>24</v>
          </cell>
          <cell r="Y29">
            <v>3</v>
          </cell>
          <cell r="Z29">
            <v>0</v>
          </cell>
          <cell r="AA29">
            <v>35</v>
          </cell>
          <cell r="AB29">
            <v>0</v>
          </cell>
          <cell r="AC29">
            <v>3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I29">
            <v>261.39999999999998</v>
          </cell>
          <cell r="AJ29">
            <v>51</v>
          </cell>
          <cell r="AK29">
            <v>11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8</v>
          </cell>
          <cell r="N30">
            <v>14</v>
          </cell>
          <cell r="O30">
            <v>0</v>
          </cell>
          <cell r="P30">
            <v>0</v>
          </cell>
          <cell r="Q30">
            <v>0</v>
          </cell>
          <cell r="R30">
            <v>20</v>
          </cell>
          <cell r="S30">
            <v>27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15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6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I30">
            <v>90</v>
          </cell>
          <cell r="AJ30">
            <v>27</v>
          </cell>
          <cell r="AK30">
            <v>6</v>
          </cell>
        </row>
        <row r="31">
          <cell r="C31">
            <v>350710025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40</v>
          </cell>
          <cell r="M31">
            <v>0</v>
          </cell>
          <cell r="N31">
            <v>31</v>
          </cell>
          <cell r="O31">
            <v>1</v>
          </cell>
          <cell r="P31">
            <v>0</v>
          </cell>
          <cell r="Q31">
            <v>0</v>
          </cell>
          <cell r="R31">
            <v>33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</v>
          </cell>
          <cell r="X31">
            <v>19</v>
          </cell>
          <cell r="Y31">
            <v>3</v>
          </cell>
          <cell r="Z31">
            <v>0</v>
          </cell>
          <cell r="AA31">
            <v>2</v>
          </cell>
          <cell r="AB31">
            <v>1</v>
          </cell>
          <cell r="AC31">
            <v>8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I31">
            <v>143</v>
          </cell>
          <cell r="AJ31">
            <v>40</v>
          </cell>
          <cell r="AK31">
            <v>10</v>
          </cell>
        </row>
        <row r="32">
          <cell r="C32">
            <v>350710026</v>
          </cell>
          <cell r="D32">
            <v>11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11</v>
          </cell>
          <cell r="K32">
            <v>0</v>
          </cell>
          <cell r="L32">
            <v>13</v>
          </cell>
          <cell r="M32">
            <v>6</v>
          </cell>
          <cell r="N32">
            <v>15</v>
          </cell>
          <cell r="O32">
            <v>0</v>
          </cell>
          <cell r="P32">
            <v>25</v>
          </cell>
          <cell r="Q32">
            <v>0</v>
          </cell>
          <cell r="R32">
            <v>5</v>
          </cell>
          <cell r="S32">
            <v>31</v>
          </cell>
          <cell r="T32">
            <v>0</v>
          </cell>
          <cell r="U32">
            <v>0</v>
          </cell>
          <cell r="V32">
            <v>0</v>
          </cell>
          <cell r="W32">
            <v>7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I32">
            <v>124</v>
          </cell>
          <cell r="AJ32">
            <v>31</v>
          </cell>
          <cell r="AK32">
            <v>9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I33">
            <v>0</v>
          </cell>
          <cell r="AJ33">
            <v>0</v>
          </cell>
          <cell r="AK33">
            <v>0</v>
          </cell>
        </row>
        <row r="34">
          <cell r="C34">
            <v>350710028</v>
          </cell>
          <cell r="D34">
            <v>5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8</v>
          </cell>
          <cell r="J34">
            <v>31</v>
          </cell>
          <cell r="K34">
            <v>17</v>
          </cell>
          <cell r="L34">
            <v>45</v>
          </cell>
          <cell r="M34">
            <v>14</v>
          </cell>
          <cell r="N34">
            <v>7</v>
          </cell>
          <cell r="O34">
            <v>0</v>
          </cell>
          <cell r="P34">
            <v>0</v>
          </cell>
          <cell r="Q34">
            <v>14</v>
          </cell>
          <cell r="R34">
            <v>56</v>
          </cell>
          <cell r="S34">
            <v>0</v>
          </cell>
          <cell r="T34">
            <v>0</v>
          </cell>
          <cell r="U34">
            <v>0</v>
          </cell>
          <cell r="V34">
            <v>3</v>
          </cell>
          <cell r="W34">
            <v>5</v>
          </cell>
          <cell r="X34">
            <v>21</v>
          </cell>
          <cell r="Y34">
            <v>9</v>
          </cell>
          <cell r="Z34">
            <v>0</v>
          </cell>
          <cell r="AA34">
            <v>0</v>
          </cell>
          <cell r="AB34">
            <v>0</v>
          </cell>
          <cell r="AC34">
            <v>3</v>
          </cell>
          <cell r="AD34">
            <v>0</v>
          </cell>
          <cell r="AE34">
            <v>0</v>
          </cell>
          <cell r="AF34">
            <v>0</v>
          </cell>
          <cell r="AG34">
            <v>43</v>
          </cell>
          <cell r="AI34">
            <v>281</v>
          </cell>
          <cell r="AJ34">
            <v>56</v>
          </cell>
          <cell r="AK34">
            <v>15</v>
          </cell>
        </row>
        <row r="35">
          <cell r="C35">
            <v>350710029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13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7</v>
          </cell>
          <cell r="AI35">
            <v>20</v>
          </cell>
          <cell r="AJ35">
            <v>13</v>
          </cell>
          <cell r="AK35">
            <v>2</v>
          </cell>
        </row>
        <row r="36">
          <cell r="C36">
            <v>350710030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</v>
          </cell>
          <cell r="L36">
            <v>39</v>
          </cell>
          <cell r="M36">
            <v>0</v>
          </cell>
          <cell r="N36">
            <v>47</v>
          </cell>
          <cell r="O36">
            <v>1</v>
          </cell>
          <cell r="P36">
            <v>0</v>
          </cell>
          <cell r="Q36">
            <v>0</v>
          </cell>
          <cell r="R36">
            <v>35</v>
          </cell>
          <cell r="S36">
            <v>7</v>
          </cell>
          <cell r="T36">
            <v>0</v>
          </cell>
          <cell r="U36">
            <v>0</v>
          </cell>
          <cell r="V36">
            <v>0</v>
          </cell>
          <cell r="W36">
            <v>6</v>
          </cell>
          <cell r="X36">
            <v>45</v>
          </cell>
          <cell r="Y36">
            <v>0.2</v>
          </cell>
          <cell r="Z36">
            <v>0</v>
          </cell>
          <cell r="AA36">
            <v>0</v>
          </cell>
          <cell r="AB36">
            <v>0</v>
          </cell>
          <cell r="AC36">
            <v>3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I36">
            <v>184.2</v>
          </cell>
          <cell r="AJ36">
            <v>47</v>
          </cell>
          <cell r="AK36">
            <v>10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29</v>
          </cell>
          <cell r="M37">
            <v>0</v>
          </cell>
          <cell r="N37">
            <v>13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27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6</v>
          </cell>
          <cell r="AI37">
            <v>85</v>
          </cell>
          <cell r="AJ37">
            <v>29</v>
          </cell>
          <cell r="AK37">
            <v>5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0.2</v>
          </cell>
          <cell r="K38">
            <v>0.4</v>
          </cell>
          <cell r="L38">
            <v>0.6</v>
          </cell>
          <cell r="M38">
            <v>0.3</v>
          </cell>
          <cell r="N38">
            <v>21</v>
          </cell>
          <cell r="O38">
            <v>6</v>
          </cell>
          <cell r="P38">
            <v>0</v>
          </cell>
          <cell r="Q38">
            <v>0</v>
          </cell>
          <cell r="R38">
            <v>0.7</v>
          </cell>
          <cell r="S38">
            <v>0.6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25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15</v>
          </cell>
          <cell r="AI38">
            <v>69.8</v>
          </cell>
          <cell r="AJ38">
            <v>25</v>
          </cell>
          <cell r="AK38">
            <v>10</v>
          </cell>
        </row>
        <row r="39">
          <cell r="C39">
            <v>350710033</v>
          </cell>
          <cell r="D39">
            <v>14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45</v>
          </cell>
          <cell r="M39">
            <v>0</v>
          </cell>
          <cell r="N39">
            <v>5</v>
          </cell>
          <cell r="O39">
            <v>0</v>
          </cell>
          <cell r="P39">
            <v>1</v>
          </cell>
          <cell r="Q39">
            <v>0</v>
          </cell>
          <cell r="R39">
            <v>0</v>
          </cell>
          <cell r="S39">
            <v>41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25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I39">
            <v>131</v>
          </cell>
          <cell r="AJ39">
            <v>45</v>
          </cell>
          <cell r="AK39">
            <v>6</v>
          </cell>
        </row>
        <row r="40">
          <cell r="C40">
            <v>350710034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</v>
          </cell>
          <cell r="L40">
            <v>0</v>
          </cell>
          <cell r="M40">
            <v>0</v>
          </cell>
          <cell r="N40">
            <v>6</v>
          </cell>
          <cell r="O40">
            <v>0</v>
          </cell>
          <cell r="P40">
            <v>0</v>
          </cell>
          <cell r="Q40">
            <v>0</v>
          </cell>
          <cell r="R40">
            <v>6</v>
          </cell>
          <cell r="S40">
            <v>2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1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I40">
            <v>16</v>
          </cell>
          <cell r="AJ40">
            <v>6</v>
          </cell>
          <cell r="AK40">
            <v>5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I41">
            <v>0</v>
          </cell>
          <cell r="AJ41">
            <v>0</v>
          </cell>
          <cell r="AK41">
            <v>0</v>
          </cell>
        </row>
        <row r="42">
          <cell r="C42">
            <v>350710036</v>
          </cell>
          <cell r="D42">
            <v>32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7</v>
          </cell>
          <cell r="L42">
            <v>12</v>
          </cell>
          <cell r="M42">
            <v>0</v>
          </cell>
          <cell r="N42">
            <v>4</v>
          </cell>
          <cell r="O42">
            <v>0</v>
          </cell>
          <cell r="P42">
            <v>0</v>
          </cell>
          <cell r="Q42">
            <v>0</v>
          </cell>
          <cell r="R42">
            <v>18</v>
          </cell>
          <cell r="S42">
            <v>4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37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3</v>
          </cell>
          <cell r="AI42">
            <v>117</v>
          </cell>
          <cell r="AJ42">
            <v>37</v>
          </cell>
          <cell r="AK42">
            <v>8</v>
          </cell>
        </row>
        <row r="43">
          <cell r="C43">
            <v>350710037</v>
          </cell>
          <cell r="D43">
            <v>5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3</v>
          </cell>
          <cell r="M43">
            <v>10</v>
          </cell>
          <cell r="N43">
            <v>10</v>
          </cell>
          <cell r="O43">
            <v>15</v>
          </cell>
          <cell r="P43">
            <v>0</v>
          </cell>
          <cell r="Q43">
            <v>0</v>
          </cell>
          <cell r="R43">
            <v>0</v>
          </cell>
          <cell r="S43">
            <v>20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20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I43">
            <v>84</v>
          </cell>
          <cell r="AJ43">
            <v>20</v>
          </cell>
          <cell r="AK43">
            <v>8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5</v>
          </cell>
          <cell r="M44">
            <v>0</v>
          </cell>
          <cell r="N44">
            <v>8</v>
          </cell>
          <cell r="O44">
            <v>0</v>
          </cell>
          <cell r="P44">
            <v>0</v>
          </cell>
          <cell r="Q44">
            <v>16</v>
          </cell>
          <cell r="R44">
            <v>22</v>
          </cell>
          <cell r="S44">
            <v>0</v>
          </cell>
          <cell r="T44">
            <v>0</v>
          </cell>
          <cell r="U44">
            <v>10</v>
          </cell>
          <cell r="V44">
            <v>0</v>
          </cell>
          <cell r="W44">
            <v>16</v>
          </cell>
          <cell r="X44">
            <v>11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I44">
            <v>88</v>
          </cell>
          <cell r="AJ44">
            <v>22</v>
          </cell>
          <cell r="AK44">
            <v>7</v>
          </cell>
        </row>
        <row r="45">
          <cell r="C45">
            <v>350710039</v>
          </cell>
          <cell r="D45">
            <v>13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</v>
          </cell>
          <cell r="M45">
            <v>3</v>
          </cell>
          <cell r="N45">
            <v>6</v>
          </cell>
          <cell r="O45">
            <v>0</v>
          </cell>
          <cell r="P45">
            <v>10</v>
          </cell>
          <cell r="Q45">
            <v>0</v>
          </cell>
          <cell r="R45">
            <v>17</v>
          </cell>
          <cell r="S45">
            <v>31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22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I45">
            <v>110</v>
          </cell>
          <cell r="AJ45">
            <v>31</v>
          </cell>
          <cell r="AK45">
            <v>8</v>
          </cell>
        </row>
        <row r="46">
          <cell r="C46">
            <v>350710040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14</v>
          </cell>
          <cell r="I46">
            <v>0</v>
          </cell>
          <cell r="J46">
            <v>0</v>
          </cell>
          <cell r="K46">
            <v>0</v>
          </cell>
          <cell r="L46">
            <v>25</v>
          </cell>
          <cell r="M46">
            <v>33</v>
          </cell>
          <cell r="N46">
            <v>18</v>
          </cell>
          <cell r="O46">
            <v>0</v>
          </cell>
          <cell r="P46">
            <v>0</v>
          </cell>
          <cell r="Q46">
            <v>0</v>
          </cell>
          <cell r="R46">
            <v>10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1</v>
          </cell>
          <cell r="X46">
            <v>15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I46">
            <v>116</v>
          </cell>
          <cell r="AJ46">
            <v>33</v>
          </cell>
          <cell r="AK46">
            <v>7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13</v>
          </cell>
          <cell r="K47">
            <v>10</v>
          </cell>
          <cell r="L47">
            <v>3</v>
          </cell>
          <cell r="M47">
            <v>0</v>
          </cell>
          <cell r="N47">
            <v>0</v>
          </cell>
          <cell r="O47">
            <v>0</v>
          </cell>
          <cell r="P47">
            <v>3</v>
          </cell>
          <cell r="Q47">
            <v>10</v>
          </cell>
          <cell r="R47">
            <v>23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10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4</v>
          </cell>
          <cell r="AC47">
            <v>4</v>
          </cell>
          <cell r="AD47">
            <v>0</v>
          </cell>
          <cell r="AE47">
            <v>0</v>
          </cell>
          <cell r="AF47">
            <v>0</v>
          </cell>
          <cell r="AG47">
            <v>5</v>
          </cell>
          <cell r="AI47">
            <v>85</v>
          </cell>
          <cell r="AJ47">
            <v>23</v>
          </cell>
          <cell r="AK47">
            <v>10</v>
          </cell>
        </row>
        <row r="48">
          <cell r="C48">
            <v>350710042</v>
          </cell>
          <cell r="D48">
            <v>10</v>
          </cell>
          <cell r="E48">
            <v>1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</v>
          </cell>
          <cell r="L48">
            <v>20</v>
          </cell>
          <cell r="M48">
            <v>0</v>
          </cell>
          <cell r="N48">
            <v>5</v>
          </cell>
          <cell r="O48">
            <v>0</v>
          </cell>
          <cell r="P48">
            <v>0</v>
          </cell>
          <cell r="Q48">
            <v>1</v>
          </cell>
          <cell r="R48">
            <v>16</v>
          </cell>
          <cell r="S48">
            <v>31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21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</v>
          </cell>
          <cell r="AI48">
            <v>110</v>
          </cell>
          <cell r="AJ48">
            <v>31</v>
          </cell>
          <cell r="AK48">
            <v>10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I49">
            <v>0</v>
          </cell>
          <cell r="AJ49">
            <v>0</v>
          </cell>
          <cell r="AK49">
            <v>0</v>
          </cell>
        </row>
        <row r="50">
          <cell r="C50">
            <v>350710044</v>
          </cell>
          <cell r="D50">
            <v>15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12</v>
          </cell>
          <cell r="J50">
            <v>0</v>
          </cell>
          <cell r="K50">
            <v>5</v>
          </cell>
          <cell r="L50">
            <v>10</v>
          </cell>
          <cell r="M50">
            <v>0</v>
          </cell>
          <cell r="N50">
            <v>14</v>
          </cell>
          <cell r="O50">
            <v>3</v>
          </cell>
          <cell r="P50">
            <v>9</v>
          </cell>
          <cell r="Q50">
            <v>12</v>
          </cell>
          <cell r="R50">
            <v>20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27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4</v>
          </cell>
          <cell r="AI50">
            <v>131</v>
          </cell>
          <cell r="AJ50">
            <v>27</v>
          </cell>
          <cell r="AK50">
            <v>11</v>
          </cell>
        </row>
        <row r="51">
          <cell r="C51">
            <v>350710045</v>
          </cell>
          <cell r="D51">
            <v>0</v>
          </cell>
          <cell r="E51">
            <v>0</v>
          </cell>
          <cell r="F51">
            <v>0</v>
          </cell>
          <cell r="G51">
            <v>3</v>
          </cell>
          <cell r="H51">
            <v>0</v>
          </cell>
          <cell r="I51">
            <v>8</v>
          </cell>
          <cell r="J51">
            <v>8</v>
          </cell>
          <cell r="K51">
            <v>4</v>
          </cell>
          <cell r="L51">
            <v>2</v>
          </cell>
          <cell r="M51">
            <v>23</v>
          </cell>
          <cell r="N51">
            <v>2</v>
          </cell>
          <cell r="O51">
            <v>16</v>
          </cell>
          <cell r="P51">
            <v>0</v>
          </cell>
          <cell r="Q51">
            <v>19</v>
          </cell>
          <cell r="R51">
            <v>45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16.5</v>
          </cell>
          <cell r="X51">
            <v>7</v>
          </cell>
          <cell r="Y51">
            <v>0</v>
          </cell>
          <cell r="Z51">
            <v>0</v>
          </cell>
          <cell r="AA51">
            <v>0</v>
          </cell>
          <cell r="AB51">
            <v>4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I51">
            <v>158.5</v>
          </cell>
          <cell r="AJ51">
            <v>45</v>
          </cell>
          <cell r="AK51">
            <v>14</v>
          </cell>
        </row>
      </sheetData>
      <sheetData sheetId="11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5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6</v>
          </cell>
          <cell r="U8">
            <v>0</v>
          </cell>
          <cell r="V8">
            <v>0</v>
          </cell>
          <cell r="W8">
            <v>0</v>
          </cell>
          <cell r="X8">
            <v>3</v>
          </cell>
          <cell r="Y8">
            <v>0</v>
          </cell>
          <cell r="Z8">
            <v>0</v>
          </cell>
          <cell r="AA8">
            <v>0</v>
          </cell>
          <cell r="AB8">
            <v>7</v>
          </cell>
          <cell r="AC8">
            <v>4</v>
          </cell>
          <cell r="AD8">
            <v>16</v>
          </cell>
          <cell r="AE8">
            <v>0</v>
          </cell>
          <cell r="AF8">
            <v>2</v>
          </cell>
          <cell r="AG8">
            <v>0</v>
          </cell>
          <cell r="AH8">
            <v>0</v>
          </cell>
          <cell r="AI8">
            <v>48</v>
          </cell>
          <cell r="AJ8">
            <v>16</v>
          </cell>
          <cell r="AK8">
            <v>8</v>
          </cell>
        </row>
        <row r="9">
          <cell r="C9">
            <v>350710002</v>
          </cell>
          <cell r="D9">
            <v>16</v>
          </cell>
          <cell r="E9">
            <v>32</v>
          </cell>
          <cell r="F9">
            <v>18</v>
          </cell>
          <cell r="G9">
            <v>7</v>
          </cell>
          <cell r="H9">
            <v>3</v>
          </cell>
          <cell r="I9">
            <v>0</v>
          </cell>
          <cell r="J9">
            <v>12</v>
          </cell>
          <cell r="K9">
            <v>29</v>
          </cell>
          <cell r="L9">
            <v>2</v>
          </cell>
          <cell r="M9">
            <v>1</v>
          </cell>
          <cell r="N9">
            <v>0</v>
          </cell>
          <cell r="O9">
            <v>3</v>
          </cell>
          <cell r="P9">
            <v>8</v>
          </cell>
          <cell r="Q9">
            <v>13</v>
          </cell>
          <cell r="R9">
            <v>16</v>
          </cell>
          <cell r="S9">
            <v>6</v>
          </cell>
          <cell r="T9">
            <v>29</v>
          </cell>
          <cell r="U9">
            <v>93</v>
          </cell>
          <cell r="V9">
            <v>0</v>
          </cell>
          <cell r="W9">
            <v>0</v>
          </cell>
          <cell r="X9">
            <v>5</v>
          </cell>
          <cell r="Y9">
            <v>3</v>
          </cell>
          <cell r="Z9">
            <v>0</v>
          </cell>
          <cell r="AA9">
            <v>39</v>
          </cell>
          <cell r="AB9">
            <v>35</v>
          </cell>
          <cell r="AC9">
            <v>13</v>
          </cell>
          <cell r="AD9">
            <v>2</v>
          </cell>
          <cell r="AE9">
            <v>4</v>
          </cell>
          <cell r="AF9">
            <v>0</v>
          </cell>
          <cell r="AG9">
            <v>0</v>
          </cell>
          <cell r="AH9">
            <v>0</v>
          </cell>
          <cell r="AI9">
            <v>389</v>
          </cell>
          <cell r="AJ9">
            <v>93</v>
          </cell>
          <cell r="AK9">
            <v>23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</v>
          </cell>
          <cell r="U10">
            <v>0</v>
          </cell>
          <cell r="V10">
            <v>4</v>
          </cell>
          <cell r="W10">
            <v>0</v>
          </cell>
          <cell r="X10">
            <v>5</v>
          </cell>
          <cell r="Y10">
            <v>1</v>
          </cell>
          <cell r="Z10">
            <v>0</v>
          </cell>
          <cell r="AA10">
            <v>0</v>
          </cell>
          <cell r="AB10">
            <v>11</v>
          </cell>
          <cell r="AC10">
            <v>1</v>
          </cell>
          <cell r="AD10">
            <v>8</v>
          </cell>
          <cell r="AE10">
            <v>10</v>
          </cell>
          <cell r="AF10">
            <v>0</v>
          </cell>
          <cell r="AG10">
            <v>0</v>
          </cell>
          <cell r="AH10">
            <v>0</v>
          </cell>
          <cell r="AI10">
            <v>62</v>
          </cell>
          <cell r="AJ10">
            <v>20</v>
          </cell>
          <cell r="AK10">
            <v>9</v>
          </cell>
        </row>
        <row r="11">
          <cell r="C11">
            <v>350710004</v>
          </cell>
          <cell r="D11">
            <v>13</v>
          </cell>
          <cell r="E11">
            <v>17</v>
          </cell>
          <cell r="F11">
            <v>7</v>
          </cell>
          <cell r="G11">
            <v>6</v>
          </cell>
          <cell r="H11">
            <v>0</v>
          </cell>
          <cell r="I11">
            <v>12</v>
          </cell>
          <cell r="J11">
            <v>0</v>
          </cell>
          <cell r="K11">
            <v>4</v>
          </cell>
          <cell r="L11">
            <v>10</v>
          </cell>
          <cell r="M11">
            <v>51</v>
          </cell>
          <cell r="N11">
            <v>0</v>
          </cell>
          <cell r="O11">
            <v>4</v>
          </cell>
          <cell r="P11">
            <v>0</v>
          </cell>
          <cell r="Q11">
            <v>27</v>
          </cell>
          <cell r="R11">
            <v>0</v>
          </cell>
          <cell r="S11">
            <v>2</v>
          </cell>
          <cell r="T11">
            <v>11</v>
          </cell>
          <cell r="U11">
            <v>47</v>
          </cell>
          <cell r="V11">
            <v>0</v>
          </cell>
          <cell r="W11">
            <v>0</v>
          </cell>
          <cell r="X11">
            <v>0</v>
          </cell>
          <cell r="Y11">
            <v>9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220</v>
          </cell>
          <cell r="AJ11">
            <v>51</v>
          </cell>
          <cell r="AK11">
            <v>14</v>
          </cell>
        </row>
        <row r="12">
          <cell r="C12">
            <v>350710005</v>
          </cell>
          <cell r="D12">
            <v>53</v>
          </cell>
          <cell r="E12">
            <v>48</v>
          </cell>
          <cell r="F12">
            <v>18</v>
          </cell>
          <cell r="G12">
            <v>5</v>
          </cell>
          <cell r="H12">
            <v>0</v>
          </cell>
          <cell r="I12">
            <v>9</v>
          </cell>
          <cell r="J12">
            <v>28</v>
          </cell>
          <cell r="K12">
            <v>9</v>
          </cell>
          <cell r="L12">
            <v>0</v>
          </cell>
          <cell r="M12">
            <v>0</v>
          </cell>
          <cell r="N12">
            <v>7</v>
          </cell>
          <cell r="O12">
            <v>3</v>
          </cell>
          <cell r="P12">
            <v>21</v>
          </cell>
          <cell r="Q12">
            <v>16</v>
          </cell>
          <cell r="R12">
            <v>12</v>
          </cell>
          <cell r="S12">
            <v>137</v>
          </cell>
          <cell r="T12">
            <v>7</v>
          </cell>
          <cell r="U12">
            <v>0</v>
          </cell>
          <cell r="V12">
            <v>0</v>
          </cell>
          <cell r="W12">
            <v>45</v>
          </cell>
          <cell r="X12">
            <v>7</v>
          </cell>
          <cell r="Y12">
            <v>0</v>
          </cell>
          <cell r="Z12">
            <v>0</v>
          </cell>
          <cell r="AA12">
            <v>0</v>
          </cell>
          <cell r="AB12">
            <v>14</v>
          </cell>
          <cell r="AC12">
            <v>0</v>
          </cell>
          <cell r="AD12">
            <v>12</v>
          </cell>
          <cell r="AE12">
            <v>0</v>
          </cell>
          <cell r="AF12">
            <v>0</v>
          </cell>
          <cell r="AG12">
            <v>0</v>
          </cell>
          <cell r="AH12">
            <v>22</v>
          </cell>
          <cell r="AI12">
            <v>473</v>
          </cell>
          <cell r="AJ12">
            <v>137</v>
          </cell>
          <cell r="AK12">
            <v>19</v>
          </cell>
        </row>
        <row r="13">
          <cell r="C13">
            <v>350710006</v>
          </cell>
          <cell r="D13">
            <v>0</v>
          </cell>
          <cell r="E13">
            <v>45</v>
          </cell>
          <cell r="F13">
            <v>25</v>
          </cell>
          <cell r="G13">
            <v>38</v>
          </cell>
          <cell r="H13">
            <v>6</v>
          </cell>
          <cell r="I13">
            <v>7</v>
          </cell>
          <cell r="J13">
            <v>17</v>
          </cell>
          <cell r="K13">
            <v>39</v>
          </cell>
          <cell r="L13">
            <v>20</v>
          </cell>
          <cell r="M13">
            <v>40</v>
          </cell>
          <cell r="N13">
            <v>14</v>
          </cell>
          <cell r="O13">
            <v>5</v>
          </cell>
          <cell r="P13">
            <v>7</v>
          </cell>
          <cell r="Q13">
            <v>8</v>
          </cell>
          <cell r="R13">
            <v>7</v>
          </cell>
          <cell r="S13">
            <v>15</v>
          </cell>
          <cell r="T13">
            <v>39</v>
          </cell>
          <cell r="U13">
            <v>73</v>
          </cell>
          <cell r="V13">
            <v>7</v>
          </cell>
          <cell r="W13">
            <v>5</v>
          </cell>
          <cell r="X13">
            <v>5</v>
          </cell>
          <cell r="Y13">
            <v>5</v>
          </cell>
          <cell r="Z13">
            <v>6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433</v>
          </cell>
          <cell r="AJ13">
            <v>73</v>
          </cell>
          <cell r="AK13">
            <v>22</v>
          </cell>
        </row>
        <row r="14">
          <cell r="C14">
            <v>350710007</v>
          </cell>
          <cell r="D14">
            <v>0</v>
          </cell>
          <cell r="E14">
            <v>35</v>
          </cell>
          <cell r="F14">
            <v>7</v>
          </cell>
          <cell r="G14">
            <v>3</v>
          </cell>
          <cell r="H14">
            <v>0</v>
          </cell>
          <cell r="I14">
            <v>0</v>
          </cell>
          <cell r="J14">
            <v>5</v>
          </cell>
          <cell r="K14">
            <v>79</v>
          </cell>
          <cell r="L14">
            <v>10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43</v>
          </cell>
          <cell r="R14">
            <v>8</v>
          </cell>
          <cell r="S14">
            <v>4</v>
          </cell>
          <cell r="T14">
            <v>71</v>
          </cell>
          <cell r="U14">
            <v>42</v>
          </cell>
          <cell r="V14">
            <v>0</v>
          </cell>
          <cell r="W14">
            <v>0</v>
          </cell>
          <cell r="X14">
            <v>26</v>
          </cell>
          <cell r="Y14">
            <v>5</v>
          </cell>
          <cell r="Z14">
            <v>0</v>
          </cell>
          <cell r="AA14">
            <v>0</v>
          </cell>
          <cell r="AB14">
            <v>0</v>
          </cell>
          <cell r="AC14">
            <v>4</v>
          </cell>
          <cell r="AD14">
            <v>3</v>
          </cell>
          <cell r="AE14">
            <v>26</v>
          </cell>
          <cell r="AF14">
            <v>0</v>
          </cell>
          <cell r="AG14">
            <v>0</v>
          </cell>
          <cell r="AH14">
            <v>0</v>
          </cell>
          <cell r="AI14">
            <v>375</v>
          </cell>
          <cell r="AJ14">
            <v>79</v>
          </cell>
          <cell r="AK14">
            <v>17</v>
          </cell>
        </row>
        <row r="15">
          <cell r="C15">
            <v>350710008</v>
          </cell>
          <cell r="D15">
            <v>27</v>
          </cell>
          <cell r="E15">
            <v>13</v>
          </cell>
          <cell r="F15">
            <v>11</v>
          </cell>
          <cell r="G15">
            <v>27</v>
          </cell>
          <cell r="H15">
            <v>0</v>
          </cell>
          <cell r="I15">
            <v>0</v>
          </cell>
          <cell r="J15">
            <v>5</v>
          </cell>
          <cell r="K15">
            <v>37</v>
          </cell>
          <cell r="L15">
            <v>0</v>
          </cell>
          <cell r="M15">
            <v>5</v>
          </cell>
          <cell r="N15">
            <v>0</v>
          </cell>
          <cell r="O15">
            <v>0</v>
          </cell>
          <cell r="P15">
            <v>0</v>
          </cell>
          <cell r="Q15">
            <v>16</v>
          </cell>
          <cell r="R15">
            <v>0</v>
          </cell>
          <cell r="S15">
            <v>19</v>
          </cell>
          <cell r="T15">
            <v>31</v>
          </cell>
          <cell r="U15">
            <v>51</v>
          </cell>
          <cell r="V15">
            <v>12</v>
          </cell>
          <cell r="W15">
            <v>0</v>
          </cell>
          <cell r="X15">
            <v>19</v>
          </cell>
          <cell r="Y15">
            <v>0</v>
          </cell>
          <cell r="Z15">
            <v>0</v>
          </cell>
          <cell r="AA15">
            <v>15</v>
          </cell>
          <cell r="AB15">
            <v>23</v>
          </cell>
          <cell r="AC15">
            <v>15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326</v>
          </cell>
          <cell r="AJ15">
            <v>51</v>
          </cell>
          <cell r="AK15">
            <v>16</v>
          </cell>
        </row>
        <row r="16">
          <cell r="C16">
            <v>350710009</v>
          </cell>
          <cell r="D16">
            <v>9</v>
          </cell>
          <cell r="E16">
            <v>32</v>
          </cell>
          <cell r="F16">
            <v>14</v>
          </cell>
          <cell r="G16">
            <v>37</v>
          </cell>
          <cell r="H16">
            <v>0</v>
          </cell>
          <cell r="I16">
            <v>0</v>
          </cell>
          <cell r="J16">
            <v>6</v>
          </cell>
          <cell r="K16">
            <v>44</v>
          </cell>
          <cell r="L16">
            <v>5</v>
          </cell>
          <cell r="M16">
            <v>8</v>
          </cell>
          <cell r="N16">
            <v>19</v>
          </cell>
          <cell r="O16">
            <v>0</v>
          </cell>
          <cell r="P16">
            <v>0</v>
          </cell>
          <cell r="Q16">
            <v>32</v>
          </cell>
          <cell r="R16">
            <v>7</v>
          </cell>
          <cell r="S16">
            <v>30</v>
          </cell>
          <cell r="T16">
            <v>40</v>
          </cell>
          <cell r="U16">
            <v>50</v>
          </cell>
          <cell r="V16">
            <v>0</v>
          </cell>
          <cell r="W16">
            <v>0</v>
          </cell>
          <cell r="X16">
            <v>5</v>
          </cell>
          <cell r="Y16">
            <v>0</v>
          </cell>
          <cell r="Z16">
            <v>45</v>
          </cell>
          <cell r="AA16">
            <v>0</v>
          </cell>
          <cell r="AB16">
            <v>27</v>
          </cell>
          <cell r="AC16">
            <v>25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435</v>
          </cell>
          <cell r="AJ16">
            <v>50</v>
          </cell>
          <cell r="AK16">
            <v>18</v>
          </cell>
        </row>
        <row r="17">
          <cell r="C17">
            <v>350710010</v>
          </cell>
          <cell r="D17">
            <v>5</v>
          </cell>
          <cell r="E17">
            <v>28</v>
          </cell>
          <cell r="F17">
            <v>12</v>
          </cell>
          <cell r="G17">
            <v>28</v>
          </cell>
          <cell r="H17">
            <v>3</v>
          </cell>
          <cell r="I17">
            <v>2</v>
          </cell>
          <cell r="J17">
            <v>7</v>
          </cell>
          <cell r="K17">
            <v>28</v>
          </cell>
          <cell r="L17">
            <v>1</v>
          </cell>
          <cell r="M17">
            <v>12</v>
          </cell>
          <cell r="N17">
            <v>24</v>
          </cell>
          <cell r="O17">
            <v>0</v>
          </cell>
          <cell r="P17">
            <v>4</v>
          </cell>
          <cell r="Q17">
            <v>14</v>
          </cell>
          <cell r="R17">
            <v>0</v>
          </cell>
          <cell r="S17">
            <v>25</v>
          </cell>
          <cell r="T17">
            <v>27</v>
          </cell>
          <cell r="U17">
            <v>28</v>
          </cell>
          <cell r="V17">
            <v>3</v>
          </cell>
          <cell r="W17">
            <v>0</v>
          </cell>
          <cell r="X17">
            <v>0</v>
          </cell>
          <cell r="Y17">
            <v>4</v>
          </cell>
          <cell r="Z17">
            <v>25</v>
          </cell>
          <cell r="AA17">
            <v>1</v>
          </cell>
          <cell r="AB17">
            <v>27</v>
          </cell>
          <cell r="AC17">
            <v>10</v>
          </cell>
          <cell r="AD17">
            <v>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323</v>
          </cell>
          <cell r="AJ17">
            <v>28</v>
          </cell>
          <cell r="AK17">
            <v>23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15</v>
          </cell>
          <cell r="N18">
            <v>10</v>
          </cell>
          <cell r="O18">
            <v>0</v>
          </cell>
          <cell r="P18">
            <v>50</v>
          </cell>
          <cell r="Q18">
            <v>65</v>
          </cell>
          <cell r="R18">
            <v>105</v>
          </cell>
          <cell r="S18">
            <v>85</v>
          </cell>
          <cell r="T18">
            <v>115</v>
          </cell>
          <cell r="U18">
            <v>110</v>
          </cell>
          <cell r="V18">
            <v>50</v>
          </cell>
          <cell r="W18">
            <v>0</v>
          </cell>
          <cell r="X18">
            <v>0</v>
          </cell>
          <cell r="Y18">
            <v>80</v>
          </cell>
          <cell r="Z18">
            <v>50</v>
          </cell>
          <cell r="AA18">
            <v>30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765</v>
          </cell>
          <cell r="AJ18">
            <v>115</v>
          </cell>
          <cell r="AK18">
            <v>12</v>
          </cell>
        </row>
        <row r="19">
          <cell r="C19">
            <v>350710012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7</v>
          </cell>
          <cell r="I19">
            <v>4</v>
          </cell>
          <cell r="J19">
            <v>98</v>
          </cell>
          <cell r="K19">
            <v>0</v>
          </cell>
          <cell r="L19">
            <v>14</v>
          </cell>
          <cell r="M19">
            <v>17</v>
          </cell>
          <cell r="N19">
            <v>0</v>
          </cell>
          <cell r="O19">
            <v>10</v>
          </cell>
          <cell r="P19">
            <v>4</v>
          </cell>
          <cell r="Q19">
            <v>3</v>
          </cell>
          <cell r="R19">
            <v>36</v>
          </cell>
          <cell r="S19">
            <v>8</v>
          </cell>
          <cell r="T19">
            <v>42</v>
          </cell>
          <cell r="U19">
            <v>11</v>
          </cell>
          <cell r="V19">
            <v>0</v>
          </cell>
          <cell r="W19">
            <v>0</v>
          </cell>
          <cell r="X19">
            <v>21</v>
          </cell>
          <cell r="Y19">
            <v>0</v>
          </cell>
          <cell r="Z19">
            <v>2</v>
          </cell>
          <cell r="AA19">
            <v>2</v>
          </cell>
          <cell r="AB19">
            <v>4</v>
          </cell>
          <cell r="AC19">
            <v>27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310</v>
          </cell>
          <cell r="AJ19">
            <v>98</v>
          </cell>
          <cell r="AK19">
            <v>17</v>
          </cell>
        </row>
        <row r="20">
          <cell r="C20">
            <v>350710013</v>
          </cell>
          <cell r="D20">
            <v>10</v>
          </cell>
          <cell r="E20">
            <v>9</v>
          </cell>
          <cell r="F20">
            <v>34</v>
          </cell>
          <cell r="G20">
            <v>0</v>
          </cell>
          <cell r="H20">
            <v>0</v>
          </cell>
          <cell r="I20">
            <v>3</v>
          </cell>
          <cell r="J20">
            <v>14</v>
          </cell>
          <cell r="K20">
            <v>25</v>
          </cell>
          <cell r="L20">
            <v>3</v>
          </cell>
          <cell r="M20">
            <v>2</v>
          </cell>
          <cell r="N20">
            <v>0</v>
          </cell>
          <cell r="O20">
            <v>14</v>
          </cell>
          <cell r="P20">
            <v>9</v>
          </cell>
          <cell r="Q20">
            <v>5</v>
          </cell>
          <cell r="R20">
            <v>0</v>
          </cell>
          <cell r="S20">
            <v>11</v>
          </cell>
          <cell r="T20">
            <v>12</v>
          </cell>
          <cell r="U20">
            <v>52</v>
          </cell>
          <cell r="V20">
            <v>2</v>
          </cell>
          <cell r="W20">
            <v>0</v>
          </cell>
          <cell r="X20">
            <v>0</v>
          </cell>
          <cell r="Y20">
            <v>5</v>
          </cell>
          <cell r="Z20">
            <v>1</v>
          </cell>
          <cell r="AA20">
            <v>0</v>
          </cell>
          <cell r="AB20">
            <v>0</v>
          </cell>
          <cell r="AC20">
            <v>2</v>
          </cell>
          <cell r="AD20">
            <v>2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215</v>
          </cell>
          <cell r="AJ20">
            <v>52</v>
          </cell>
          <cell r="AK20">
            <v>19</v>
          </cell>
        </row>
        <row r="21">
          <cell r="C21">
            <v>350710014</v>
          </cell>
          <cell r="D21">
            <v>6</v>
          </cell>
          <cell r="E21">
            <v>84</v>
          </cell>
          <cell r="F21">
            <v>16</v>
          </cell>
          <cell r="G21">
            <v>46</v>
          </cell>
          <cell r="H21">
            <v>11</v>
          </cell>
          <cell r="I21">
            <v>10</v>
          </cell>
          <cell r="J21">
            <v>16</v>
          </cell>
          <cell r="K21">
            <v>89</v>
          </cell>
          <cell r="L21">
            <v>2</v>
          </cell>
          <cell r="M21">
            <v>12</v>
          </cell>
          <cell r="N21">
            <v>36</v>
          </cell>
          <cell r="O21">
            <v>0</v>
          </cell>
          <cell r="P21">
            <v>0</v>
          </cell>
          <cell r="Q21">
            <v>6</v>
          </cell>
          <cell r="R21">
            <v>10</v>
          </cell>
          <cell r="S21">
            <v>2</v>
          </cell>
          <cell r="T21">
            <v>29</v>
          </cell>
          <cell r="U21">
            <v>81</v>
          </cell>
          <cell r="V21">
            <v>4</v>
          </cell>
          <cell r="W21">
            <v>4</v>
          </cell>
          <cell r="X21">
            <v>0</v>
          </cell>
          <cell r="Y21">
            <v>7</v>
          </cell>
          <cell r="Z21">
            <v>21</v>
          </cell>
          <cell r="AA21">
            <v>86</v>
          </cell>
          <cell r="AB21">
            <v>30</v>
          </cell>
          <cell r="AC21">
            <v>34</v>
          </cell>
          <cell r="AD21">
            <v>16</v>
          </cell>
          <cell r="AE21">
            <v>9</v>
          </cell>
          <cell r="AF21">
            <v>0</v>
          </cell>
          <cell r="AG21">
            <v>0</v>
          </cell>
          <cell r="AH21">
            <v>0</v>
          </cell>
          <cell r="AI21">
            <v>667</v>
          </cell>
          <cell r="AJ21">
            <v>89</v>
          </cell>
          <cell r="AK21">
            <v>25</v>
          </cell>
        </row>
        <row r="22">
          <cell r="C22">
            <v>350710015</v>
          </cell>
          <cell r="D22">
            <v>0</v>
          </cell>
          <cell r="E22">
            <v>10</v>
          </cell>
          <cell r="F22">
            <v>0</v>
          </cell>
          <cell r="G22">
            <v>2</v>
          </cell>
          <cell r="H22">
            <v>5</v>
          </cell>
          <cell r="I22">
            <v>17</v>
          </cell>
          <cell r="J22">
            <v>3</v>
          </cell>
          <cell r="K22">
            <v>52</v>
          </cell>
          <cell r="L22">
            <v>8</v>
          </cell>
          <cell r="M22">
            <v>17</v>
          </cell>
          <cell r="N22">
            <v>26</v>
          </cell>
          <cell r="O22">
            <v>3</v>
          </cell>
          <cell r="P22">
            <v>5</v>
          </cell>
          <cell r="Q22">
            <v>13</v>
          </cell>
          <cell r="R22">
            <v>22</v>
          </cell>
          <cell r="S22">
            <v>13</v>
          </cell>
          <cell r="T22">
            <v>59</v>
          </cell>
          <cell r="U22">
            <v>4</v>
          </cell>
          <cell r="V22">
            <v>0</v>
          </cell>
          <cell r="W22">
            <v>0</v>
          </cell>
          <cell r="X22">
            <v>2</v>
          </cell>
          <cell r="Y22">
            <v>4</v>
          </cell>
          <cell r="Z22">
            <v>3</v>
          </cell>
          <cell r="AA22">
            <v>3</v>
          </cell>
          <cell r="AB22">
            <v>3</v>
          </cell>
          <cell r="AC22">
            <v>4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278</v>
          </cell>
          <cell r="AJ22">
            <v>59</v>
          </cell>
          <cell r="AK22">
            <v>22</v>
          </cell>
        </row>
        <row r="23">
          <cell r="C23">
            <v>350710016</v>
          </cell>
          <cell r="D23">
            <v>0</v>
          </cell>
          <cell r="E23">
            <v>37</v>
          </cell>
          <cell r="F23">
            <v>5</v>
          </cell>
          <cell r="G23">
            <v>9</v>
          </cell>
          <cell r="H23">
            <v>12</v>
          </cell>
          <cell r="I23">
            <v>0</v>
          </cell>
          <cell r="J23">
            <v>6</v>
          </cell>
          <cell r="K23">
            <v>73</v>
          </cell>
          <cell r="L23">
            <v>4</v>
          </cell>
          <cell r="M23">
            <v>0</v>
          </cell>
          <cell r="N23">
            <v>0</v>
          </cell>
          <cell r="O23">
            <v>6</v>
          </cell>
          <cell r="P23">
            <v>16</v>
          </cell>
          <cell r="Q23">
            <v>47</v>
          </cell>
          <cell r="R23">
            <v>11</v>
          </cell>
          <cell r="S23">
            <v>3</v>
          </cell>
          <cell r="T23">
            <v>77</v>
          </cell>
          <cell r="U23">
            <v>56</v>
          </cell>
          <cell r="V23">
            <v>0</v>
          </cell>
          <cell r="W23">
            <v>0</v>
          </cell>
          <cell r="X23">
            <v>17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6</v>
          </cell>
          <cell r="AD23">
            <v>0</v>
          </cell>
          <cell r="AE23">
            <v>19</v>
          </cell>
          <cell r="AF23">
            <v>0</v>
          </cell>
          <cell r="AG23">
            <v>0</v>
          </cell>
          <cell r="AH23">
            <v>0</v>
          </cell>
          <cell r="AI23">
            <v>404</v>
          </cell>
          <cell r="AJ23">
            <v>77</v>
          </cell>
          <cell r="AK23">
            <v>17</v>
          </cell>
        </row>
        <row r="24">
          <cell r="C24">
            <v>350710017</v>
          </cell>
          <cell r="D24">
            <v>44</v>
          </cell>
          <cell r="E24">
            <v>11</v>
          </cell>
          <cell r="F24">
            <v>37</v>
          </cell>
          <cell r="G24">
            <v>42</v>
          </cell>
          <cell r="H24">
            <v>34</v>
          </cell>
          <cell r="I24">
            <v>0</v>
          </cell>
          <cell r="J24">
            <v>39</v>
          </cell>
          <cell r="K24">
            <v>32</v>
          </cell>
          <cell r="L24">
            <v>41</v>
          </cell>
          <cell r="M24">
            <v>29</v>
          </cell>
          <cell r="N24">
            <v>54</v>
          </cell>
          <cell r="O24">
            <v>2</v>
          </cell>
          <cell r="P24">
            <v>24</v>
          </cell>
          <cell r="Q24">
            <v>9</v>
          </cell>
          <cell r="R24">
            <v>11</v>
          </cell>
          <cell r="S24">
            <v>33</v>
          </cell>
          <cell r="T24">
            <v>21</v>
          </cell>
          <cell r="U24">
            <v>27</v>
          </cell>
          <cell r="V24">
            <v>6</v>
          </cell>
          <cell r="W24">
            <v>35</v>
          </cell>
          <cell r="X24">
            <v>10</v>
          </cell>
          <cell r="Y24">
            <v>17</v>
          </cell>
          <cell r="Z24">
            <v>13</v>
          </cell>
          <cell r="AA24">
            <v>15</v>
          </cell>
          <cell r="AB24">
            <v>0</v>
          </cell>
          <cell r="AC24">
            <v>9</v>
          </cell>
          <cell r="AD24">
            <v>5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600</v>
          </cell>
          <cell r="AJ24">
            <v>54</v>
          </cell>
          <cell r="AK24">
            <v>25</v>
          </cell>
        </row>
        <row r="25">
          <cell r="C25">
            <v>350710018</v>
          </cell>
          <cell r="D25">
            <v>26</v>
          </cell>
          <cell r="E25">
            <v>19</v>
          </cell>
          <cell r="F25">
            <v>0</v>
          </cell>
          <cell r="G25">
            <v>34</v>
          </cell>
          <cell r="H25">
            <v>11</v>
          </cell>
          <cell r="I25">
            <v>0</v>
          </cell>
          <cell r="J25">
            <v>5</v>
          </cell>
          <cell r="K25">
            <v>15</v>
          </cell>
          <cell r="L25">
            <v>0</v>
          </cell>
          <cell r="M25">
            <v>0</v>
          </cell>
          <cell r="N25">
            <v>6</v>
          </cell>
          <cell r="O25">
            <v>0</v>
          </cell>
          <cell r="P25">
            <v>20</v>
          </cell>
          <cell r="Q25">
            <v>0</v>
          </cell>
          <cell r="R25">
            <v>0</v>
          </cell>
          <cell r="S25">
            <v>84</v>
          </cell>
          <cell r="T25">
            <v>91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68</v>
          </cell>
          <cell r="AC25">
            <v>30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47</v>
          </cell>
          <cell r="AI25">
            <v>456</v>
          </cell>
          <cell r="AJ25">
            <v>91</v>
          </cell>
          <cell r="AK25">
            <v>13</v>
          </cell>
        </row>
        <row r="26">
          <cell r="C26">
            <v>350710019</v>
          </cell>
          <cell r="D26">
            <v>97</v>
          </cell>
          <cell r="E26">
            <v>34</v>
          </cell>
          <cell r="F26">
            <v>76</v>
          </cell>
          <cell r="G26">
            <v>43</v>
          </cell>
          <cell r="H26">
            <v>14</v>
          </cell>
          <cell r="I26">
            <v>23</v>
          </cell>
          <cell r="J26">
            <v>61</v>
          </cell>
          <cell r="K26">
            <v>36</v>
          </cell>
          <cell r="L26">
            <v>27</v>
          </cell>
          <cell r="M26">
            <v>44</v>
          </cell>
          <cell r="N26">
            <v>32</v>
          </cell>
          <cell r="O26">
            <v>17</v>
          </cell>
          <cell r="P26">
            <v>61</v>
          </cell>
          <cell r="Q26">
            <v>44</v>
          </cell>
          <cell r="R26">
            <v>39</v>
          </cell>
          <cell r="S26">
            <v>26</v>
          </cell>
          <cell r="T26">
            <v>106</v>
          </cell>
          <cell r="U26">
            <v>49</v>
          </cell>
          <cell r="V26">
            <v>7</v>
          </cell>
          <cell r="W26">
            <v>0</v>
          </cell>
          <cell r="X26">
            <v>27</v>
          </cell>
          <cell r="Y26">
            <v>71</v>
          </cell>
          <cell r="Z26">
            <v>39</v>
          </cell>
          <cell r="AA26">
            <v>55</v>
          </cell>
          <cell r="AB26">
            <v>64</v>
          </cell>
          <cell r="AC26">
            <v>26</v>
          </cell>
          <cell r="AD26">
            <v>38</v>
          </cell>
          <cell r="AE26">
            <v>0</v>
          </cell>
          <cell r="AF26">
            <v>0</v>
          </cell>
          <cell r="AG26">
            <v>0</v>
          </cell>
          <cell r="AH26">
            <v>7</v>
          </cell>
          <cell r="AI26">
            <v>1163</v>
          </cell>
          <cell r="AJ26">
            <v>106</v>
          </cell>
          <cell r="AK26">
            <v>27</v>
          </cell>
        </row>
        <row r="27">
          <cell r="C27">
            <v>350710020</v>
          </cell>
          <cell r="D27">
            <v>78</v>
          </cell>
          <cell r="E27">
            <v>71</v>
          </cell>
          <cell r="F27">
            <v>3</v>
          </cell>
          <cell r="G27">
            <v>9</v>
          </cell>
          <cell r="H27">
            <v>1</v>
          </cell>
          <cell r="I27">
            <v>3</v>
          </cell>
          <cell r="J27">
            <v>15</v>
          </cell>
          <cell r="K27">
            <v>108</v>
          </cell>
          <cell r="L27">
            <v>3</v>
          </cell>
          <cell r="M27">
            <v>18</v>
          </cell>
          <cell r="N27">
            <v>19</v>
          </cell>
          <cell r="O27">
            <v>2</v>
          </cell>
          <cell r="P27">
            <v>18</v>
          </cell>
          <cell r="Q27">
            <v>9</v>
          </cell>
          <cell r="R27">
            <v>6</v>
          </cell>
          <cell r="S27">
            <v>40</v>
          </cell>
          <cell r="T27">
            <v>20</v>
          </cell>
          <cell r="U27">
            <v>53</v>
          </cell>
          <cell r="V27">
            <v>9</v>
          </cell>
          <cell r="W27">
            <v>0</v>
          </cell>
          <cell r="X27">
            <v>0</v>
          </cell>
          <cell r="Y27">
            <v>21</v>
          </cell>
          <cell r="Z27">
            <v>54</v>
          </cell>
          <cell r="AA27">
            <v>10</v>
          </cell>
          <cell r="AB27">
            <v>30</v>
          </cell>
          <cell r="AC27">
            <v>3</v>
          </cell>
          <cell r="AD27">
            <v>14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617</v>
          </cell>
          <cell r="AJ27">
            <v>108</v>
          </cell>
          <cell r="AK27">
            <v>25</v>
          </cell>
        </row>
        <row r="28">
          <cell r="C28">
            <v>350710021</v>
          </cell>
          <cell r="D28">
            <v>31</v>
          </cell>
          <cell r="E28">
            <v>47</v>
          </cell>
          <cell r="F28">
            <v>19</v>
          </cell>
          <cell r="G28">
            <v>97</v>
          </cell>
          <cell r="H28">
            <v>11</v>
          </cell>
          <cell r="I28">
            <v>0</v>
          </cell>
          <cell r="J28">
            <v>26</v>
          </cell>
          <cell r="K28">
            <v>53</v>
          </cell>
          <cell r="L28">
            <v>8</v>
          </cell>
          <cell r="M28">
            <v>28</v>
          </cell>
          <cell r="N28">
            <v>0</v>
          </cell>
          <cell r="O28">
            <v>0</v>
          </cell>
          <cell r="P28">
            <v>0</v>
          </cell>
          <cell r="Q28">
            <v>12</v>
          </cell>
          <cell r="R28">
            <v>7</v>
          </cell>
          <cell r="S28">
            <v>0</v>
          </cell>
          <cell r="T28">
            <v>43</v>
          </cell>
          <cell r="U28">
            <v>108</v>
          </cell>
          <cell r="V28">
            <v>5</v>
          </cell>
          <cell r="W28">
            <v>0</v>
          </cell>
          <cell r="X28">
            <v>0</v>
          </cell>
          <cell r="Y28">
            <v>13</v>
          </cell>
          <cell r="Z28">
            <v>6</v>
          </cell>
          <cell r="AA28">
            <v>35</v>
          </cell>
          <cell r="AB28">
            <v>5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554</v>
          </cell>
          <cell r="AJ28">
            <v>108</v>
          </cell>
          <cell r="AK28">
            <v>18</v>
          </cell>
        </row>
        <row r="29">
          <cell r="C29">
            <v>350710022</v>
          </cell>
          <cell r="D29">
            <v>4</v>
          </cell>
          <cell r="E29">
            <v>76</v>
          </cell>
          <cell r="F29">
            <v>3</v>
          </cell>
          <cell r="G29">
            <v>35</v>
          </cell>
          <cell r="H29">
            <v>0.5</v>
          </cell>
          <cell r="I29">
            <v>0.5</v>
          </cell>
          <cell r="J29">
            <v>25</v>
          </cell>
          <cell r="K29">
            <v>139</v>
          </cell>
          <cell r="L29">
            <v>23</v>
          </cell>
          <cell r="M29">
            <v>24</v>
          </cell>
          <cell r="N29">
            <v>2</v>
          </cell>
          <cell r="O29">
            <v>4</v>
          </cell>
          <cell r="P29">
            <v>21</v>
          </cell>
          <cell r="Q29">
            <v>28</v>
          </cell>
          <cell r="R29">
            <v>58</v>
          </cell>
          <cell r="S29">
            <v>15</v>
          </cell>
          <cell r="T29">
            <v>13</v>
          </cell>
          <cell r="U29">
            <v>107</v>
          </cell>
          <cell r="V29">
            <v>16</v>
          </cell>
          <cell r="W29">
            <v>44</v>
          </cell>
          <cell r="X29">
            <v>3</v>
          </cell>
          <cell r="Y29">
            <v>20</v>
          </cell>
          <cell r="Z29">
            <v>3</v>
          </cell>
          <cell r="AA29">
            <v>0</v>
          </cell>
          <cell r="AB29">
            <v>58</v>
          </cell>
          <cell r="AC29">
            <v>9</v>
          </cell>
          <cell r="AD29">
            <v>0</v>
          </cell>
          <cell r="AE29">
            <v>21</v>
          </cell>
          <cell r="AF29">
            <v>0</v>
          </cell>
          <cell r="AG29">
            <v>0</v>
          </cell>
          <cell r="AH29">
            <v>0</v>
          </cell>
          <cell r="AI29">
            <v>752</v>
          </cell>
          <cell r="AJ29">
            <v>139</v>
          </cell>
          <cell r="AK29">
            <v>26</v>
          </cell>
        </row>
        <row r="30">
          <cell r="C30">
            <v>350710024</v>
          </cell>
          <cell r="D30">
            <v>17</v>
          </cell>
          <cell r="E30">
            <v>75</v>
          </cell>
          <cell r="F30">
            <v>6</v>
          </cell>
          <cell r="G30">
            <v>14</v>
          </cell>
          <cell r="H30">
            <v>0</v>
          </cell>
          <cell r="I30">
            <v>0</v>
          </cell>
          <cell r="J30">
            <v>48</v>
          </cell>
          <cell r="K30">
            <v>45</v>
          </cell>
          <cell r="L30">
            <v>0</v>
          </cell>
          <cell r="M30">
            <v>65</v>
          </cell>
          <cell r="N30">
            <v>0</v>
          </cell>
          <cell r="O30">
            <v>0</v>
          </cell>
          <cell r="P30">
            <v>6</v>
          </cell>
          <cell r="Q30">
            <v>17</v>
          </cell>
          <cell r="R30">
            <v>7</v>
          </cell>
          <cell r="S30">
            <v>0</v>
          </cell>
          <cell r="T30">
            <v>42</v>
          </cell>
          <cell r="U30">
            <v>67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45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454</v>
          </cell>
          <cell r="AJ30">
            <v>75</v>
          </cell>
          <cell r="AK30">
            <v>13</v>
          </cell>
        </row>
        <row r="31">
          <cell r="C31">
            <v>350710025</v>
          </cell>
          <cell r="D31">
            <v>22</v>
          </cell>
          <cell r="E31">
            <v>57</v>
          </cell>
          <cell r="F31">
            <v>33</v>
          </cell>
          <cell r="G31">
            <v>28</v>
          </cell>
          <cell r="H31">
            <v>1</v>
          </cell>
          <cell r="I31">
            <v>2</v>
          </cell>
          <cell r="J31">
            <v>11</v>
          </cell>
          <cell r="K31">
            <v>47</v>
          </cell>
          <cell r="L31">
            <v>19</v>
          </cell>
          <cell r="M31">
            <v>12</v>
          </cell>
          <cell r="N31">
            <v>1</v>
          </cell>
          <cell r="O31">
            <v>0</v>
          </cell>
          <cell r="P31">
            <v>5</v>
          </cell>
          <cell r="Q31">
            <v>27</v>
          </cell>
          <cell r="R31">
            <v>19</v>
          </cell>
          <cell r="S31">
            <v>7</v>
          </cell>
          <cell r="T31">
            <v>18</v>
          </cell>
          <cell r="U31">
            <v>53</v>
          </cell>
          <cell r="V31">
            <v>1</v>
          </cell>
          <cell r="W31">
            <v>0</v>
          </cell>
          <cell r="X31">
            <v>4</v>
          </cell>
          <cell r="Y31">
            <v>1</v>
          </cell>
          <cell r="Z31">
            <v>0</v>
          </cell>
          <cell r="AA31">
            <v>0</v>
          </cell>
          <cell r="AB31">
            <v>5</v>
          </cell>
          <cell r="AC31">
            <v>1</v>
          </cell>
          <cell r="AD31">
            <v>6</v>
          </cell>
          <cell r="AE31">
            <v>1</v>
          </cell>
          <cell r="AF31">
            <v>0</v>
          </cell>
          <cell r="AG31">
            <v>0</v>
          </cell>
          <cell r="AH31">
            <v>0</v>
          </cell>
          <cell r="AI31">
            <v>381</v>
          </cell>
          <cell r="AJ31">
            <v>57</v>
          </cell>
          <cell r="AK31">
            <v>24</v>
          </cell>
        </row>
        <row r="32">
          <cell r="C32">
            <v>350710026</v>
          </cell>
          <cell r="D32">
            <v>0</v>
          </cell>
          <cell r="E32">
            <v>108</v>
          </cell>
          <cell r="F32">
            <v>5</v>
          </cell>
          <cell r="G32">
            <v>34</v>
          </cell>
          <cell r="H32">
            <v>7</v>
          </cell>
          <cell r="I32">
            <v>13</v>
          </cell>
          <cell r="J32">
            <v>22</v>
          </cell>
          <cell r="K32">
            <v>4</v>
          </cell>
          <cell r="L32">
            <v>0</v>
          </cell>
          <cell r="M32">
            <v>0</v>
          </cell>
          <cell r="N32">
            <v>0</v>
          </cell>
          <cell r="O32">
            <v>23</v>
          </cell>
          <cell r="P32">
            <v>11</v>
          </cell>
          <cell r="Q32">
            <v>6</v>
          </cell>
          <cell r="R32">
            <v>12</v>
          </cell>
          <cell r="S32">
            <v>0</v>
          </cell>
          <cell r="T32">
            <v>192</v>
          </cell>
          <cell r="U32">
            <v>5</v>
          </cell>
          <cell r="V32">
            <v>8</v>
          </cell>
          <cell r="W32">
            <v>13</v>
          </cell>
          <cell r="X32">
            <v>0</v>
          </cell>
          <cell r="Y32">
            <v>4</v>
          </cell>
          <cell r="Z32">
            <v>0</v>
          </cell>
          <cell r="AA32">
            <v>6</v>
          </cell>
          <cell r="AB32">
            <v>68</v>
          </cell>
          <cell r="AC32">
            <v>19</v>
          </cell>
          <cell r="AD32">
            <v>4</v>
          </cell>
          <cell r="AE32">
            <v>56</v>
          </cell>
          <cell r="AF32">
            <v>0</v>
          </cell>
          <cell r="AG32">
            <v>0</v>
          </cell>
          <cell r="AH32">
            <v>0</v>
          </cell>
          <cell r="AI32">
            <v>620</v>
          </cell>
          <cell r="AJ32">
            <v>192</v>
          </cell>
          <cell r="AK32">
            <v>21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3</v>
          </cell>
          <cell r="G33">
            <v>0</v>
          </cell>
          <cell r="H33">
            <v>0</v>
          </cell>
          <cell r="I33">
            <v>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6</v>
          </cell>
          <cell r="T33">
            <v>0</v>
          </cell>
          <cell r="U33">
            <v>0</v>
          </cell>
          <cell r="V33">
            <v>11</v>
          </cell>
          <cell r="W33">
            <v>0</v>
          </cell>
          <cell r="X33">
            <v>0</v>
          </cell>
          <cell r="Y33">
            <v>0</v>
          </cell>
          <cell r="Z33">
            <v>7</v>
          </cell>
          <cell r="AA33">
            <v>0</v>
          </cell>
          <cell r="AB33">
            <v>0</v>
          </cell>
          <cell r="AC33">
            <v>0</v>
          </cell>
          <cell r="AD33">
            <v>7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41</v>
          </cell>
          <cell r="AJ33">
            <v>11</v>
          </cell>
          <cell r="AK33">
            <v>6</v>
          </cell>
        </row>
        <row r="34">
          <cell r="C34">
            <v>350710028</v>
          </cell>
          <cell r="D34">
            <v>0</v>
          </cell>
          <cell r="E34">
            <v>36</v>
          </cell>
          <cell r="F34">
            <v>8</v>
          </cell>
          <cell r="G34">
            <v>0</v>
          </cell>
          <cell r="H34">
            <v>0</v>
          </cell>
          <cell r="I34">
            <v>0</v>
          </cell>
          <cell r="J34">
            <v>64</v>
          </cell>
          <cell r="K34">
            <v>28</v>
          </cell>
          <cell r="L34">
            <v>16</v>
          </cell>
          <cell r="M34">
            <v>0</v>
          </cell>
          <cell r="N34">
            <v>0</v>
          </cell>
          <cell r="O34">
            <v>0</v>
          </cell>
          <cell r="P34">
            <v>12</v>
          </cell>
          <cell r="Q34">
            <v>0</v>
          </cell>
          <cell r="R34">
            <v>24</v>
          </cell>
          <cell r="S34">
            <v>0</v>
          </cell>
          <cell r="T34">
            <v>109</v>
          </cell>
          <cell r="U34">
            <v>13</v>
          </cell>
          <cell r="V34">
            <v>1</v>
          </cell>
          <cell r="W34">
            <v>0</v>
          </cell>
          <cell r="X34">
            <v>0</v>
          </cell>
          <cell r="Y34">
            <v>13</v>
          </cell>
          <cell r="Z34">
            <v>23</v>
          </cell>
          <cell r="AA34">
            <v>15</v>
          </cell>
          <cell r="AB34">
            <v>10</v>
          </cell>
          <cell r="AC34">
            <v>3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375</v>
          </cell>
          <cell r="AJ34">
            <v>109</v>
          </cell>
          <cell r="AK34">
            <v>15</v>
          </cell>
        </row>
        <row r="35">
          <cell r="C35">
            <v>350710029</v>
          </cell>
          <cell r="D35">
            <v>7</v>
          </cell>
          <cell r="E35">
            <v>0</v>
          </cell>
          <cell r="F35">
            <v>21</v>
          </cell>
          <cell r="G35">
            <v>0</v>
          </cell>
          <cell r="H35">
            <v>0</v>
          </cell>
          <cell r="I35">
            <v>2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12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10</v>
          </cell>
          <cell r="T35">
            <v>0</v>
          </cell>
          <cell r="U35">
            <v>7</v>
          </cell>
          <cell r="V35">
            <v>0</v>
          </cell>
          <cell r="W35">
            <v>12</v>
          </cell>
          <cell r="X35">
            <v>46</v>
          </cell>
          <cell r="Y35">
            <v>0</v>
          </cell>
          <cell r="Z35">
            <v>43</v>
          </cell>
          <cell r="AA35">
            <v>2</v>
          </cell>
          <cell r="AB35">
            <v>0</v>
          </cell>
          <cell r="AC35">
            <v>9</v>
          </cell>
          <cell r="AD35">
            <v>30</v>
          </cell>
          <cell r="AE35">
            <v>13</v>
          </cell>
          <cell r="AF35">
            <v>0</v>
          </cell>
          <cell r="AG35">
            <v>0</v>
          </cell>
          <cell r="AH35">
            <v>0</v>
          </cell>
          <cell r="AI35">
            <v>214</v>
          </cell>
          <cell r="AJ35">
            <v>46</v>
          </cell>
          <cell r="AK35">
            <v>13</v>
          </cell>
        </row>
        <row r="36">
          <cell r="C36">
            <v>350710030</v>
          </cell>
          <cell r="D36">
            <v>9</v>
          </cell>
          <cell r="E36">
            <v>48</v>
          </cell>
          <cell r="F36">
            <v>13</v>
          </cell>
          <cell r="G36">
            <v>18</v>
          </cell>
          <cell r="H36">
            <v>4</v>
          </cell>
          <cell r="I36">
            <v>2</v>
          </cell>
          <cell r="J36">
            <v>8</v>
          </cell>
          <cell r="K36">
            <v>84</v>
          </cell>
          <cell r="L36">
            <v>8</v>
          </cell>
          <cell r="M36">
            <v>12</v>
          </cell>
          <cell r="N36">
            <v>0</v>
          </cell>
          <cell r="O36">
            <v>15</v>
          </cell>
          <cell r="P36">
            <v>8</v>
          </cell>
          <cell r="Q36">
            <v>9</v>
          </cell>
          <cell r="R36">
            <v>94</v>
          </cell>
          <cell r="S36">
            <v>15</v>
          </cell>
          <cell r="T36">
            <v>16</v>
          </cell>
          <cell r="U36">
            <v>149</v>
          </cell>
          <cell r="V36">
            <v>2</v>
          </cell>
          <cell r="W36">
            <v>1</v>
          </cell>
          <cell r="X36">
            <v>3</v>
          </cell>
          <cell r="Y36">
            <v>0</v>
          </cell>
          <cell r="Z36">
            <v>0</v>
          </cell>
          <cell r="AA36">
            <v>0</v>
          </cell>
          <cell r="AB36">
            <v>15</v>
          </cell>
          <cell r="AC36">
            <v>1</v>
          </cell>
          <cell r="AD36">
            <v>7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541</v>
          </cell>
          <cell r="AJ36">
            <v>149</v>
          </cell>
          <cell r="AK36">
            <v>23</v>
          </cell>
        </row>
        <row r="37">
          <cell r="C37">
            <v>350710031</v>
          </cell>
          <cell r="D37">
            <v>45</v>
          </cell>
          <cell r="E37">
            <v>48</v>
          </cell>
          <cell r="F37">
            <v>14</v>
          </cell>
          <cell r="G37">
            <v>38</v>
          </cell>
          <cell r="H37">
            <v>0</v>
          </cell>
          <cell r="I37">
            <v>0</v>
          </cell>
          <cell r="J37">
            <v>26</v>
          </cell>
          <cell r="K37">
            <v>40</v>
          </cell>
          <cell r="L37">
            <v>55</v>
          </cell>
          <cell r="M37">
            <v>23</v>
          </cell>
          <cell r="N37">
            <v>12</v>
          </cell>
          <cell r="O37">
            <v>0</v>
          </cell>
          <cell r="P37">
            <v>11</v>
          </cell>
          <cell r="Q37">
            <v>7</v>
          </cell>
          <cell r="R37">
            <v>15</v>
          </cell>
          <cell r="S37">
            <v>0</v>
          </cell>
          <cell r="T37">
            <v>6</v>
          </cell>
          <cell r="U37">
            <v>83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13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436</v>
          </cell>
          <cell r="AJ37">
            <v>83</v>
          </cell>
          <cell r="AK37">
            <v>15</v>
          </cell>
        </row>
        <row r="38">
          <cell r="C38">
            <v>350710032</v>
          </cell>
          <cell r="D38">
            <v>30</v>
          </cell>
          <cell r="E38">
            <v>0</v>
          </cell>
          <cell r="F38">
            <v>10</v>
          </cell>
          <cell r="G38">
            <v>0</v>
          </cell>
          <cell r="H38">
            <v>0</v>
          </cell>
          <cell r="I38">
            <v>8</v>
          </cell>
          <cell r="J38">
            <v>12</v>
          </cell>
          <cell r="K38">
            <v>59</v>
          </cell>
          <cell r="L38">
            <v>6</v>
          </cell>
          <cell r="M38">
            <v>2</v>
          </cell>
          <cell r="N38">
            <v>0</v>
          </cell>
          <cell r="O38">
            <v>4</v>
          </cell>
          <cell r="P38">
            <v>3</v>
          </cell>
          <cell r="Q38">
            <v>1</v>
          </cell>
          <cell r="R38">
            <v>0</v>
          </cell>
          <cell r="S38">
            <v>6</v>
          </cell>
          <cell r="T38">
            <v>11</v>
          </cell>
          <cell r="U38">
            <v>28</v>
          </cell>
          <cell r="V38">
            <v>0</v>
          </cell>
          <cell r="W38">
            <v>0</v>
          </cell>
          <cell r="X38">
            <v>2</v>
          </cell>
          <cell r="Y38">
            <v>10</v>
          </cell>
          <cell r="Z38">
            <v>0</v>
          </cell>
          <cell r="AA38">
            <v>0</v>
          </cell>
          <cell r="AB38">
            <v>0</v>
          </cell>
          <cell r="AC38">
            <v>1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193</v>
          </cell>
          <cell r="AJ38">
            <v>59</v>
          </cell>
          <cell r="AK38">
            <v>16</v>
          </cell>
        </row>
        <row r="39">
          <cell r="C39">
            <v>350710033</v>
          </cell>
          <cell r="D39">
            <v>35</v>
          </cell>
          <cell r="E39">
            <v>11</v>
          </cell>
          <cell r="F39">
            <v>12</v>
          </cell>
          <cell r="G39">
            <v>4</v>
          </cell>
          <cell r="H39">
            <v>1</v>
          </cell>
          <cell r="I39">
            <v>0</v>
          </cell>
          <cell r="J39">
            <v>7</v>
          </cell>
          <cell r="K39">
            <v>49</v>
          </cell>
          <cell r="L39">
            <v>1</v>
          </cell>
          <cell r="M39">
            <v>1</v>
          </cell>
          <cell r="N39">
            <v>0</v>
          </cell>
          <cell r="O39">
            <v>1</v>
          </cell>
          <cell r="P39">
            <v>6</v>
          </cell>
          <cell r="Q39">
            <v>28</v>
          </cell>
          <cell r="R39">
            <v>6</v>
          </cell>
          <cell r="S39">
            <v>8</v>
          </cell>
          <cell r="T39">
            <v>35</v>
          </cell>
          <cell r="U39">
            <v>120</v>
          </cell>
          <cell r="V39">
            <v>0</v>
          </cell>
          <cell r="W39">
            <v>0</v>
          </cell>
          <cell r="X39">
            <v>8</v>
          </cell>
          <cell r="Y39">
            <v>0</v>
          </cell>
          <cell r="Z39">
            <v>0</v>
          </cell>
          <cell r="AA39">
            <v>22</v>
          </cell>
          <cell r="AB39">
            <v>63</v>
          </cell>
          <cell r="AC39">
            <v>13</v>
          </cell>
          <cell r="AD39">
            <v>0</v>
          </cell>
          <cell r="AE39">
            <v>2</v>
          </cell>
          <cell r="AF39">
            <v>0</v>
          </cell>
          <cell r="AG39">
            <v>0</v>
          </cell>
          <cell r="AH39">
            <v>0</v>
          </cell>
          <cell r="AI39">
            <v>433</v>
          </cell>
          <cell r="AJ39">
            <v>120</v>
          </cell>
          <cell r="AK39">
            <v>21</v>
          </cell>
        </row>
        <row r="40">
          <cell r="C40">
            <v>350710034</v>
          </cell>
          <cell r="D40">
            <v>12</v>
          </cell>
          <cell r="E40">
            <v>4</v>
          </cell>
          <cell r="F40">
            <v>3</v>
          </cell>
          <cell r="G40">
            <v>4</v>
          </cell>
          <cell r="H40">
            <v>2</v>
          </cell>
          <cell r="I40">
            <v>0</v>
          </cell>
          <cell r="J40">
            <v>5</v>
          </cell>
          <cell r="K40">
            <v>0</v>
          </cell>
          <cell r="L40">
            <v>1</v>
          </cell>
          <cell r="M40">
            <v>0</v>
          </cell>
          <cell r="N40">
            <v>0</v>
          </cell>
          <cell r="O40">
            <v>3</v>
          </cell>
          <cell r="P40">
            <v>15</v>
          </cell>
          <cell r="Q40">
            <v>9</v>
          </cell>
          <cell r="R40">
            <v>0</v>
          </cell>
          <cell r="S40">
            <v>29</v>
          </cell>
          <cell r="T40">
            <v>3</v>
          </cell>
          <cell r="U40">
            <v>5</v>
          </cell>
          <cell r="V40">
            <v>0</v>
          </cell>
          <cell r="W40">
            <v>0</v>
          </cell>
          <cell r="X40">
            <v>4</v>
          </cell>
          <cell r="Y40">
            <v>10</v>
          </cell>
          <cell r="Z40">
            <v>58</v>
          </cell>
          <cell r="AA40">
            <v>2</v>
          </cell>
          <cell r="AB40">
            <v>11</v>
          </cell>
          <cell r="AC40">
            <v>37</v>
          </cell>
          <cell r="AD40">
            <v>8</v>
          </cell>
          <cell r="AE40">
            <v>39</v>
          </cell>
          <cell r="AF40">
            <v>1</v>
          </cell>
          <cell r="AG40">
            <v>0</v>
          </cell>
          <cell r="AH40">
            <v>0</v>
          </cell>
          <cell r="AI40">
            <v>265</v>
          </cell>
          <cell r="AJ40">
            <v>58</v>
          </cell>
          <cell r="AK40">
            <v>22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11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6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17</v>
          </cell>
          <cell r="AJ41">
            <v>11</v>
          </cell>
          <cell r="AK41">
            <v>2</v>
          </cell>
        </row>
        <row r="42">
          <cell r="C42">
            <v>350710036</v>
          </cell>
          <cell r="D42">
            <v>0</v>
          </cell>
          <cell r="E42">
            <v>32</v>
          </cell>
          <cell r="F42">
            <v>24</v>
          </cell>
          <cell r="G42">
            <v>64</v>
          </cell>
          <cell r="H42">
            <v>12</v>
          </cell>
          <cell r="I42">
            <v>6</v>
          </cell>
          <cell r="J42">
            <v>15</v>
          </cell>
          <cell r="K42">
            <v>69</v>
          </cell>
          <cell r="L42">
            <v>6</v>
          </cell>
          <cell r="M42">
            <v>0</v>
          </cell>
          <cell r="N42">
            <v>0</v>
          </cell>
          <cell r="O42">
            <v>90</v>
          </cell>
          <cell r="P42">
            <v>10</v>
          </cell>
          <cell r="Q42">
            <v>0</v>
          </cell>
          <cell r="R42">
            <v>8</v>
          </cell>
          <cell r="S42">
            <v>21</v>
          </cell>
          <cell r="T42">
            <v>65</v>
          </cell>
          <cell r="U42">
            <v>58</v>
          </cell>
          <cell r="V42">
            <v>0</v>
          </cell>
          <cell r="W42">
            <v>0</v>
          </cell>
          <cell r="X42">
            <v>2</v>
          </cell>
          <cell r="Y42">
            <v>4</v>
          </cell>
          <cell r="Z42">
            <v>35</v>
          </cell>
          <cell r="AA42">
            <v>12</v>
          </cell>
          <cell r="AB42">
            <v>72</v>
          </cell>
          <cell r="AC42">
            <v>32</v>
          </cell>
          <cell r="AD42">
            <v>13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650</v>
          </cell>
          <cell r="AJ42">
            <v>90</v>
          </cell>
          <cell r="AK42">
            <v>21</v>
          </cell>
        </row>
        <row r="43">
          <cell r="C43">
            <v>350710037</v>
          </cell>
          <cell r="D43">
            <v>15</v>
          </cell>
          <cell r="E43">
            <v>10</v>
          </cell>
          <cell r="F43">
            <v>12</v>
          </cell>
          <cell r="G43">
            <v>0</v>
          </cell>
          <cell r="H43">
            <v>5</v>
          </cell>
          <cell r="I43">
            <v>7</v>
          </cell>
          <cell r="J43">
            <v>3</v>
          </cell>
          <cell r="K43">
            <v>28</v>
          </cell>
          <cell r="L43">
            <v>23</v>
          </cell>
          <cell r="M43">
            <v>15</v>
          </cell>
          <cell r="N43">
            <v>0</v>
          </cell>
          <cell r="O43">
            <v>3</v>
          </cell>
          <cell r="P43">
            <v>5</v>
          </cell>
          <cell r="Q43">
            <v>48</v>
          </cell>
          <cell r="R43">
            <v>8</v>
          </cell>
          <cell r="S43">
            <v>0</v>
          </cell>
          <cell r="T43">
            <v>15</v>
          </cell>
          <cell r="U43">
            <v>75</v>
          </cell>
          <cell r="V43">
            <v>0</v>
          </cell>
          <cell r="W43">
            <v>0</v>
          </cell>
          <cell r="X43">
            <v>0</v>
          </cell>
          <cell r="Y43">
            <v>5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277</v>
          </cell>
          <cell r="AJ43">
            <v>75</v>
          </cell>
          <cell r="AK43">
            <v>16</v>
          </cell>
        </row>
        <row r="44">
          <cell r="C44">
            <v>350710038</v>
          </cell>
          <cell r="D44">
            <v>35</v>
          </cell>
          <cell r="E44">
            <v>56</v>
          </cell>
          <cell r="F44">
            <v>44</v>
          </cell>
          <cell r="G44">
            <v>5</v>
          </cell>
          <cell r="H44">
            <v>0</v>
          </cell>
          <cell r="I44">
            <v>0</v>
          </cell>
          <cell r="J44">
            <v>19</v>
          </cell>
          <cell r="K44">
            <v>27</v>
          </cell>
          <cell r="L44">
            <v>33</v>
          </cell>
          <cell r="M44">
            <v>17</v>
          </cell>
          <cell r="N44">
            <v>9</v>
          </cell>
          <cell r="O44">
            <v>11</v>
          </cell>
          <cell r="P44">
            <v>5</v>
          </cell>
          <cell r="Q44">
            <v>0</v>
          </cell>
          <cell r="R44">
            <v>5</v>
          </cell>
          <cell r="S44">
            <v>0</v>
          </cell>
          <cell r="T44">
            <v>9</v>
          </cell>
          <cell r="U44">
            <v>33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308</v>
          </cell>
          <cell r="AJ44">
            <v>56</v>
          </cell>
          <cell r="AK44">
            <v>14</v>
          </cell>
        </row>
        <row r="45">
          <cell r="C45">
            <v>350710039</v>
          </cell>
          <cell r="D45">
            <v>7</v>
          </cell>
          <cell r="E45">
            <v>17</v>
          </cell>
          <cell r="F45">
            <v>28</v>
          </cell>
          <cell r="G45">
            <v>7</v>
          </cell>
          <cell r="H45">
            <v>17</v>
          </cell>
          <cell r="I45">
            <v>5</v>
          </cell>
          <cell r="J45">
            <v>10</v>
          </cell>
          <cell r="K45">
            <v>80</v>
          </cell>
          <cell r="L45">
            <v>6</v>
          </cell>
          <cell r="M45">
            <v>0</v>
          </cell>
          <cell r="N45">
            <v>0</v>
          </cell>
          <cell r="O45">
            <v>0</v>
          </cell>
          <cell r="P45">
            <v>34</v>
          </cell>
          <cell r="Q45">
            <v>50</v>
          </cell>
          <cell r="R45">
            <v>14</v>
          </cell>
          <cell r="S45">
            <v>3</v>
          </cell>
          <cell r="T45">
            <v>55</v>
          </cell>
          <cell r="U45">
            <v>61</v>
          </cell>
          <cell r="V45">
            <v>3</v>
          </cell>
          <cell r="W45">
            <v>0</v>
          </cell>
          <cell r="X45">
            <v>4</v>
          </cell>
          <cell r="Y45">
            <v>0</v>
          </cell>
          <cell r="Z45">
            <v>0</v>
          </cell>
          <cell r="AA45">
            <v>0</v>
          </cell>
          <cell r="AB45">
            <v>31</v>
          </cell>
          <cell r="AC45">
            <v>11</v>
          </cell>
          <cell r="AD45">
            <v>3</v>
          </cell>
          <cell r="AE45">
            <v>11</v>
          </cell>
          <cell r="AF45">
            <v>0</v>
          </cell>
          <cell r="AG45">
            <v>0</v>
          </cell>
          <cell r="AH45">
            <v>0</v>
          </cell>
          <cell r="AI45">
            <v>457</v>
          </cell>
          <cell r="AJ45">
            <v>80</v>
          </cell>
          <cell r="AK45">
            <v>21</v>
          </cell>
        </row>
        <row r="46">
          <cell r="C46">
            <v>350710040</v>
          </cell>
          <cell r="D46">
            <v>36</v>
          </cell>
          <cell r="E46">
            <v>11</v>
          </cell>
          <cell r="F46">
            <v>38</v>
          </cell>
          <cell r="G46">
            <v>14</v>
          </cell>
          <cell r="H46">
            <v>0</v>
          </cell>
          <cell r="I46">
            <v>0</v>
          </cell>
          <cell r="J46">
            <v>23</v>
          </cell>
          <cell r="K46">
            <v>19</v>
          </cell>
          <cell r="L46">
            <v>42</v>
          </cell>
          <cell r="M46">
            <v>6</v>
          </cell>
          <cell r="N46">
            <v>0</v>
          </cell>
          <cell r="O46">
            <v>0</v>
          </cell>
          <cell r="P46">
            <v>14</v>
          </cell>
          <cell r="Q46">
            <v>20</v>
          </cell>
          <cell r="R46">
            <v>0</v>
          </cell>
          <cell r="S46">
            <v>6</v>
          </cell>
          <cell r="T46">
            <v>19</v>
          </cell>
          <cell r="U46">
            <v>39</v>
          </cell>
          <cell r="V46">
            <v>2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0</v>
          </cell>
          <cell r="AB46">
            <v>0</v>
          </cell>
          <cell r="AC46">
            <v>8</v>
          </cell>
          <cell r="AD46">
            <v>2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309</v>
          </cell>
          <cell r="AJ46">
            <v>42</v>
          </cell>
          <cell r="AK46">
            <v>17</v>
          </cell>
        </row>
        <row r="47">
          <cell r="C47">
            <v>350710041</v>
          </cell>
          <cell r="D47">
            <v>62</v>
          </cell>
          <cell r="E47">
            <v>11</v>
          </cell>
          <cell r="F47">
            <v>14</v>
          </cell>
          <cell r="G47">
            <v>4</v>
          </cell>
          <cell r="H47">
            <v>9</v>
          </cell>
          <cell r="I47">
            <v>13</v>
          </cell>
          <cell r="J47">
            <v>17</v>
          </cell>
          <cell r="K47">
            <v>9</v>
          </cell>
          <cell r="L47">
            <v>4</v>
          </cell>
          <cell r="M47">
            <v>6</v>
          </cell>
          <cell r="N47">
            <v>8</v>
          </cell>
          <cell r="O47">
            <v>15</v>
          </cell>
          <cell r="P47">
            <v>4</v>
          </cell>
          <cell r="Q47">
            <v>8</v>
          </cell>
          <cell r="R47">
            <v>4</v>
          </cell>
          <cell r="S47">
            <v>13</v>
          </cell>
          <cell r="T47">
            <v>57</v>
          </cell>
          <cell r="U47">
            <v>6</v>
          </cell>
          <cell r="V47">
            <v>0</v>
          </cell>
          <cell r="W47">
            <v>0</v>
          </cell>
          <cell r="X47">
            <v>3</v>
          </cell>
          <cell r="Y47">
            <v>0</v>
          </cell>
          <cell r="Z47">
            <v>3</v>
          </cell>
          <cell r="AA47">
            <v>8</v>
          </cell>
          <cell r="AB47">
            <v>5</v>
          </cell>
          <cell r="AC47">
            <v>27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310</v>
          </cell>
          <cell r="AJ47">
            <v>62</v>
          </cell>
          <cell r="AK47">
            <v>23</v>
          </cell>
        </row>
        <row r="48">
          <cell r="C48">
            <v>350710042</v>
          </cell>
          <cell r="D48">
            <v>6</v>
          </cell>
          <cell r="E48">
            <v>48</v>
          </cell>
          <cell r="F48">
            <v>8</v>
          </cell>
          <cell r="G48">
            <v>2</v>
          </cell>
          <cell r="H48">
            <v>8</v>
          </cell>
          <cell r="I48">
            <v>9</v>
          </cell>
          <cell r="J48">
            <v>12</v>
          </cell>
          <cell r="K48">
            <v>58</v>
          </cell>
          <cell r="L48">
            <v>2</v>
          </cell>
          <cell r="M48">
            <v>1</v>
          </cell>
          <cell r="N48">
            <v>49</v>
          </cell>
          <cell r="O48">
            <v>1</v>
          </cell>
          <cell r="P48">
            <v>7</v>
          </cell>
          <cell r="Q48">
            <v>17</v>
          </cell>
          <cell r="R48">
            <v>1</v>
          </cell>
          <cell r="S48">
            <v>1</v>
          </cell>
          <cell r="T48">
            <v>34</v>
          </cell>
          <cell r="U48">
            <v>96</v>
          </cell>
          <cell r="V48">
            <v>7</v>
          </cell>
          <cell r="W48">
            <v>6</v>
          </cell>
          <cell r="X48">
            <v>2</v>
          </cell>
          <cell r="Y48">
            <v>0</v>
          </cell>
          <cell r="Z48">
            <v>0</v>
          </cell>
          <cell r="AA48">
            <v>48</v>
          </cell>
          <cell r="AB48">
            <v>14</v>
          </cell>
          <cell r="AC48">
            <v>28</v>
          </cell>
          <cell r="AD48">
            <v>7</v>
          </cell>
          <cell r="AE48">
            <v>19</v>
          </cell>
          <cell r="AF48">
            <v>0</v>
          </cell>
          <cell r="AG48">
            <v>0</v>
          </cell>
          <cell r="AH48">
            <v>0</v>
          </cell>
          <cell r="AI48">
            <v>491</v>
          </cell>
          <cell r="AJ48">
            <v>96</v>
          </cell>
          <cell r="AK48">
            <v>26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4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1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2</v>
          </cell>
          <cell r="AE49">
            <v>15</v>
          </cell>
          <cell r="AF49">
            <v>0</v>
          </cell>
          <cell r="AG49">
            <v>0</v>
          </cell>
          <cell r="AH49">
            <v>0</v>
          </cell>
          <cell r="AI49">
            <v>22</v>
          </cell>
          <cell r="AJ49">
            <v>15</v>
          </cell>
          <cell r="AK49">
            <v>4</v>
          </cell>
        </row>
        <row r="50">
          <cell r="C50">
            <v>350710044</v>
          </cell>
          <cell r="D50">
            <v>27</v>
          </cell>
          <cell r="E50">
            <v>11</v>
          </cell>
          <cell r="F50">
            <v>10</v>
          </cell>
          <cell r="G50">
            <v>26</v>
          </cell>
          <cell r="H50">
            <v>0</v>
          </cell>
          <cell r="I50">
            <v>0</v>
          </cell>
          <cell r="J50">
            <v>6</v>
          </cell>
          <cell r="K50">
            <v>40</v>
          </cell>
          <cell r="L50">
            <v>0</v>
          </cell>
          <cell r="M50">
            <v>0</v>
          </cell>
          <cell r="N50">
            <v>0</v>
          </cell>
          <cell r="O50">
            <v>1</v>
          </cell>
          <cell r="P50">
            <v>4</v>
          </cell>
          <cell r="Q50">
            <v>6</v>
          </cell>
          <cell r="R50">
            <v>4</v>
          </cell>
          <cell r="S50">
            <v>11</v>
          </cell>
          <cell r="T50">
            <v>49</v>
          </cell>
          <cell r="U50">
            <v>59</v>
          </cell>
          <cell r="V50">
            <v>12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8</v>
          </cell>
          <cell r="AB50">
            <v>3</v>
          </cell>
          <cell r="AC50">
            <v>11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288</v>
          </cell>
          <cell r="AJ50">
            <v>59</v>
          </cell>
          <cell r="AK50">
            <v>17</v>
          </cell>
        </row>
        <row r="51">
          <cell r="C51">
            <v>350710045</v>
          </cell>
          <cell r="D51">
            <v>30</v>
          </cell>
          <cell r="E51">
            <v>12</v>
          </cell>
          <cell r="F51">
            <v>86</v>
          </cell>
          <cell r="G51">
            <v>23</v>
          </cell>
          <cell r="H51">
            <v>83</v>
          </cell>
          <cell r="I51">
            <v>6</v>
          </cell>
          <cell r="J51">
            <v>70</v>
          </cell>
          <cell r="K51">
            <v>10</v>
          </cell>
          <cell r="L51">
            <v>0</v>
          </cell>
          <cell r="M51">
            <v>0</v>
          </cell>
          <cell r="N51">
            <v>45</v>
          </cell>
          <cell r="O51">
            <v>40</v>
          </cell>
          <cell r="P51">
            <v>9</v>
          </cell>
          <cell r="Q51">
            <v>33</v>
          </cell>
          <cell r="R51">
            <v>16.5</v>
          </cell>
          <cell r="S51">
            <v>105</v>
          </cell>
          <cell r="T51">
            <v>95</v>
          </cell>
          <cell r="U51">
            <v>4</v>
          </cell>
          <cell r="V51">
            <v>6.5</v>
          </cell>
          <cell r="W51">
            <v>0</v>
          </cell>
          <cell r="X51">
            <v>0</v>
          </cell>
          <cell r="Y51">
            <v>39</v>
          </cell>
          <cell r="Z51">
            <v>45</v>
          </cell>
          <cell r="AA51">
            <v>55</v>
          </cell>
          <cell r="AB51">
            <v>95</v>
          </cell>
          <cell r="AC51">
            <v>65</v>
          </cell>
          <cell r="AD51">
            <v>37</v>
          </cell>
          <cell r="AE51">
            <v>0</v>
          </cell>
          <cell r="AF51">
            <v>0</v>
          </cell>
          <cell r="AG51">
            <v>0</v>
          </cell>
          <cell r="AH51">
            <v>28</v>
          </cell>
          <cell r="AI51">
            <v>1038</v>
          </cell>
          <cell r="AJ51">
            <v>105</v>
          </cell>
          <cell r="AK51">
            <v>24</v>
          </cell>
        </row>
      </sheetData>
      <sheetData sheetId="12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11</v>
          </cell>
          <cell r="S8">
            <v>5</v>
          </cell>
          <cell r="T8">
            <v>45</v>
          </cell>
          <cell r="U8">
            <v>15</v>
          </cell>
          <cell r="V8">
            <v>2</v>
          </cell>
          <cell r="W8">
            <v>3</v>
          </cell>
          <cell r="X8">
            <v>0</v>
          </cell>
          <cell r="Y8">
            <v>8</v>
          </cell>
          <cell r="Z8">
            <v>14</v>
          </cell>
          <cell r="AA8">
            <v>0</v>
          </cell>
          <cell r="AB8">
            <v>0</v>
          </cell>
          <cell r="AC8">
            <v>6</v>
          </cell>
          <cell r="AD8">
            <v>18</v>
          </cell>
          <cell r="AE8">
            <v>7</v>
          </cell>
          <cell r="AF8">
            <v>0</v>
          </cell>
          <cell r="AG8">
            <v>0</v>
          </cell>
          <cell r="AI8">
            <v>137</v>
          </cell>
          <cell r="AJ8">
            <v>45</v>
          </cell>
          <cell r="AK8">
            <v>13</v>
          </cell>
        </row>
        <row r="9">
          <cell r="C9">
            <v>350710002</v>
          </cell>
          <cell r="D9">
            <v>0</v>
          </cell>
          <cell r="E9">
            <v>7</v>
          </cell>
          <cell r="F9">
            <v>4</v>
          </cell>
          <cell r="G9">
            <v>2</v>
          </cell>
          <cell r="H9">
            <v>0</v>
          </cell>
          <cell r="I9">
            <v>49</v>
          </cell>
          <cell r="J9">
            <v>0</v>
          </cell>
          <cell r="K9">
            <v>0</v>
          </cell>
          <cell r="L9">
            <v>8</v>
          </cell>
          <cell r="M9">
            <v>1</v>
          </cell>
          <cell r="N9">
            <v>2</v>
          </cell>
          <cell r="O9">
            <v>0</v>
          </cell>
          <cell r="P9">
            <v>0</v>
          </cell>
          <cell r="Q9">
            <v>12</v>
          </cell>
          <cell r="R9">
            <v>3</v>
          </cell>
          <cell r="S9">
            <v>0</v>
          </cell>
          <cell r="T9">
            <v>47</v>
          </cell>
          <cell r="U9">
            <v>2</v>
          </cell>
          <cell r="V9">
            <v>39</v>
          </cell>
          <cell r="W9">
            <v>0</v>
          </cell>
          <cell r="X9">
            <v>11</v>
          </cell>
          <cell r="Y9">
            <v>16</v>
          </cell>
          <cell r="Z9">
            <v>48</v>
          </cell>
          <cell r="AA9">
            <v>0</v>
          </cell>
          <cell r="AB9">
            <v>10</v>
          </cell>
          <cell r="AC9">
            <v>19</v>
          </cell>
          <cell r="AD9">
            <v>41</v>
          </cell>
          <cell r="AE9">
            <v>2</v>
          </cell>
          <cell r="AF9">
            <v>65</v>
          </cell>
          <cell r="AG9">
            <v>0</v>
          </cell>
          <cell r="AI9">
            <v>388</v>
          </cell>
          <cell r="AJ9">
            <v>65</v>
          </cell>
          <cell r="AK9">
            <v>20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</v>
          </cell>
          <cell r="R10">
            <v>20</v>
          </cell>
          <cell r="S10">
            <v>48</v>
          </cell>
          <cell r="T10">
            <v>11</v>
          </cell>
          <cell r="U10">
            <v>24</v>
          </cell>
          <cell r="V10">
            <v>47</v>
          </cell>
          <cell r="W10">
            <v>0</v>
          </cell>
          <cell r="X10">
            <v>0</v>
          </cell>
          <cell r="Y10">
            <v>1</v>
          </cell>
          <cell r="Z10">
            <v>21</v>
          </cell>
          <cell r="AA10">
            <v>0</v>
          </cell>
          <cell r="AB10">
            <v>8</v>
          </cell>
          <cell r="AC10">
            <v>2</v>
          </cell>
          <cell r="AD10">
            <v>6</v>
          </cell>
          <cell r="AE10">
            <v>2</v>
          </cell>
          <cell r="AF10">
            <v>22</v>
          </cell>
          <cell r="AG10">
            <v>0</v>
          </cell>
          <cell r="AI10">
            <v>214</v>
          </cell>
          <cell r="AJ10">
            <v>48</v>
          </cell>
          <cell r="AK10">
            <v>13</v>
          </cell>
        </row>
        <row r="11">
          <cell r="C11">
            <v>350710004</v>
          </cell>
          <cell r="D11">
            <v>0</v>
          </cell>
          <cell r="E11">
            <v>7</v>
          </cell>
          <cell r="F11">
            <v>0</v>
          </cell>
          <cell r="G11">
            <v>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38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0</v>
          </cell>
          <cell r="R11">
            <v>2</v>
          </cell>
          <cell r="S11">
            <v>7</v>
          </cell>
          <cell r="T11">
            <v>69</v>
          </cell>
          <cell r="U11">
            <v>42</v>
          </cell>
          <cell r="V11">
            <v>3</v>
          </cell>
          <cell r="W11">
            <v>4</v>
          </cell>
          <cell r="X11">
            <v>6</v>
          </cell>
          <cell r="Y11">
            <v>0</v>
          </cell>
          <cell r="Z11">
            <v>39</v>
          </cell>
          <cell r="AA11">
            <v>6</v>
          </cell>
          <cell r="AB11">
            <v>37</v>
          </cell>
          <cell r="AC11">
            <v>0</v>
          </cell>
          <cell r="AD11">
            <v>15</v>
          </cell>
          <cell r="AE11">
            <v>0</v>
          </cell>
          <cell r="AF11">
            <v>54</v>
          </cell>
          <cell r="AG11">
            <v>3</v>
          </cell>
          <cell r="AI11">
            <v>344</v>
          </cell>
          <cell r="AJ11">
            <v>69</v>
          </cell>
          <cell r="AK11">
            <v>17</v>
          </cell>
        </row>
        <row r="12">
          <cell r="C12">
            <v>350710005</v>
          </cell>
          <cell r="D12">
            <v>7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24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12</v>
          </cell>
          <cell r="S12">
            <v>0</v>
          </cell>
          <cell r="T12">
            <v>4</v>
          </cell>
          <cell r="U12">
            <v>0</v>
          </cell>
          <cell r="V12">
            <v>0</v>
          </cell>
          <cell r="W12">
            <v>2</v>
          </cell>
          <cell r="X12">
            <v>20</v>
          </cell>
          <cell r="Y12">
            <v>26</v>
          </cell>
          <cell r="Z12">
            <v>5</v>
          </cell>
          <cell r="AA12">
            <v>26</v>
          </cell>
          <cell r="AB12">
            <v>3</v>
          </cell>
          <cell r="AC12">
            <v>0</v>
          </cell>
          <cell r="AD12">
            <v>0</v>
          </cell>
          <cell r="AE12">
            <v>123</v>
          </cell>
          <cell r="AF12">
            <v>0</v>
          </cell>
          <cell r="AG12">
            <v>0</v>
          </cell>
          <cell r="AI12">
            <v>257</v>
          </cell>
          <cell r="AJ12">
            <v>123</v>
          </cell>
          <cell r="AK12">
            <v>13</v>
          </cell>
        </row>
        <row r="13">
          <cell r="C13">
            <v>350710006</v>
          </cell>
          <cell r="D13">
            <v>0</v>
          </cell>
          <cell r="E13">
            <v>0</v>
          </cell>
          <cell r="F13">
            <v>0</v>
          </cell>
          <cell r="G13">
            <v>7</v>
          </cell>
          <cell r="H13">
            <v>0</v>
          </cell>
          <cell r="I13">
            <v>0</v>
          </cell>
          <cell r="J13">
            <v>5</v>
          </cell>
          <cell r="K13">
            <v>0</v>
          </cell>
          <cell r="L13">
            <v>14</v>
          </cell>
          <cell r="M13">
            <v>0</v>
          </cell>
          <cell r="N13">
            <v>17</v>
          </cell>
          <cell r="O13">
            <v>0</v>
          </cell>
          <cell r="P13">
            <v>0</v>
          </cell>
          <cell r="Q13">
            <v>0</v>
          </cell>
          <cell r="R13">
            <v>36</v>
          </cell>
          <cell r="S13">
            <v>36</v>
          </cell>
          <cell r="T13">
            <v>58</v>
          </cell>
          <cell r="U13">
            <v>0</v>
          </cell>
          <cell r="V13">
            <v>0</v>
          </cell>
          <cell r="W13">
            <v>0</v>
          </cell>
          <cell r="X13">
            <v>8</v>
          </cell>
          <cell r="Y13">
            <v>90</v>
          </cell>
          <cell r="Z13">
            <v>19</v>
          </cell>
          <cell r="AA13">
            <v>12</v>
          </cell>
          <cell r="AB13">
            <v>16</v>
          </cell>
          <cell r="AC13">
            <v>17</v>
          </cell>
          <cell r="AD13">
            <v>18</v>
          </cell>
          <cell r="AE13">
            <v>9</v>
          </cell>
          <cell r="AF13">
            <v>67</v>
          </cell>
          <cell r="AG13">
            <v>12</v>
          </cell>
          <cell r="AI13">
            <v>441</v>
          </cell>
          <cell r="AJ13">
            <v>90</v>
          </cell>
          <cell r="AK13">
            <v>17</v>
          </cell>
        </row>
        <row r="14">
          <cell r="C14">
            <v>350710007</v>
          </cell>
          <cell r="D14">
            <v>0</v>
          </cell>
          <cell r="E14">
            <v>11</v>
          </cell>
          <cell r="F14">
            <v>3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5</v>
          </cell>
          <cell r="S14">
            <v>9</v>
          </cell>
          <cell r="T14">
            <v>0</v>
          </cell>
          <cell r="U14">
            <v>4</v>
          </cell>
          <cell r="V14">
            <v>25</v>
          </cell>
          <cell r="W14">
            <v>0</v>
          </cell>
          <cell r="X14">
            <v>2</v>
          </cell>
          <cell r="Y14">
            <v>36</v>
          </cell>
          <cell r="Z14">
            <v>5</v>
          </cell>
          <cell r="AA14">
            <v>0</v>
          </cell>
          <cell r="AB14">
            <v>8</v>
          </cell>
          <cell r="AC14">
            <v>0</v>
          </cell>
          <cell r="AD14">
            <v>0</v>
          </cell>
          <cell r="AE14">
            <v>0</v>
          </cell>
          <cell r="AF14">
            <v>57</v>
          </cell>
          <cell r="AG14">
            <v>0</v>
          </cell>
          <cell r="AI14">
            <v>222</v>
          </cell>
          <cell r="AJ14">
            <v>57</v>
          </cell>
          <cell r="AK14">
            <v>12</v>
          </cell>
        </row>
        <row r="15">
          <cell r="C15">
            <v>350710008</v>
          </cell>
          <cell r="D15">
            <v>0</v>
          </cell>
          <cell r="E15">
            <v>0</v>
          </cell>
          <cell r="F15">
            <v>0</v>
          </cell>
          <cell r="G15">
            <v>15</v>
          </cell>
          <cell r="H15">
            <v>0</v>
          </cell>
          <cell r="I15">
            <v>48</v>
          </cell>
          <cell r="J15">
            <v>0</v>
          </cell>
          <cell r="K15">
            <v>0</v>
          </cell>
          <cell r="L15">
            <v>12</v>
          </cell>
          <cell r="M15">
            <v>0</v>
          </cell>
          <cell r="N15">
            <v>5</v>
          </cell>
          <cell r="O15">
            <v>0</v>
          </cell>
          <cell r="P15">
            <v>0</v>
          </cell>
          <cell r="Q15">
            <v>0</v>
          </cell>
          <cell r="R15">
            <v>8</v>
          </cell>
          <cell r="S15">
            <v>15</v>
          </cell>
          <cell r="T15">
            <v>0</v>
          </cell>
          <cell r="U15">
            <v>27</v>
          </cell>
          <cell r="V15">
            <v>15</v>
          </cell>
          <cell r="W15">
            <v>27</v>
          </cell>
          <cell r="X15">
            <v>41</v>
          </cell>
          <cell r="Y15">
            <v>37</v>
          </cell>
          <cell r="Z15">
            <v>19</v>
          </cell>
          <cell r="AA15">
            <v>17</v>
          </cell>
          <cell r="AB15">
            <v>13</v>
          </cell>
          <cell r="AC15">
            <v>25</v>
          </cell>
          <cell r="AD15">
            <v>37</v>
          </cell>
          <cell r="AE15">
            <v>29</v>
          </cell>
          <cell r="AF15">
            <v>43</v>
          </cell>
          <cell r="AG15">
            <v>0</v>
          </cell>
          <cell r="AI15">
            <v>433</v>
          </cell>
          <cell r="AJ15">
            <v>48</v>
          </cell>
          <cell r="AK15">
            <v>18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60</v>
          </cell>
          <cell r="G16">
            <v>0</v>
          </cell>
          <cell r="H16">
            <v>3</v>
          </cell>
          <cell r="I16">
            <v>20</v>
          </cell>
          <cell r="J16">
            <v>0</v>
          </cell>
          <cell r="K16">
            <v>7</v>
          </cell>
          <cell r="L16">
            <v>12</v>
          </cell>
          <cell r="M16">
            <v>0</v>
          </cell>
          <cell r="N16">
            <v>4</v>
          </cell>
          <cell r="O16">
            <v>20</v>
          </cell>
          <cell r="P16">
            <v>0</v>
          </cell>
          <cell r="Q16">
            <v>4</v>
          </cell>
          <cell r="R16">
            <v>0</v>
          </cell>
          <cell r="S16">
            <v>68</v>
          </cell>
          <cell r="T16">
            <v>13</v>
          </cell>
          <cell r="U16">
            <v>12</v>
          </cell>
          <cell r="V16">
            <v>3</v>
          </cell>
          <cell r="W16">
            <v>0</v>
          </cell>
          <cell r="X16">
            <v>46</v>
          </cell>
          <cell r="Y16">
            <v>4</v>
          </cell>
          <cell r="Z16">
            <v>20</v>
          </cell>
          <cell r="AA16">
            <v>29</v>
          </cell>
          <cell r="AB16">
            <v>36</v>
          </cell>
          <cell r="AC16">
            <v>3</v>
          </cell>
          <cell r="AD16">
            <v>59</v>
          </cell>
          <cell r="AE16">
            <v>0</v>
          </cell>
          <cell r="AF16">
            <v>99</v>
          </cell>
          <cell r="AG16">
            <v>5</v>
          </cell>
          <cell r="AI16">
            <v>527</v>
          </cell>
          <cell r="AJ16">
            <v>99</v>
          </cell>
          <cell r="AK16">
            <v>21</v>
          </cell>
        </row>
        <row r="17">
          <cell r="C17">
            <v>350710010</v>
          </cell>
          <cell r="D17">
            <v>0</v>
          </cell>
          <cell r="E17">
            <v>6</v>
          </cell>
          <cell r="F17">
            <v>28</v>
          </cell>
          <cell r="G17">
            <v>4</v>
          </cell>
          <cell r="H17">
            <v>5</v>
          </cell>
          <cell r="I17">
            <v>17</v>
          </cell>
          <cell r="J17">
            <v>0</v>
          </cell>
          <cell r="K17">
            <v>0</v>
          </cell>
          <cell r="L17">
            <v>9</v>
          </cell>
          <cell r="M17">
            <v>0</v>
          </cell>
          <cell r="N17">
            <v>2</v>
          </cell>
          <cell r="O17">
            <v>28</v>
          </cell>
          <cell r="P17">
            <v>0</v>
          </cell>
          <cell r="Q17">
            <v>6</v>
          </cell>
          <cell r="R17">
            <v>5</v>
          </cell>
          <cell r="S17">
            <v>28</v>
          </cell>
          <cell r="T17">
            <v>24</v>
          </cell>
          <cell r="U17">
            <v>6</v>
          </cell>
          <cell r="V17">
            <v>2</v>
          </cell>
          <cell r="W17">
            <v>0</v>
          </cell>
          <cell r="X17">
            <v>28</v>
          </cell>
          <cell r="Y17">
            <v>6</v>
          </cell>
          <cell r="Z17">
            <v>24</v>
          </cell>
          <cell r="AA17">
            <v>27</v>
          </cell>
          <cell r="AB17">
            <v>28</v>
          </cell>
          <cell r="AC17">
            <v>2</v>
          </cell>
          <cell r="AD17">
            <v>24</v>
          </cell>
          <cell r="AE17">
            <v>3</v>
          </cell>
          <cell r="AF17">
            <v>28</v>
          </cell>
          <cell r="AG17">
            <v>4</v>
          </cell>
          <cell r="AI17">
            <v>344</v>
          </cell>
          <cell r="AJ17">
            <v>28</v>
          </cell>
          <cell r="AK17">
            <v>24</v>
          </cell>
        </row>
        <row r="18">
          <cell r="C18">
            <v>350710011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10</v>
          </cell>
          <cell r="J18">
            <v>15</v>
          </cell>
          <cell r="K18">
            <v>0</v>
          </cell>
          <cell r="L18">
            <v>55</v>
          </cell>
          <cell r="M18">
            <v>25</v>
          </cell>
          <cell r="N18">
            <v>120</v>
          </cell>
          <cell r="O18">
            <v>110</v>
          </cell>
          <cell r="P18">
            <v>95</v>
          </cell>
          <cell r="Q18">
            <v>5</v>
          </cell>
          <cell r="R18">
            <v>5</v>
          </cell>
          <cell r="S18">
            <v>5</v>
          </cell>
          <cell r="T18">
            <v>0</v>
          </cell>
          <cell r="U18">
            <v>0</v>
          </cell>
          <cell r="V18">
            <v>0</v>
          </cell>
          <cell r="W18">
            <v>25</v>
          </cell>
          <cell r="X18">
            <v>30</v>
          </cell>
          <cell r="Y18">
            <v>15</v>
          </cell>
          <cell r="Z18">
            <v>10</v>
          </cell>
          <cell r="AA18">
            <v>5</v>
          </cell>
          <cell r="AB18">
            <v>5</v>
          </cell>
          <cell r="AC18">
            <v>5</v>
          </cell>
          <cell r="AD18">
            <v>5</v>
          </cell>
          <cell r="AE18">
            <v>5</v>
          </cell>
          <cell r="AF18">
            <v>5</v>
          </cell>
          <cell r="AG18">
            <v>5</v>
          </cell>
          <cell r="AI18">
            <v>560</v>
          </cell>
          <cell r="AJ18">
            <v>120</v>
          </cell>
          <cell r="AK18">
            <v>21</v>
          </cell>
        </row>
        <row r="19">
          <cell r="C19">
            <v>350710012</v>
          </cell>
          <cell r="D19">
            <v>16</v>
          </cell>
          <cell r="E19">
            <v>10</v>
          </cell>
          <cell r="F19">
            <v>75</v>
          </cell>
          <cell r="G19">
            <v>22</v>
          </cell>
          <cell r="H19">
            <v>23</v>
          </cell>
          <cell r="I19">
            <v>6</v>
          </cell>
          <cell r="J19">
            <v>0</v>
          </cell>
          <cell r="K19">
            <v>0</v>
          </cell>
          <cell r="L19">
            <v>2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  <cell r="Q19">
            <v>4</v>
          </cell>
          <cell r="R19">
            <v>12</v>
          </cell>
          <cell r="S19">
            <v>5</v>
          </cell>
          <cell r="T19">
            <v>18</v>
          </cell>
          <cell r="U19">
            <v>3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</v>
          </cell>
          <cell r="AA19">
            <v>52</v>
          </cell>
          <cell r="AB19">
            <v>0</v>
          </cell>
          <cell r="AC19">
            <v>43</v>
          </cell>
          <cell r="AD19">
            <v>14</v>
          </cell>
          <cell r="AE19">
            <v>0</v>
          </cell>
          <cell r="AF19">
            <v>2</v>
          </cell>
          <cell r="AG19">
            <v>0</v>
          </cell>
          <cell r="AI19">
            <v>313</v>
          </cell>
          <cell r="AJ19">
            <v>75</v>
          </cell>
          <cell r="AK19">
            <v>18</v>
          </cell>
        </row>
        <row r="20">
          <cell r="C20">
            <v>350710013</v>
          </cell>
          <cell r="D20">
            <v>0</v>
          </cell>
          <cell r="E20">
            <v>2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</v>
          </cell>
          <cell r="L20">
            <v>16</v>
          </cell>
          <cell r="M20">
            <v>0</v>
          </cell>
          <cell r="N20">
            <v>18</v>
          </cell>
          <cell r="O20">
            <v>8</v>
          </cell>
          <cell r="P20">
            <v>16</v>
          </cell>
          <cell r="Q20">
            <v>13</v>
          </cell>
          <cell r="R20">
            <v>44</v>
          </cell>
          <cell r="S20">
            <v>4</v>
          </cell>
          <cell r="T20">
            <v>32</v>
          </cell>
          <cell r="U20">
            <v>3</v>
          </cell>
          <cell r="V20">
            <v>4</v>
          </cell>
          <cell r="W20">
            <v>0</v>
          </cell>
          <cell r="X20">
            <v>7</v>
          </cell>
          <cell r="Y20">
            <v>13</v>
          </cell>
          <cell r="Z20">
            <v>2</v>
          </cell>
          <cell r="AA20">
            <v>16</v>
          </cell>
          <cell r="AB20">
            <v>34</v>
          </cell>
          <cell r="AC20">
            <v>0</v>
          </cell>
          <cell r="AD20">
            <v>7</v>
          </cell>
          <cell r="AE20">
            <v>2</v>
          </cell>
          <cell r="AF20">
            <v>27</v>
          </cell>
          <cell r="AG20">
            <v>16</v>
          </cell>
          <cell r="AI20">
            <v>286</v>
          </cell>
          <cell r="AJ20">
            <v>44</v>
          </cell>
          <cell r="AK20">
            <v>22</v>
          </cell>
        </row>
        <row r="21">
          <cell r="C21">
            <v>350710014</v>
          </cell>
          <cell r="D21">
            <v>0</v>
          </cell>
          <cell r="E21">
            <v>0</v>
          </cell>
          <cell r="F21">
            <v>39</v>
          </cell>
          <cell r="G21">
            <v>0</v>
          </cell>
          <cell r="H21">
            <v>9</v>
          </cell>
          <cell r="I21">
            <v>23</v>
          </cell>
          <cell r="J21">
            <v>0</v>
          </cell>
          <cell r="K21">
            <v>0</v>
          </cell>
          <cell r="L21">
            <v>14</v>
          </cell>
          <cell r="M21">
            <v>0</v>
          </cell>
          <cell r="N21">
            <v>23</v>
          </cell>
          <cell r="O21">
            <v>21</v>
          </cell>
          <cell r="P21">
            <v>2</v>
          </cell>
          <cell r="Q21">
            <v>0</v>
          </cell>
          <cell r="R21">
            <v>6</v>
          </cell>
          <cell r="S21">
            <v>71</v>
          </cell>
          <cell r="T21">
            <v>37</v>
          </cell>
          <cell r="U21">
            <v>6</v>
          </cell>
          <cell r="V21">
            <v>18</v>
          </cell>
          <cell r="W21">
            <v>0</v>
          </cell>
          <cell r="X21">
            <v>29</v>
          </cell>
          <cell r="Y21">
            <v>0</v>
          </cell>
          <cell r="Z21">
            <v>69</v>
          </cell>
          <cell r="AA21">
            <v>5</v>
          </cell>
          <cell r="AB21">
            <v>35</v>
          </cell>
          <cell r="AC21">
            <v>0</v>
          </cell>
          <cell r="AD21">
            <v>0</v>
          </cell>
          <cell r="AE21">
            <v>16</v>
          </cell>
          <cell r="AF21">
            <v>45</v>
          </cell>
          <cell r="AG21">
            <v>0</v>
          </cell>
          <cell r="AI21">
            <v>468</v>
          </cell>
          <cell r="AJ21">
            <v>71</v>
          </cell>
          <cell r="AK21">
            <v>18</v>
          </cell>
        </row>
        <row r="22">
          <cell r="C22">
            <v>350710015</v>
          </cell>
          <cell r="D22">
            <v>0</v>
          </cell>
          <cell r="E22">
            <v>15</v>
          </cell>
          <cell r="F22">
            <v>74</v>
          </cell>
          <cell r="G22">
            <v>10</v>
          </cell>
          <cell r="H22">
            <v>29</v>
          </cell>
          <cell r="I22">
            <v>7</v>
          </cell>
          <cell r="J22">
            <v>5</v>
          </cell>
          <cell r="K22">
            <v>13</v>
          </cell>
          <cell r="L22">
            <v>9</v>
          </cell>
          <cell r="M22">
            <v>14</v>
          </cell>
          <cell r="N22">
            <v>9</v>
          </cell>
          <cell r="O22">
            <v>10</v>
          </cell>
          <cell r="P22">
            <v>6</v>
          </cell>
          <cell r="Q22">
            <v>8</v>
          </cell>
          <cell r="R22">
            <v>9</v>
          </cell>
          <cell r="S22">
            <v>12</v>
          </cell>
          <cell r="T22">
            <v>21</v>
          </cell>
          <cell r="U22">
            <v>14</v>
          </cell>
          <cell r="V22">
            <v>0</v>
          </cell>
          <cell r="W22">
            <v>12</v>
          </cell>
          <cell r="X22">
            <v>0</v>
          </cell>
          <cell r="Y22">
            <v>10</v>
          </cell>
          <cell r="Z22">
            <v>7</v>
          </cell>
          <cell r="AA22">
            <v>15</v>
          </cell>
          <cell r="AB22">
            <v>10</v>
          </cell>
          <cell r="AC22">
            <v>17</v>
          </cell>
          <cell r="AD22">
            <v>7</v>
          </cell>
          <cell r="AE22">
            <v>31</v>
          </cell>
          <cell r="AF22">
            <v>7</v>
          </cell>
          <cell r="AG22">
            <v>0</v>
          </cell>
          <cell r="AI22">
            <v>381</v>
          </cell>
          <cell r="AJ22">
            <v>74</v>
          </cell>
          <cell r="AK22">
            <v>26</v>
          </cell>
        </row>
        <row r="23">
          <cell r="C23">
            <v>350710016</v>
          </cell>
          <cell r="D23">
            <v>0</v>
          </cell>
          <cell r="E23">
            <v>9</v>
          </cell>
          <cell r="F23">
            <v>6</v>
          </cell>
          <cell r="G23">
            <v>0</v>
          </cell>
          <cell r="H23">
            <v>0</v>
          </cell>
          <cell r="I23">
            <v>14</v>
          </cell>
          <cell r="J23">
            <v>0</v>
          </cell>
          <cell r="K23">
            <v>0</v>
          </cell>
          <cell r="L23">
            <v>36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7</v>
          </cell>
          <cell r="S23">
            <v>5</v>
          </cell>
          <cell r="T23">
            <v>4</v>
          </cell>
          <cell r="U23">
            <v>3</v>
          </cell>
          <cell r="V23">
            <v>0</v>
          </cell>
          <cell r="W23">
            <v>0</v>
          </cell>
          <cell r="X23">
            <v>4</v>
          </cell>
          <cell r="Y23">
            <v>42</v>
          </cell>
          <cell r="Z23">
            <v>7</v>
          </cell>
          <cell r="AA23">
            <v>0</v>
          </cell>
          <cell r="AB23">
            <v>10</v>
          </cell>
          <cell r="AC23">
            <v>0</v>
          </cell>
          <cell r="AD23">
            <v>16</v>
          </cell>
          <cell r="AE23">
            <v>0</v>
          </cell>
          <cell r="AF23">
            <v>87</v>
          </cell>
          <cell r="AG23">
            <v>0</v>
          </cell>
          <cell r="AI23">
            <v>250</v>
          </cell>
          <cell r="AJ23">
            <v>87</v>
          </cell>
          <cell r="AK23">
            <v>14</v>
          </cell>
        </row>
        <row r="24">
          <cell r="C24">
            <v>350710017</v>
          </cell>
          <cell r="D24">
            <v>0</v>
          </cell>
          <cell r="E24">
            <v>30</v>
          </cell>
          <cell r="F24">
            <v>16</v>
          </cell>
          <cell r="G24">
            <v>139</v>
          </cell>
          <cell r="H24">
            <v>14</v>
          </cell>
          <cell r="I24">
            <v>5</v>
          </cell>
          <cell r="J24">
            <v>8</v>
          </cell>
          <cell r="K24">
            <v>6</v>
          </cell>
          <cell r="L24">
            <v>23</v>
          </cell>
          <cell r="M24">
            <v>17</v>
          </cell>
          <cell r="N24">
            <v>49</v>
          </cell>
          <cell r="O24">
            <v>5</v>
          </cell>
          <cell r="P24">
            <v>8</v>
          </cell>
          <cell r="Q24">
            <v>4</v>
          </cell>
          <cell r="R24">
            <v>2</v>
          </cell>
          <cell r="S24">
            <v>9</v>
          </cell>
          <cell r="T24">
            <v>37</v>
          </cell>
          <cell r="U24">
            <v>18</v>
          </cell>
          <cell r="V24">
            <v>0</v>
          </cell>
          <cell r="W24">
            <v>27</v>
          </cell>
          <cell r="X24">
            <v>9</v>
          </cell>
          <cell r="Y24">
            <v>4</v>
          </cell>
          <cell r="Z24">
            <v>7</v>
          </cell>
          <cell r="AA24">
            <v>6</v>
          </cell>
          <cell r="AB24">
            <v>14</v>
          </cell>
          <cell r="AC24">
            <v>19</v>
          </cell>
          <cell r="AD24">
            <v>29</v>
          </cell>
          <cell r="AE24">
            <v>43</v>
          </cell>
          <cell r="AF24">
            <v>0</v>
          </cell>
          <cell r="AG24">
            <v>0</v>
          </cell>
          <cell r="AI24">
            <v>548</v>
          </cell>
          <cell r="AJ24">
            <v>139</v>
          </cell>
          <cell r="AK24">
            <v>26</v>
          </cell>
        </row>
        <row r="25">
          <cell r="C25">
            <v>350710018</v>
          </cell>
          <cell r="D25">
            <v>92</v>
          </cell>
          <cell r="E25">
            <v>30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72</v>
          </cell>
          <cell r="K25">
            <v>0</v>
          </cell>
          <cell r="L25">
            <v>13</v>
          </cell>
          <cell r="M25">
            <v>0</v>
          </cell>
          <cell r="N25">
            <v>0</v>
          </cell>
          <cell r="O25">
            <v>81</v>
          </cell>
          <cell r="P25">
            <v>0</v>
          </cell>
          <cell r="Q25">
            <v>0</v>
          </cell>
          <cell r="R25">
            <v>0</v>
          </cell>
          <cell r="S25">
            <v>39</v>
          </cell>
          <cell r="T25">
            <v>0</v>
          </cell>
          <cell r="U25">
            <v>87</v>
          </cell>
          <cell r="V25">
            <v>122</v>
          </cell>
          <cell r="W25">
            <v>70</v>
          </cell>
          <cell r="X25">
            <v>24</v>
          </cell>
          <cell r="Y25">
            <v>21</v>
          </cell>
          <cell r="Z25">
            <v>87</v>
          </cell>
          <cell r="AA25">
            <v>19</v>
          </cell>
          <cell r="AB25">
            <v>0</v>
          </cell>
          <cell r="AC25">
            <v>28</v>
          </cell>
          <cell r="AD25">
            <v>55</v>
          </cell>
          <cell r="AE25">
            <v>55</v>
          </cell>
          <cell r="AF25">
            <v>0</v>
          </cell>
          <cell r="AG25">
            <v>0</v>
          </cell>
          <cell r="AI25">
            <v>895</v>
          </cell>
          <cell r="AJ25">
            <v>122</v>
          </cell>
          <cell r="AK25">
            <v>16</v>
          </cell>
        </row>
        <row r="26">
          <cell r="C26">
            <v>350710019</v>
          </cell>
          <cell r="D26">
            <v>47</v>
          </cell>
          <cell r="E26">
            <v>51</v>
          </cell>
          <cell r="F26">
            <v>43</v>
          </cell>
          <cell r="G26">
            <v>40</v>
          </cell>
          <cell r="H26">
            <v>39</v>
          </cell>
          <cell r="I26">
            <v>33</v>
          </cell>
          <cell r="J26">
            <v>43</v>
          </cell>
          <cell r="K26">
            <v>54</v>
          </cell>
          <cell r="L26">
            <v>15</v>
          </cell>
          <cell r="M26">
            <v>49</v>
          </cell>
          <cell r="N26">
            <v>43</v>
          </cell>
          <cell r="O26">
            <v>0</v>
          </cell>
          <cell r="P26">
            <v>29</v>
          </cell>
          <cell r="Q26">
            <v>31</v>
          </cell>
          <cell r="R26">
            <v>28</v>
          </cell>
          <cell r="S26">
            <v>46</v>
          </cell>
          <cell r="T26">
            <v>33</v>
          </cell>
          <cell r="U26">
            <v>37</v>
          </cell>
          <cell r="V26">
            <v>0</v>
          </cell>
          <cell r="W26">
            <v>29</v>
          </cell>
          <cell r="X26">
            <v>51</v>
          </cell>
          <cell r="Y26">
            <v>44</v>
          </cell>
          <cell r="Z26">
            <v>28</v>
          </cell>
          <cell r="AA26">
            <v>31</v>
          </cell>
          <cell r="AB26">
            <v>29</v>
          </cell>
          <cell r="AC26">
            <v>41</v>
          </cell>
          <cell r="AD26">
            <v>46</v>
          </cell>
          <cell r="AE26">
            <v>47</v>
          </cell>
          <cell r="AF26">
            <v>9</v>
          </cell>
          <cell r="AG26">
            <v>0</v>
          </cell>
          <cell r="AI26">
            <v>1016</v>
          </cell>
          <cell r="AJ26">
            <v>54</v>
          </cell>
          <cell r="AK26">
            <v>27</v>
          </cell>
        </row>
        <row r="27">
          <cell r="C27">
            <v>350710020</v>
          </cell>
          <cell r="D27">
            <v>4</v>
          </cell>
          <cell r="E27">
            <v>11</v>
          </cell>
          <cell r="F27">
            <v>10</v>
          </cell>
          <cell r="G27">
            <v>28</v>
          </cell>
          <cell r="H27">
            <v>22</v>
          </cell>
          <cell r="I27">
            <v>24</v>
          </cell>
          <cell r="J27">
            <v>1</v>
          </cell>
          <cell r="K27">
            <v>0</v>
          </cell>
          <cell r="L27">
            <v>38</v>
          </cell>
          <cell r="M27">
            <v>2</v>
          </cell>
          <cell r="N27">
            <v>77</v>
          </cell>
          <cell r="O27">
            <v>12</v>
          </cell>
          <cell r="P27">
            <v>1</v>
          </cell>
          <cell r="Q27">
            <v>23</v>
          </cell>
          <cell r="R27">
            <v>4</v>
          </cell>
          <cell r="S27">
            <v>24</v>
          </cell>
          <cell r="T27">
            <v>61</v>
          </cell>
          <cell r="U27">
            <v>41</v>
          </cell>
          <cell r="V27">
            <v>3</v>
          </cell>
          <cell r="W27">
            <v>0</v>
          </cell>
          <cell r="X27">
            <v>56</v>
          </cell>
          <cell r="Y27">
            <v>10</v>
          </cell>
          <cell r="Z27">
            <v>16</v>
          </cell>
          <cell r="AA27">
            <v>17</v>
          </cell>
          <cell r="AB27">
            <v>48</v>
          </cell>
          <cell r="AC27">
            <v>3</v>
          </cell>
          <cell r="AD27">
            <v>18</v>
          </cell>
          <cell r="AE27">
            <v>5</v>
          </cell>
          <cell r="AF27">
            <v>54</v>
          </cell>
          <cell r="AG27">
            <v>5</v>
          </cell>
          <cell r="AI27">
            <v>618</v>
          </cell>
          <cell r="AJ27">
            <v>77</v>
          </cell>
          <cell r="AK27">
            <v>28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39</v>
          </cell>
          <cell r="G28">
            <v>7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84</v>
          </cell>
          <cell r="M28">
            <v>0</v>
          </cell>
          <cell r="N28">
            <v>17</v>
          </cell>
          <cell r="O28">
            <v>13</v>
          </cell>
          <cell r="P28">
            <v>18</v>
          </cell>
          <cell r="Q28">
            <v>15</v>
          </cell>
          <cell r="R28">
            <v>0</v>
          </cell>
          <cell r="S28">
            <v>0</v>
          </cell>
          <cell r="T28">
            <v>41</v>
          </cell>
          <cell r="U28">
            <v>0</v>
          </cell>
          <cell r="V28">
            <v>0</v>
          </cell>
          <cell r="W28">
            <v>0</v>
          </cell>
          <cell r="X28">
            <v>29</v>
          </cell>
          <cell r="Y28">
            <v>20</v>
          </cell>
          <cell r="Z28">
            <v>5</v>
          </cell>
          <cell r="AA28">
            <v>11</v>
          </cell>
          <cell r="AB28">
            <v>23</v>
          </cell>
          <cell r="AC28">
            <v>34</v>
          </cell>
          <cell r="AD28">
            <v>6</v>
          </cell>
          <cell r="AE28">
            <v>19</v>
          </cell>
          <cell r="AF28">
            <v>73</v>
          </cell>
          <cell r="AG28">
            <v>8</v>
          </cell>
          <cell r="AI28">
            <v>462</v>
          </cell>
          <cell r="AJ28">
            <v>84</v>
          </cell>
          <cell r="AK28">
            <v>18</v>
          </cell>
        </row>
        <row r="29">
          <cell r="C29">
            <v>350710022</v>
          </cell>
          <cell r="D29">
            <v>0</v>
          </cell>
          <cell r="E29">
            <v>13</v>
          </cell>
          <cell r="F29">
            <v>0</v>
          </cell>
          <cell r="G29">
            <v>142</v>
          </cell>
          <cell r="H29">
            <v>0</v>
          </cell>
          <cell r="I29">
            <v>22</v>
          </cell>
          <cell r="J29">
            <v>0.5</v>
          </cell>
          <cell r="K29">
            <v>83</v>
          </cell>
          <cell r="L29">
            <v>52</v>
          </cell>
          <cell r="M29">
            <v>8</v>
          </cell>
          <cell r="N29">
            <v>46</v>
          </cell>
          <cell r="O29">
            <v>34</v>
          </cell>
          <cell r="P29">
            <v>13</v>
          </cell>
          <cell r="Q29">
            <v>18</v>
          </cell>
          <cell r="R29">
            <v>66</v>
          </cell>
          <cell r="S29">
            <v>4</v>
          </cell>
          <cell r="T29">
            <v>6</v>
          </cell>
          <cell r="U29">
            <v>2</v>
          </cell>
          <cell r="V29">
            <v>0.5</v>
          </cell>
          <cell r="W29">
            <v>0</v>
          </cell>
          <cell r="X29">
            <v>0</v>
          </cell>
          <cell r="Y29">
            <v>18</v>
          </cell>
          <cell r="Z29">
            <v>15</v>
          </cell>
          <cell r="AA29">
            <v>5</v>
          </cell>
          <cell r="AB29">
            <v>0</v>
          </cell>
          <cell r="AC29">
            <v>0</v>
          </cell>
          <cell r="AD29">
            <v>0</v>
          </cell>
          <cell r="AE29">
            <v>57</v>
          </cell>
          <cell r="AF29">
            <v>147</v>
          </cell>
          <cell r="AG29">
            <v>10</v>
          </cell>
          <cell r="AI29">
            <v>762</v>
          </cell>
          <cell r="AJ29">
            <v>147</v>
          </cell>
          <cell r="AK29">
            <v>22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16</v>
          </cell>
          <cell r="G30">
            <v>14</v>
          </cell>
          <cell r="H30">
            <v>0</v>
          </cell>
          <cell r="I30">
            <v>0</v>
          </cell>
          <cell r="J30">
            <v>0</v>
          </cell>
          <cell r="K30">
            <v>78</v>
          </cell>
          <cell r="L30">
            <v>0</v>
          </cell>
          <cell r="M30">
            <v>0</v>
          </cell>
          <cell r="N30">
            <v>0</v>
          </cell>
          <cell r="O30">
            <v>25</v>
          </cell>
          <cell r="P30">
            <v>0</v>
          </cell>
          <cell r="Q30">
            <v>0</v>
          </cell>
          <cell r="R30">
            <v>14</v>
          </cell>
          <cell r="S30">
            <v>76</v>
          </cell>
          <cell r="T30">
            <v>6</v>
          </cell>
          <cell r="U30">
            <v>0</v>
          </cell>
          <cell r="V30">
            <v>0</v>
          </cell>
          <cell r="W30">
            <v>0</v>
          </cell>
          <cell r="X30">
            <v>19</v>
          </cell>
          <cell r="Y30">
            <v>21</v>
          </cell>
          <cell r="Z30">
            <v>0</v>
          </cell>
          <cell r="AA30">
            <v>38</v>
          </cell>
          <cell r="AB30">
            <v>45</v>
          </cell>
          <cell r="AC30">
            <v>18</v>
          </cell>
          <cell r="AD30">
            <v>0</v>
          </cell>
          <cell r="AE30">
            <v>6</v>
          </cell>
          <cell r="AF30">
            <v>82</v>
          </cell>
          <cell r="AG30">
            <v>0</v>
          </cell>
          <cell r="AI30">
            <v>458</v>
          </cell>
          <cell r="AJ30">
            <v>82</v>
          </cell>
          <cell r="AK30">
            <v>14</v>
          </cell>
        </row>
        <row r="31">
          <cell r="C31">
            <v>350710025</v>
          </cell>
          <cell r="D31">
            <v>0</v>
          </cell>
          <cell r="E31">
            <v>11</v>
          </cell>
          <cell r="F31">
            <v>2</v>
          </cell>
          <cell r="G31">
            <v>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33</v>
          </cell>
          <cell r="M31">
            <v>3</v>
          </cell>
          <cell r="N31">
            <v>5</v>
          </cell>
          <cell r="O31">
            <v>21</v>
          </cell>
          <cell r="P31">
            <v>28</v>
          </cell>
          <cell r="Q31">
            <v>35</v>
          </cell>
          <cell r="R31">
            <v>47</v>
          </cell>
          <cell r="S31">
            <v>13</v>
          </cell>
          <cell r="T31">
            <v>7</v>
          </cell>
          <cell r="U31">
            <v>11</v>
          </cell>
          <cell r="V31">
            <v>3</v>
          </cell>
          <cell r="W31">
            <v>0</v>
          </cell>
          <cell r="X31">
            <v>0</v>
          </cell>
          <cell r="Y31">
            <v>8</v>
          </cell>
          <cell r="Z31">
            <v>5</v>
          </cell>
          <cell r="AA31">
            <v>21</v>
          </cell>
          <cell r="AB31">
            <v>21</v>
          </cell>
          <cell r="AC31">
            <v>2</v>
          </cell>
          <cell r="AD31">
            <v>17</v>
          </cell>
          <cell r="AE31">
            <v>40</v>
          </cell>
          <cell r="AF31">
            <v>70</v>
          </cell>
          <cell r="AG31">
            <v>15</v>
          </cell>
          <cell r="AI31">
            <v>419</v>
          </cell>
          <cell r="AJ31">
            <v>70</v>
          </cell>
          <cell r="AK31">
            <v>23</v>
          </cell>
        </row>
        <row r="32">
          <cell r="C32">
            <v>350710026</v>
          </cell>
          <cell r="D32">
            <v>0</v>
          </cell>
          <cell r="E32">
            <v>44</v>
          </cell>
          <cell r="F32">
            <v>0</v>
          </cell>
          <cell r="G32">
            <v>6</v>
          </cell>
          <cell r="H32">
            <v>0</v>
          </cell>
          <cell r="I32">
            <v>3</v>
          </cell>
          <cell r="J32">
            <v>0</v>
          </cell>
          <cell r="K32">
            <v>0</v>
          </cell>
          <cell r="L32">
            <v>21</v>
          </cell>
          <cell r="M32">
            <v>0</v>
          </cell>
          <cell r="N32">
            <v>20</v>
          </cell>
          <cell r="O32">
            <v>0</v>
          </cell>
          <cell r="P32">
            <v>17</v>
          </cell>
          <cell r="Q32">
            <v>9</v>
          </cell>
          <cell r="R32">
            <v>21</v>
          </cell>
          <cell r="S32">
            <v>54</v>
          </cell>
          <cell r="T32">
            <v>20</v>
          </cell>
          <cell r="U32">
            <v>16</v>
          </cell>
          <cell r="V32">
            <v>105</v>
          </cell>
          <cell r="W32">
            <v>0</v>
          </cell>
          <cell r="X32">
            <v>11</v>
          </cell>
          <cell r="Y32">
            <v>0</v>
          </cell>
          <cell r="Z32">
            <v>22</v>
          </cell>
          <cell r="AA32">
            <v>3</v>
          </cell>
          <cell r="AB32">
            <v>36</v>
          </cell>
          <cell r="AC32">
            <v>34</v>
          </cell>
          <cell r="AD32">
            <v>49</v>
          </cell>
          <cell r="AE32">
            <v>0</v>
          </cell>
          <cell r="AF32">
            <v>97</v>
          </cell>
          <cell r="AG32">
            <v>0</v>
          </cell>
          <cell r="AI32">
            <v>588</v>
          </cell>
          <cell r="AJ32">
            <v>105</v>
          </cell>
          <cell r="AK32">
            <v>19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3</v>
          </cell>
          <cell r="L33">
            <v>5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40</v>
          </cell>
          <cell r="R33">
            <v>75</v>
          </cell>
          <cell r="S33">
            <v>7</v>
          </cell>
          <cell r="T33">
            <v>38</v>
          </cell>
          <cell r="U33">
            <v>17</v>
          </cell>
          <cell r="V33">
            <v>0</v>
          </cell>
          <cell r="W33">
            <v>0</v>
          </cell>
          <cell r="X33">
            <v>0</v>
          </cell>
          <cell r="Y33">
            <v>13</v>
          </cell>
          <cell r="Z33">
            <v>0</v>
          </cell>
          <cell r="AA33">
            <v>5</v>
          </cell>
          <cell r="AB33">
            <v>0</v>
          </cell>
          <cell r="AC33">
            <v>15</v>
          </cell>
          <cell r="AD33">
            <v>13</v>
          </cell>
          <cell r="AE33">
            <v>11</v>
          </cell>
          <cell r="AF33">
            <v>0</v>
          </cell>
          <cell r="AG33">
            <v>0</v>
          </cell>
          <cell r="AI33">
            <v>242</v>
          </cell>
          <cell r="AJ33">
            <v>75</v>
          </cell>
          <cell r="AK33">
            <v>12</v>
          </cell>
        </row>
        <row r="34">
          <cell r="C34">
            <v>350710028</v>
          </cell>
          <cell r="D34">
            <v>0</v>
          </cell>
          <cell r="E34">
            <v>12</v>
          </cell>
          <cell r="F34">
            <v>18</v>
          </cell>
          <cell r="G34">
            <v>0</v>
          </cell>
          <cell r="H34">
            <v>23</v>
          </cell>
          <cell r="I34">
            <v>9</v>
          </cell>
          <cell r="J34">
            <v>0</v>
          </cell>
          <cell r="K34">
            <v>11</v>
          </cell>
          <cell r="L34">
            <v>4</v>
          </cell>
          <cell r="M34">
            <v>21</v>
          </cell>
          <cell r="N34">
            <v>24</v>
          </cell>
          <cell r="O34">
            <v>17</v>
          </cell>
          <cell r="P34">
            <v>19</v>
          </cell>
          <cell r="Q34">
            <v>2</v>
          </cell>
          <cell r="R34">
            <v>66</v>
          </cell>
          <cell r="S34">
            <v>16</v>
          </cell>
          <cell r="T34">
            <v>17</v>
          </cell>
          <cell r="U34">
            <v>21</v>
          </cell>
          <cell r="V34">
            <v>0</v>
          </cell>
          <cell r="W34">
            <v>29</v>
          </cell>
          <cell r="X34">
            <v>15</v>
          </cell>
          <cell r="Y34">
            <v>8</v>
          </cell>
          <cell r="Z34">
            <v>56</v>
          </cell>
          <cell r="AA34">
            <v>37</v>
          </cell>
          <cell r="AB34">
            <v>94</v>
          </cell>
          <cell r="AC34">
            <v>47</v>
          </cell>
          <cell r="AD34">
            <v>108</v>
          </cell>
          <cell r="AE34">
            <v>26</v>
          </cell>
          <cell r="AF34">
            <v>2</v>
          </cell>
          <cell r="AG34">
            <v>0</v>
          </cell>
          <cell r="AI34">
            <v>702</v>
          </cell>
          <cell r="AJ34">
            <v>108</v>
          </cell>
          <cell r="AK34">
            <v>25</v>
          </cell>
        </row>
        <row r="35">
          <cell r="C35">
            <v>350710029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25</v>
          </cell>
          <cell r="L35">
            <v>12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18</v>
          </cell>
          <cell r="R35">
            <v>59</v>
          </cell>
          <cell r="S35">
            <v>48</v>
          </cell>
          <cell r="T35">
            <v>47</v>
          </cell>
          <cell r="U35">
            <v>9</v>
          </cell>
          <cell r="V35">
            <v>0</v>
          </cell>
          <cell r="W35">
            <v>0</v>
          </cell>
          <cell r="X35">
            <v>0</v>
          </cell>
          <cell r="Y35">
            <v>52</v>
          </cell>
          <cell r="Z35">
            <v>0</v>
          </cell>
          <cell r="AA35">
            <v>11</v>
          </cell>
          <cell r="AB35">
            <v>7.5</v>
          </cell>
          <cell r="AC35">
            <v>32.5</v>
          </cell>
          <cell r="AD35">
            <v>4</v>
          </cell>
          <cell r="AE35">
            <v>59</v>
          </cell>
          <cell r="AF35">
            <v>2</v>
          </cell>
          <cell r="AG35">
            <v>42</v>
          </cell>
          <cell r="AI35">
            <v>428</v>
          </cell>
          <cell r="AJ35">
            <v>59</v>
          </cell>
          <cell r="AK35">
            <v>15</v>
          </cell>
        </row>
        <row r="36">
          <cell r="C36">
            <v>350710030</v>
          </cell>
          <cell r="D36">
            <v>0</v>
          </cell>
          <cell r="E36">
            <v>58</v>
          </cell>
          <cell r="F36">
            <v>7</v>
          </cell>
          <cell r="G36">
            <v>1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17</v>
          </cell>
          <cell r="M36">
            <v>0.2</v>
          </cell>
          <cell r="N36">
            <v>0</v>
          </cell>
          <cell r="O36">
            <v>4</v>
          </cell>
          <cell r="P36">
            <v>2</v>
          </cell>
          <cell r="Q36">
            <v>52</v>
          </cell>
          <cell r="R36">
            <v>22</v>
          </cell>
          <cell r="S36">
            <v>77</v>
          </cell>
          <cell r="T36">
            <v>14</v>
          </cell>
          <cell r="U36">
            <v>4</v>
          </cell>
          <cell r="V36">
            <v>0.4</v>
          </cell>
          <cell r="W36">
            <v>0</v>
          </cell>
          <cell r="X36">
            <v>0</v>
          </cell>
          <cell r="Y36">
            <v>28</v>
          </cell>
          <cell r="Z36">
            <v>1</v>
          </cell>
          <cell r="AA36">
            <v>35</v>
          </cell>
          <cell r="AB36">
            <v>2</v>
          </cell>
          <cell r="AC36">
            <v>0</v>
          </cell>
          <cell r="AD36">
            <v>12</v>
          </cell>
          <cell r="AE36">
            <v>70</v>
          </cell>
          <cell r="AF36">
            <v>57</v>
          </cell>
          <cell r="AG36">
            <v>20</v>
          </cell>
          <cell r="AI36">
            <v>484.59999999999997</v>
          </cell>
          <cell r="AJ36">
            <v>77</v>
          </cell>
          <cell r="AK36">
            <v>22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38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12</v>
          </cell>
          <cell r="M37">
            <v>0</v>
          </cell>
          <cell r="N37">
            <v>0</v>
          </cell>
          <cell r="O37">
            <v>0</v>
          </cell>
          <cell r="P37">
            <v>24</v>
          </cell>
          <cell r="Q37">
            <v>18</v>
          </cell>
          <cell r="R37">
            <v>0</v>
          </cell>
          <cell r="S37">
            <v>48</v>
          </cell>
          <cell r="T37">
            <v>14</v>
          </cell>
          <cell r="U37">
            <v>0</v>
          </cell>
          <cell r="V37">
            <v>0</v>
          </cell>
          <cell r="W37">
            <v>0</v>
          </cell>
          <cell r="X37">
            <v>48</v>
          </cell>
          <cell r="Y37">
            <v>90</v>
          </cell>
          <cell r="Z37">
            <v>11</v>
          </cell>
          <cell r="AA37">
            <v>41</v>
          </cell>
          <cell r="AB37">
            <v>24</v>
          </cell>
          <cell r="AC37">
            <v>37</v>
          </cell>
          <cell r="AD37">
            <v>13</v>
          </cell>
          <cell r="AE37">
            <v>0</v>
          </cell>
          <cell r="AF37">
            <v>40</v>
          </cell>
          <cell r="AG37">
            <v>17</v>
          </cell>
          <cell r="AI37">
            <v>475</v>
          </cell>
          <cell r="AJ37">
            <v>90</v>
          </cell>
          <cell r="AK37">
            <v>15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14</v>
          </cell>
          <cell r="G38">
            <v>5</v>
          </cell>
          <cell r="H38">
            <v>0</v>
          </cell>
          <cell r="I38">
            <v>10</v>
          </cell>
          <cell r="J38">
            <v>0</v>
          </cell>
          <cell r="K38">
            <v>0</v>
          </cell>
          <cell r="L38">
            <v>47</v>
          </cell>
          <cell r="M38">
            <v>0</v>
          </cell>
          <cell r="N38">
            <v>12</v>
          </cell>
          <cell r="O38">
            <v>15</v>
          </cell>
          <cell r="P38">
            <v>24</v>
          </cell>
          <cell r="Q38">
            <v>0</v>
          </cell>
          <cell r="R38">
            <v>1</v>
          </cell>
          <cell r="S38">
            <v>0</v>
          </cell>
          <cell r="T38">
            <v>48</v>
          </cell>
          <cell r="U38">
            <v>3</v>
          </cell>
          <cell r="V38">
            <v>13</v>
          </cell>
          <cell r="W38">
            <v>20</v>
          </cell>
          <cell r="X38">
            <v>20</v>
          </cell>
          <cell r="Y38">
            <v>37</v>
          </cell>
          <cell r="Z38">
            <v>10</v>
          </cell>
          <cell r="AA38">
            <v>14</v>
          </cell>
          <cell r="AB38">
            <v>12</v>
          </cell>
          <cell r="AC38">
            <v>0</v>
          </cell>
          <cell r="AD38">
            <v>23</v>
          </cell>
          <cell r="AE38">
            <v>0</v>
          </cell>
          <cell r="AF38">
            <v>22</v>
          </cell>
          <cell r="AG38">
            <v>6</v>
          </cell>
          <cell r="AI38">
            <v>356</v>
          </cell>
          <cell r="AJ38">
            <v>48</v>
          </cell>
          <cell r="AK38">
            <v>20</v>
          </cell>
        </row>
        <row r="39">
          <cell r="C39">
            <v>350710033</v>
          </cell>
          <cell r="D39">
            <v>0</v>
          </cell>
          <cell r="E39">
            <v>23</v>
          </cell>
          <cell r="F39">
            <v>6</v>
          </cell>
          <cell r="G39">
            <v>0</v>
          </cell>
          <cell r="H39">
            <v>0</v>
          </cell>
          <cell r="I39">
            <v>35</v>
          </cell>
          <cell r="J39">
            <v>0</v>
          </cell>
          <cell r="K39">
            <v>0</v>
          </cell>
          <cell r="L39">
            <v>0</v>
          </cell>
          <cell r="M39">
            <v>5</v>
          </cell>
          <cell r="N39">
            <v>0</v>
          </cell>
          <cell r="O39">
            <v>0</v>
          </cell>
          <cell r="P39">
            <v>0</v>
          </cell>
          <cell r="Q39">
            <v>2</v>
          </cell>
          <cell r="R39">
            <v>0</v>
          </cell>
          <cell r="S39">
            <v>0</v>
          </cell>
          <cell r="T39">
            <v>53</v>
          </cell>
          <cell r="U39">
            <v>0</v>
          </cell>
          <cell r="V39">
            <v>72</v>
          </cell>
          <cell r="W39">
            <v>0</v>
          </cell>
          <cell r="X39">
            <v>18</v>
          </cell>
          <cell r="Y39">
            <v>28</v>
          </cell>
          <cell r="Z39">
            <v>5</v>
          </cell>
          <cell r="AA39">
            <v>6</v>
          </cell>
          <cell r="AB39">
            <v>89</v>
          </cell>
          <cell r="AC39">
            <v>1</v>
          </cell>
          <cell r="AD39">
            <v>9</v>
          </cell>
          <cell r="AE39">
            <v>0</v>
          </cell>
          <cell r="AF39">
            <v>0</v>
          </cell>
          <cell r="AG39">
            <v>0</v>
          </cell>
          <cell r="AI39">
            <v>352</v>
          </cell>
          <cell r="AJ39">
            <v>89</v>
          </cell>
          <cell r="AK39">
            <v>14</v>
          </cell>
        </row>
        <row r="40">
          <cell r="C40">
            <v>350710034</v>
          </cell>
          <cell r="D40">
            <v>6</v>
          </cell>
          <cell r="E40">
            <v>42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26</v>
          </cell>
          <cell r="M40">
            <v>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8</v>
          </cell>
          <cell r="S40">
            <v>4</v>
          </cell>
          <cell r="T40">
            <v>8</v>
          </cell>
          <cell r="U40">
            <v>191</v>
          </cell>
          <cell r="V40">
            <v>5</v>
          </cell>
          <cell r="W40">
            <v>14</v>
          </cell>
          <cell r="X40">
            <v>64</v>
          </cell>
          <cell r="Y40">
            <v>30</v>
          </cell>
          <cell r="Z40">
            <v>35</v>
          </cell>
          <cell r="AA40">
            <v>3</v>
          </cell>
          <cell r="AB40">
            <v>32</v>
          </cell>
          <cell r="AC40">
            <v>2</v>
          </cell>
          <cell r="AD40">
            <v>7</v>
          </cell>
          <cell r="AE40">
            <v>16</v>
          </cell>
          <cell r="AF40">
            <v>29</v>
          </cell>
          <cell r="AG40">
            <v>2</v>
          </cell>
          <cell r="AI40">
            <v>530</v>
          </cell>
          <cell r="AJ40">
            <v>191</v>
          </cell>
          <cell r="AK40">
            <v>20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4</v>
          </cell>
          <cell r="R41">
            <v>0</v>
          </cell>
          <cell r="S41">
            <v>0</v>
          </cell>
          <cell r="T41">
            <v>19</v>
          </cell>
          <cell r="U41">
            <v>28</v>
          </cell>
          <cell r="V41">
            <v>27</v>
          </cell>
          <cell r="W41">
            <v>0</v>
          </cell>
          <cell r="X41">
            <v>0</v>
          </cell>
          <cell r="Y41">
            <v>11</v>
          </cell>
          <cell r="Z41">
            <v>0</v>
          </cell>
          <cell r="AA41">
            <v>13</v>
          </cell>
          <cell r="AB41">
            <v>0</v>
          </cell>
          <cell r="AC41">
            <v>0</v>
          </cell>
          <cell r="AD41">
            <v>17</v>
          </cell>
          <cell r="AE41">
            <v>0</v>
          </cell>
          <cell r="AF41">
            <v>24</v>
          </cell>
          <cell r="AG41">
            <v>0</v>
          </cell>
          <cell r="AI41">
            <v>143</v>
          </cell>
          <cell r="AJ41">
            <v>28</v>
          </cell>
          <cell r="AK41">
            <v>8</v>
          </cell>
        </row>
        <row r="42">
          <cell r="C42">
            <v>350710036</v>
          </cell>
          <cell r="D42">
            <v>20</v>
          </cell>
          <cell r="E42">
            <v>27</v>
          </cell>
          <cell r="F42">
            <v>8</v>
          </cell>
          <cell r="G42">
            <v>12</v>
          </cell>
          <cell r="H42">
            <v>1</v>
          </cell>
          <cell r="I42">
            <v>0</v>
          </cell>
          <cell r="J42">
            <v>0</v>
          </cell>
          <cell r="K42">
            <v>0</v>
          </cell>
          <cell r="L42">
            <v>8</v>
          </cell>
          <cell r="M42">
            <v>0</v>
          </cell>
          <cell r="N42">
            <v>3</v>
          </cell>
          <cell r="O42">
            <v>34</v>
          </cell>
          <cell r="P42">
            <v>42</v>
          </cell>
          <cell r="Q42">
            <v>73</v>
          </cell>
          <cell r="R42">
            <v>91</v>
          </cell>
          <cell r="S42">
            <v>25</v>
          </cell>
          <cell r="T42">
            <v>2</v>
          </cell>
          <cell r="U42">
            <v>32</v>
          </cell>
          <cell r="V42">
            <v>60</v>
          </cell>
          <cell r="W42">
            <v>0</v>
          </cell>
          <cell r="X42">
            <v>54</v>
          </cell>
          <cell r="Y42">
            <v>32</v>
          </cell>
          <cell r="Z42">
            <v>74</v>
          </cell>
          <cell r="AA42">
            <v>2</v>
          </cell>
          <cell r="AB42">
            <v>27</v>
          </cell>
          <cell r="AC42">
            <v>0</v>
          </cell>
          <cell r="AD42">
            <v>23</v>
          </cell>
          <cell r="AE42">
            <v>4</v>
          </cell>
          <cell r="AF42">
            <v>128</v>
          </cell>
          <cell r="AG42">
            <v>0</v>
          </cell>
          <cell r="AI42">
            <v>782</v>
          </cell>
          <cell r="AJ42">
            <v>128</v>
          </cell>
          <cell r="AK42">
            <v>23</v>
          </cell>
        </row>
        <row r="43">
          <cell r="C43">
            <v>350710037</v>
          </cell>
          <cell r="D43">
            <v>0</v>
          </cell>
          <cell r="E43">
            <v>6</v>
          </cell>
          <cell r="F43">
            <v>6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67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59</v>
          </cell>
          <cell r="U43">
            <v>0</v>
          </cell>
          <cell r="V43">
            <v>0</v>
          </cell>
          <cell r="W43">
            <v>0</v>
          </cell>
          <cell r="X43">
            <v>16</v>
          </cell>
          <cell r="Y43">
            <v>22</v>
          </cell>
          <cell r="Z43">
            <v>42</v>
          </cell>
          <cell r="AA43">
            <v>0</v>
          </cell>
          <cell r="AB43">
            <v>0</v>
          </cell>
          <cell r="AC43">
            <v>0</v>
          </cell>
          <cell r="AD43">
            <v>42</v>
          </cell>
          <cell r="AE43">
            <v>0</v>
          </cell>
          <cell r="AF43">
            <v>44</v>
          </cell>
          <cell r="AG43">
            <v>0</v>
          </cell>
          <cell r="AI43">
            <v>305</v>
          </cell>
          <cell r="AJ43">
            <v>67</v>
          </cell>
          <cell r="AK43">
            <v>10</v>
          </cell>
        </row>
        <row r="44">
          <cell r="C44">
            <v>350710038</v>
          </cell>
          <cell r="D44">
            <v>0</v>
          </cell>
          <cell r="E44">
            <v>18</v>
          </cell>
          <cell r="F44">
            <v>36</v>
          </cell>
          <cell r="G44">
            <v>0</v>
          </cell>
          <cell r="H44">
            <v>0</v>
          </cell>
          <cell r="I44">
            <v>5</v>
          </cell>
          <cell r="J44">
            <v>0</v>
          </cell>
          <cell r="K44">
            <v>0</v>
          </cell>
          <cell r="L44">
            <v>0</v>
          </cell>
          <cell r="M44">
            <v>14</v>
          </cell>
          <cell r="N44">
            <v>0</v>
          </cell>
          <cell r="O44">
            <v>0</v>
          </cell>
          <cell r="P44">
            <v>0</v>
          </cell>
          <cell r="Q44">
            <v>6</v>
          </cell>
          <cell r="R44">
            <v>18</v>
          </cell>
          <cell r="S44">
            <v>38</v>
          </cell>
          <cell r="T44">
            <v>48</v>
          </cell>
          <cell r="U44">
            <v>26</v>
          </cell>
          <cell r="V44">
            <v>18</v>
          </cell>
          <cell r="W44">
            <v>0</v>
          </cell>
          <cell r="X44">
            <v>21</v>
          </cell>
          <cell r="Y44">
            <v>72</v>
          </cell>
          <cell r="Z44">
            <v>15</v>
          </cell>
          <cell r="AA44">
            <v>11</v>
          </cell>
          <cell r="AB44">
            <v>9</v>
          </cell>
          <cell r="AC44">
            <v>22</v>
          </cell>
          <cell r="AD44">
            <v>15</v>
          </cell>
          <cell r="AE44">
            <v>14</v>
          </cell>
          <cell r="AF44">
            <v>23</v>
          </cell>
          <cell r="AG44">
            <v>0</v>
          </cell>
          <cell r="AI44">
            <v>429</v>
          </cell>
          <cell r="AJ44">
            <v>72</v>
          </cell>
          <cell r="AK44">
            <v>19</v>
          </cell>
        </row>
        <row r="45">
          <cell r="C45">
            <v>350710039</v>
          </cell>
          <cell r="D45">
            <v>0</v>
          </cell>
          <cell r="E45">
            <v>14</v>
          </cell>
          <cell r="F45">
            <v>8</v>
          </cell>
          <cell r="G45">
            <v>1</v>
          </cell>
          <cell r="H45">
            <v>0</v>
          </cell>
          <cell r="I45">
            <v>19</v>
          </cell>
          <cell r="J45">
            <v>0</v>
          </cell>
          <cell r="K45">
            <v>0</v>
          </cell>
          <cell r="L45">
            <v>18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8</v>
          </cell>
          <cell r="S45">
            <v>3</v>
          </cell>
          <cell r="T45">
            <v>8</v>
          </cell>
          <cell r="U45">
            <v>0</v>
          </cell>
          <cell r="V45">
            <v>18</v>
          </cell>
          <cell r="W45">
            <v>0</v>
          </cell>
          <cell r="X45">
            <v>6</v>
          </cell>
          <cell r="Y45">
            <v>31</v>
          </cell>
          <cell r="Z45">
            <v>8</v>
          </cell>
          <cell r="AA45">
            <v>0</v>
          </cell>
          <cell r="AB45">
            <v>103</v>
          </cell>
          <cell r="AC45">
            <v>0</v>
          </cell>
          <cell r="AD45">
            <v>12</v>
          </cell>
          <cell r="AE45">
            <v>0</v>
          </cell>
          <cell r="AF45">
            <v>57</v>
          </cell>
          <cell r="AG45">
            <v>0</v>
          </cell>
          <cell r="AI45">
            <v>314</v>
          </cell>
          <cell r="AJ45">
            <v>103</v>
          </cell>
          <cell r="AK45">
            <v>15</v>
          </cell>
        </row>
        <row r="46">
          <cell r="C46">
            <v>350710040</v>
          </cell>
          <cell r="D46">
            <v>0</v>
          </cell>
          <cell r="E46">
            <v>1</v>
          </cell>
          <cell r="F46">
            <v>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44</v>
          </cell>
          <cell r="M46">
            <v>0</v>
          </cell>
          <cell r="N46">
            <v>0</v>
          </cell>
          <cell r="O46">
            <v>13</v>
          </cell>
          <cell r="P46">
            <v>48</v>
          </cell>
          <cell r="Q46">
            <v>0</v>
          </cell>
          <cell r="R46">
            <v>0</v>
          </cell>
          <cell r="S46">
            <v>17</v>
          </cell>
          <cell r="T46">
            <v>39</v>
          </cell>
          <cell r="U46">
            <v>0</v>
          </cell>
          <cell r="V46">
            <v>1</v>
          </cell>
          <cell r="W46">
            <v>0</v>
          </cell>
          <cell r="X46">
            <v>5</v>
          </cell>
          <cell r="Y46">
            <v>15</v>
          </cell>
          <cell r="Z46">
            <v>3</v>
          </cell>
          <cell r="AA46">
            <v>25</v>
          </cell>
          <cell r="AB46">
            <v>38</v>
          </cell>
          <cell r="AC46">
            <v>0</v>
          </cell>
          <cell r="AD46">
            <v>3</v>
          </cell>
          <cell r="AE46">
            <v>9</v>
          </cell>
          <cell r="AF46">
            <v>20</v>
          </cell>
          <cell r="AG46">
            <v>0</v>
          </cell>
          <cell r="AI46">
            <v>286</v>
          </cell>
          <cell r="AJ46">
            <v>48</v>
          </cell>
          <cell r="AK46">
            <v>16</v>
          </cell>
        </row>
        <row r="47">
          <cell r="C47">
            <v>350710041</v>
          </cell>
          <cell r="D47">
            <v>0</v>
          </cell>
          <cell r="E47">
            <v>3</v>
          </cell>
          <cell r="F47">
            <v>7</v>
          </cell>
          <cell r="G47">
            <v>13</v>
          </cell>
          <cell r="H47">
            <v>0</v>
          </cell>
          <cell r="I47">
            <v>3</v>
          </cell>
          <cell r="J47">
            <v>0</v>
          </cell>
          <cell r="K47">
            <v>0</v>
          </cell>
          <cell r="L47">
            <v>43</v>
          </cell>
          <cell r="M47">
            <v>6</v>
          </cell>
          <cell r="N47">
            <v>10</v>
          </cell>
          <cell r="O47">
            <v>3</v>
          </cell>
          <cell r="P47">
            <v>0</v>
          </cell>
          <cell r="Q47">
            <v>6</v>
          </cell>
          <cell r="R47">
            <v>18</v>
          </cell>
          <cell r="S47">
            <v>24</v>
          </cell>
          <cell r="T47">
            <v>56</v>
          </cell>
          <cell r="U47">
            <v>7</v>
          </cell>
          <cell r="V47">
            <v>12</v>
          </cell>
          <cell r="W47">
            <v>0</v>
          </cell>
          <cell r="X47">
            <v>4</v>
          </cell>
          <cell r="Y47">
            <v>18</v>
          </cell>
          <cell r="Z47">
            <v>42</v>
          </cell>
          <cell r="AA47">
            <v>7</v>
          </cell>
          <cell r="AB47">
            <v>23</v>
          </cell>
          <cell r="AC47">
            <v>9</v>
          </cell>
          <cell r="AD47">
            <v>0</v>
          </cell>
          <cell r="AE47">
            <v>12</v>
          </cell>
          <cell r="AF47">
            <v>74</v>
          </cell>
          <cell r="AG47">
            <v>0</v>
          </cell>
          <cell r="AI47">
            <v>400</v>
          </cell>
          <cell r="AJ47">
            <v>74</v>
          </cell>
          <cell r="AK47">
            <v>22</v>
          </cell>
        </row>
        <row r="48">
          <cell r="C48">
            <v>350710042</v>
          </cell>
          <cell r="D48">
            <v>0</v>
          </cell>
          <cell r="E48">
            <v>0</v>
          </cell>
          <cell r="F48">
            <v>8</v>
          </cell>
          <cell r="G48">
            <v>0</v>
          </cell>
          <cell r="H48">
            <v>0</v>
          </cell>
          <cell r="I48">
            <v>23</v>
          </cell>
          <cell r="J48">
            <v>0</v>
          </cell>
          <cell r="K48">
            <v>0</v>
          </cell>
          <cell r="L48">
            <v>11</v>
          </cell>
          <cell r="M48">
            <v>0</v>
          </cell>
          <cell r="N48">
            <v>0</v>
          </cell>
          <cell r="O48">
            <v>20</v>
          </cell>
          <cell r="P48">
            <v>0</v>
          </cell>
          <cell r="Q48">
            <v>0</v>
          </cell>
          <cell r="R48">
            <v>32</v>
          </cell>
          <cell r="S48">
            <v>28</v>
          </cell>
          <cell r="T48">
            <v>19</v>
          </cell>
          <cell r="U48">
            <v>3</v>
          </cell>
          <cell r="V48">
            <v>17</v>
          </cell>
          <cell r="W48">
            <v>0</v>
          </cell>
          <cell r="X48">
            <v>31</v>
          </cell>
          <cell r="Y48">
            <v>37</v>
          </cell>
          <cell r="Z48">
            <v>13</v>
          </cell>
          <cell r="AA48">
            <v>3</v>
          </cell>
          <cell r="AB48">
            <v>21</v>
          </cell>
          <cell r="AC48">
            <v>0</v>
          </cell>
          <cell r="AD48">
            <v>17</v>
          </cell>
          <cell r="AE48">
            <v>2</v>
          </cell>
          <cell r="AF48">
            <v>66</v>
          </cell>
          <cell r="AG48">
            <v>0</v>
          </cell>
          <cell r="AI48">
            <v>351</v>
          </cell>
          <cell r="AJ48">
            <v>66</v>
          </cell>
          <cell r="AK48">
            <v>17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17</v>
          </cell>
          <cell r="T49">
            <v>6</v>
          </cell>
          <cell r="U49">
            <v>37</v>
          </cell>
          <cell r="V49">
            <v>12</v>
          </cell>
          <cell r="W49">
            <v>0</v>
          </cell>
          <cell r="X49">
            <v>0</v>
          </cell>
          <cell r="Y49">
            <v>0</v>
          </cell>
          <cell r="Z49">
            <v>15</v>
          </cell>
          <cell r="AA49">
            <v>0</v>
          </cell>
          <cell r="AB49">
            <v>3</v>
          </cell>
          <cell r="AC49">
            <v>0</v>
          </cell>
          <cell r="AD49">
            <v>8</v>
          </cell>
          <cell r="AE49">
            <v>25</v>
          </cell>
          <cell r="AF49">
            <v>0</v>
          </cell>
          <cell r="AG49">
            <v>0</v>
          </cell>
          <cell r="AI49">
            <v>123</v>
          </cell>
          <cell r="AJ49">
            <v>37</v>
          </cell>
          <cell r="AK49">
            <v>8</v>
          </cell>
        </row>
        <row r="50">
          <cell r="C50">
            <v>350710044</v>
          </cell>
          <cell r="D50">
            <v>0</v>
          </cell>
          <cell r="E50">
            <v>7</v>
          </cell>
          <cell r="F50">
            <v>2</v>
          </cell>
          <cell r="G50">
            <v>0</v>
          </cell>
          <cell r="H50">
            <v>0</v>
          </cell>
          <cell r="I50">
            <v>44</v>
          </cell>
          <cell r="J50">
            <v>0</v>
          </cell>
          <cell r="K50">
            <v>0</v>
          </cell>
          <cell r="L50">
            <v>9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11</v>
          </cell>
          <cell r="R50">
            <v>1</v>
          </cell>
          <cell r="S50">
            <v>0</v>
          </cell>
          <cell r="T50">
            <v>44</v>
          </cell>
          <cell r="U50">
            <v>2</v>
          </cell>
          <cell r="V50">
            <v>40</v>
          </cell>
          <cell r="W50">
            <v>0</v>
          </cell>
          <cell r="X50">
            <v>10</v>
          </cell>
          <cell r="Y50">
            <v>20</v>
          </cell>
          <cell r="Z50">
            <v>15</v>
          </cell>
          <cell r="AA50">
            <v>11</v>
          </cell>
          <cell r="AB50">
            <v>9</v>
          </cell>
          <cell r="AC50">
            <v>18</v>
          </cell>
          <cell r="AD50">
            <v>39</v>
          </cell>
          <cell r="AE50">
            <v>8</v>
          </cell>
          <cell r="AF50">
            <v>50</v>
          </cell>
          <cell r="AG50">
            <v>0</v>
          </cell>
          <cell r="AI50">
            <v>340</v>
          </cell>
          <cell r="AJ50">
            <v>50</v>
          </cell>
          <cell r="AK50">
            <v>18</v>
          </cell>
        </row>
        <row r="51">
          <cell r="C51">
            <v>350710045</v>
          </cell>
          <cell r="D51">
            <v>8</v>
          </cell>
          <cell r="E51">
            <v>13</v>
          </cell>
          <cell r="F51">
            <v>25</v>
          </cell>
          <cell r="G51">
            <v>0</v>
          </cell>
          <cell r="H51">
            <v>1</v>
          </cell>
          <cell r="I51">
            <v>0</v>
          </cell>
          <cell r="J51">
            <v>0</v>
          </cell>
          <cell r="K51">
            <v>15</v>
          </cell>
          <cell r="L51">
            <v>10</v>
          </cell>
          <cell r="M51">
            <v>56</v>
          </cell>
          <cell r="N51">
            <v>5</v>
          </cell>
          <cell r="O51">
            <v>25</v>
          </cell>
          <cell r="P51">
            <v>55</v>
          </cell>
          <cell r="Q51">
            <v>32.5</v>
          </cell>
          <cell r="R51">
            <v>19</v>
          </cell>
          <cell r="S51">
            <v>18</v>
          </cell>
          <cell r="T51">
            <v>30</v>
          </cell>
          <cell r="U51">
            <v>75</v>
          </cell>
          <cell r="V51">
            <v>0</v>
          </cell>
          <cell r="W51">
            <v>37</v>
          </cell>
          <cell r="X51">
            <v>0</v>
          </cell>
          <cell r="Y51">
            <v>13</v>
          </cell>
          <cell r="Z51">
            <v>3</v>
          </cell>
          <cell r="AA51">
            <v>45</v>
          </cell>
          <cell r="AB51">
            <v>25</v>
          </cell>
          <cell r="AC51">
            <v>5</v>
          </cell>
          <cell r="AD51">
            <v>5</v>
          </cell>
          <cell r="AE51">
            <v>99</v>
          </cell>
          <cell r="AF51">
            <v>5</v>
          </cell>
          <cell r="AG51">
            <v>0</v>
          </cell>
          <cell r="AI51">
            <v>624.5</v>
          </cell>
          <cell r="AJ51">
            <v>99</v>
          </cell>
          <cell r="AK51">
            <v>24</v>
          </cell>
        </row>
      </sheetData>
      <sheetData sheetId="13">
        <row r="8">
          <cell r="C8">
            <v>350710001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  <cell r="AA8">
            <v>18</v>
          </cell>
          <cell r="AB8">
            <v>16</v>
          </cell>
          <cell r="AC8">
            <v>8</v>
          </cell>
          <cell r="AD8">
            <v>15</v>
          </cell>
          <cell r="AE8">
            <v>26</v>
          </cell>
          <cell r="AF8">
            <v>10</v>
          </cell>
          <cell r="AG8">
            <v>0</v>
          </cell>
          <cell r="AH8">
            <v>0</v>
          </cell>
          <cell r="AI8">
            <v>101</v>
          </cell>
          <cell r="AJ8">
            <v>26</v>
          </cell>
          <cell r="AK8">
            <v>8</v>
          </cell>
        </row>
        <row r="9">
          <cell r="C9">
            <v>350710002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2</v>
          </cell>
          <cell r="M9">
            <v>0</v>
          </cell>
          <cell r="N9">
            <v>0</v>
          </cell>
          <cell r="O9">
            <v>12</v>
          </cell>
          <cell r="P9">
            <v>0</v>
          </cell>
          <cell r="Q9">
            <v>11</v>
          </cell>
          <cell r="R9">
            <v>0</v>
          </cell>
          <cell r="S9">
            <v>0</v>
          </cell>
          <cell r="T9">
            <v>2</v>
          </cell>
          <cell r="U9">
            <v>76</v>
          </cell>
          <cell r="V9">
            <v>0</v>
          </cell>
          <cell r="W9">
            <v>0</v>
          </cell>
          <cell r="X9">
            <v>0</v>
          </cell>
          <cell r="Y9">
            <v>5</v>
          </cell>
          <cell r="Z9">
            <v>12</v>
          </cell>
          <cell r="AA9">
            <v>6</v>
          </cell>
          <cell r="AB9">
            <v>2</v>
          </cell>
          <cell r="AC9">
            <v>1</v>
          </cell>
          <cell r="AD9">
            <v>0</v>
          </cell>
          <cell r="AE9">
            <v>5</v>
          </cell>
          <cell r="AF9">
            <v>29</v>
          </cell>
          <cell r="AG9">
            <v>2</v>
          </cell>
          <cell r="AH9">
            <v>0</v>
          </cell>
          <cell r="AI9">
            <v>166</v>
          </cell>
          <cell r="AJ9">
            <v>76</v>
          </cell>
          <cell r="AK9">
            <v>14</v>
          </cell>
        </row>
        <row r="10">
          <cell r="C10">
            <v>350710003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28</v>
          </cell>
          <cell r="V10">
            <v>3</v>
          </cell>
          <cell r="W10">
            <v>0</v>
          </cell>
          <cell r="X10">
            <v>0</v>
          </cell>
          <cell r="Y10">
            <v>3</v>
          </cell>
          <cell r="Z10">
            <v>0</v>
          </cell>
          <cell r="AA10">
            <v>42</v>
          </cell>
          <cell r="AB10">
            <v>0</v>
          </cell>
          <cell r="AC10">
            <v>31</v>
          </cell>
          <cell r="AD10">
            <v>1</v>
          </cell>
          <cell r="AE10">
            <v>96</v>
          </cell>
          <cell r="AF10">
            <v>64</v>
          </cell>
          <cell r="AG10">
            <v>4</v>
          </cell>
          <cell r="AH10">
            <v>0</v>
          </cell>
          <cell r="AI10">
            <v>276</v>
          </cell>
          <cell r="AJ10">
            <v>96</v>
          </cell>
          <cell r="AK10">
            <v>10</v>
          </cell>
        </row>
        <row r="11">
          <cell r="C11">
            <v>350710004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</v>
          </cell>
          <cell r="Q11">
            <v>0</v>
          </cell>
          <cell r="R11">
            <v>0</v>
          </cell>
          <cell r="S11">
            <v>27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25</v>
          </cell>
          <cell r="Z11">
            <v>0</v>
          </cell>
          <cell r="AA11">
            <v>5</v>
          </cell>
          <cell r="AB11">
            <v>3</v>
          </cell>
          <cell r="AC11">
            <v>19</v>
          </cell>
          <cell r="AD11">
            <v>0</v>
          </cell>
          <cell r="AE11">
            <v>0</v>
          </cell>
          <cell r="AF11">
            <v>34</v>
          </cell>
          <cell r="AG11">
            <v>0</v>
          </cell>
          <cell r="AH11">
            <v>0</v>
          </cell>
          <cell r="AI11">
            <v>116</v>
          </cell>
          <cell r="AJ11">
            <v>34</v>
          </cell>
          <cell r="AK11">
            <v>7</v>
          </cell>
        </row>
        <row r="12">
          <cell r="C12">
            <v>350710005</v>
          </cell>
          <cell r="D12">
            <v>0</v>
          </cell>
          <cell r="E12">
            <v>0</v>
          </cell>
          <cell r="F12">
            <v>12</v>
          </cell>
          <cell r="G12">
            <v>6</v>
          </cell>
          <cell r="H12">
            <v>0</v>
          </cell>
          <cell r="I12">
            <v>0</v>
          </cell>
          <cell r="J12">
            <v>0</v>
          </cell>
          <cell r="K12">
            <v>17</v>
          </cell>
          <cell r="L12">
            <v>0</v>
          </cell>
          <cell r="M12">
            <v>0</v>
          </cell>
          <cell r="N12">
            <v>8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0</v>
          </cell>
          <cell r="AA12">
            <v>1</v>
          </cell>
          <cell r="AB12">
            <v>5</v>
          </cell>
          <cell r="AC12">
            <v>7</v>
          </cell>
          <cell r="AD12">
            <v>0</v>
          </cell>
          <cell r="AE12">
            <v>47</v>
          </cell>
          <cell r="AF12">
            <v>40</v>
          </cell>
          <cell r="AG12">
            <v>0</v>
          </cell>
          <cell r="AH12">
            <v>7</v>
          </cell>
          <cell r="AI12">
            <v>151</v>
          </cell>
          <cell r="AJ12">
            <v>47</v>
          </cell>
          <cell r="AK12">
            <v>11</v>
          </cell>
        </row>
        <row r="13">
          <cell r="C13">
            <v>350710006</v>
          </cell>
          <cell r="D13">
            <v>12</v>
          </cell>
          <cell r="E13">
            <v>8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36</v>
          </cell>
          <cell r="Z13">
            <v>6</v>
          </cell>
          <cell r="AA13">
            <v>5</v>
          </cell>
          <cell r="AB13">
            <v>7</v>
          </cell>
          <cell r="AC13">
            <v>5</v>
          </cell>
          <cell r="AD13">
            <v>6</v>
          </cell>
          <cell r="AE13">
            <v>7</v>
          </cell>
          <cell r="AF13">
            <v>20</v>
          </cell>
          <cell r="AG13">
            <v>15</v>
          </cell>
          <cell r="AH13">
            <v>0</v>
          </cell>
          <cell r="AI13">
            <v>132</v>
          </cell>
          <cell r="AJ13">
            <v>36</v>
          </cell>
          <cell r="AK13">
            <v>12</v>
          </cell>
        </row>
        <row r="14">
          <cell r="C14">
            <v>350710007</v>
          </cell>
          <cell r="D14">
            <v>0</v>
          </cell>
          <cell r="E14">
            <v>0</v>
          </cell>
          <cell r="F14">
            <v>0</v>
          </cell>
          <cell r="G14">
            <v>25</v>
          </cell>
          <cell r="H14">
            <v>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</v>
          </cell>
          <cell r="W14">
            <v>0</v>
          </cell>
          <cell r="X14">
            <v>2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10</v>
          </cell>
          <cell r="AD14">
            <v>13</v>
          </cell>
          <cell r="AE14">
            <v>0</v>
          </cell>
          <cell r="AF14">
            <v>44</v>
          </cell>
          <cell r="AG14">
            <v>43</v>
          </cell>
          <cell r="AH14">
            <v>0</v>
          </cell>
          <cell r="AI14">
            <v>150</v>
          </cell>
          <cell r="AJ14">
            <v>44</v>
          </cell>
          <cell r="AK14">
            <v>9</v>
          </cell>
        </row>
        <row r="15">
          <cell r="C15">
            <v>350710008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19</v>
          </cell>
          <cell r="S15">
            <v>29</v>
          </cell>
          <cell r="T15">
            <v>0</v>
          </cell>
          <cell r="U15">
            <v>37</v>
          </cell>
          <cell r="V15">
            <v>0</v>
          </cell>
          <cell r="W15">
            <v>0</v>
          </cell>
          <cell r="X15">
            <v>7</v>
          </cell>
          <cell r="Y15">
            <v>0</v>
          </cell>
          <cell r="Z15">
            <v>13</v>
          </cell>
          <cell r="AA15">
            <v>35</v>
          </cell>
          <cell r="AB15">
            <v>0</v>
          </cell>
          <cell r="AC15">
            <v>0</v>
          </cell>
          <cell r="AD15">
            <v>0</v>
          </cell>
          <cell r="AE15">
            <v>9</v>
          </cell>
          <cell r="AF15">
            <v>38</v>
          </cell>
          <cell r="AG15">
            <v>0</v>
          </cell>
          <cell r="AH15">
            <v>0</v>
          </cell>
          <cell r="AI15">
            <v>187</v>
          </cell>
          <cell r="AJ15">
            <v>38</v>
          </cell>
          <cell r="AK15">
            <v>8</v>
          </cell>
        </row>
        <row r="16">
          <cell r="C16">
            <v>350710009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35</v>
          </cell>
          <cell r="I16">
            <v>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32</v>
          </cell>
          <cell r="R16">
            <v>0</v>
          </cell>
          <cell r="S16">
            <v>33</v>
          </cell>
          <cell r="T16">
            <v>0</v>
          </cell>
          <cell r="U16">
            <v>12</v>
          </cell>
          <cell r="V16">
            <v>0</v>
          </cell>
          <cell r="W16">
            <v>0</v>
          </cell>
          <cell r="X16">
            <v>0</v>
          </cell>
          <cell r="Y16">
            <v>21</v>
          </cell>
          <cell r="Z16">
            <v>9</v>
          </cell>
          <cell r="AA16">
            <v>10</v>
          </cell>
          <cell r="AB16">
            <v>0</v>
          </cell>
          <cell r="AC16">
            <v>6</v>
          </cell>
          <cell r="AD16">
            <v>2</v>
          </cell>
          <cell r="AE16">
            <v>0</v>
          </cell>
          <cell r="AF16">
            <v>42</v>
          </cell>
          <cell r="AG16">
            <v>3</v>
          </cell>
          <cell r="AH16">
            <v>0</v>
          </cell>
          <cell r="AI16">
            <v>214</v>
          </cell>
          <cell r="AJ16">
            <v>42</v>
          </cell>
          <cell r="AK16">
            <v>12</v>
          </cell>
        </row>
        <row r="17">
          <cell r="C17">
            <v>350710010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29</v>
          </cell>
          <cell r="I17">
            <v>21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9</v>
          </cell>
          <cell r="O17">
            <v>4</v>
          </cell>
          <cell r="P17">
            <v>0</v>
          </cell>
          <cell r="Q17">
            <v>23</v>
          </cell>
          <cell r="R17">
            <v>0</v>
          </cell>
          <cell r="S17">
            <v>30</v>
          </cell>
          <cell r="T17">
            <v>4</v>
          </cell>
          <cell r="U17">
            <v>30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27</v>
          </cell>
          <cell r="AA17">
            <v>13</v>
          </cell>
          <cell r="AB17">
            <v>2</v>
          </cell>
          <cell r="AC17">
            <v>5</v>
          </cell>
          <cell r="AD17">
            <v>0</v>
          </cell>
          <cell r="AE17">
            <v>0</v>
          </cell>
          <cell r="AF17">
            <v>28</v>
          </cell>
          <cell r="AG17">
            <v>3</v>
          </cell>
          <cell r="AH17">
            <v>0</v>
          </cell>
          <cell r="AI17">
            <v>228</v>
          </cell>
          <cell r="AJ17">
            <v>30</v>
          </cell>
          <cell r="AK17">
            <v>14</v>
          </cell>
        </row>
        <row r="18">
          <cell r="C18">
            <v>350710011</v>
          </cell>
          <cell r="D18">
            <v>10</v>
          </cell>
          <cell r="E18">
            <v>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15</v>
          </cell>
          <cell r="AJ18">
            <v>10</v>
          </cell>
          <cell r="AK18">
            <v>2</v>
          </cell>
        </row>
        <row r="19">
          <cell r="C19">
            <v>350710012</v>
          </cell>
          <cell r="D19">
            <v>0</v>
          </cell>
          <cell r="E19">
            <v>0</v>
          </cell>
          <cell r="F19">
            <v>0</v>
          </cell>
          <cell r="G19">
            <v>41</v>
          </cell>
          <cell r="H19">
            <v>16</v>
          </cell>
          <cell r="I19">
            <v>9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15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2</v>
          </cell>
          <cell r="X19">
            <v>6</v>
          </cell>
          <cell r="Y19">
            <v>12</v>
          </cell>
          <cell r="Z19">
            <v>7</v>
          </cell>
          <cell r="AA19">
            <v>0</v>
          </cell>
          <cell r="AB19">
            <v>5</v>
          </cell>
          <cell r="AC19">
            <v>9</v>
          </cell>
          <cell r="AD19">
            <v>0</v>
          </cell>
          <cell r="AE19">
            <v>54</v>
          </cell>
          <cell r="AF19">
            <v>5</v>
          </cell>
          <cell r="AG19">
            <v>0</v>
          </cell>
          <cell r="AH19">
            <v>0</v>
          </cell>
          <cell r="AI19">
            <v>181</v>
          </cell>
          <cell r="AJ19">
            <v>54</v>
          </cell>
          <cell r="AK19">
            <v>12</v>
          </cell>
        </row>
        <row r="20">
          <cell r="C20">
            <v>350710013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24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2</v>
          </cell>
          <cell r="R20">
            <v>10</v>
          </cell>
          <cell r="S20">
            <v>0</v>
          </cell>
          <cell r="T20">
            <v>5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35</v>
          </cell>
          <cell r="Z20">
            <v>12</v>
          </cell>
          <cell r="AA20">
            <v>41</v>
          </cell>
          <cell r="AB20">
            <v>7</v>
          </cell>
          <cell r="AC20">
            <v>26</v>
          </cell>
          <cell r="AD20">
            <v>21</v>
          </cell>
          <cell r="AE20">
            <v>0</v>
          </cell>
          <cell r="AF20">
            <v>68</v>
          </cell>
          <cell r="AG20">
            <v>4</v>
          </cell>
          <cell r="AH20">
            <v>0</v>
          </cell>
          <cell r="AI20">
            <v>255</v>
          </cell>
          <cell r="AJ20">
            <v>68</v>
          </cell>
          <cell r="AK20">
            <v>12</v>
          </cell>
        </row>
        <row r="21">
          <cell r="C21">
            <v>350710014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109</v>
          </cell>
          <cell r="I21">
            <v>32</v>
          </cell>
          <cell r="J21">
            <v>5</v>
          </cell>
          <cell r="K21">
            <v>0</v>
          </cell>
          <cell r="L21">
            <v>48</v>
          </cell>
          <cell r="M21">
            <v>0</v>
          </cell>
          <cell r="N21">
            <v>0</v>
          </cell>
          <cell r="O21">
            <v>7</v>
          </cell>
          <cell r="P21">
            <v>0</v>
          </cell>
          <cell r="Q21">
            <v>5</v>
          </cell>
          <cell r="R21">
            <v>0</v>
          </cell>
          <cell r="S21">
            <v>0</v>
          </cell>
          <cell r="T21">
            <v>27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</v>
          </cell>
          <cell r="Z21">
            <v>15</v>
          </cell>
          <cell r="AA21">
            <v>11</v>
          </cell>
          <cell r="AB21">
            <v>0</v>
          </cell>
          <cell r="AC21">
            <v>3</v>
          </cell>
          <cell r="AD21">
            <v>0</v>
          </cell>
          <cell r="AE21">
            <v>2</v>
          </cell>
          <cell r="AF21">
            <v>38</v>
          </cell>
          <cell r="AG21">
            <v>2</v>
          </cell>
          <cell r="AH21">
            <v>0</v>
          </cell>
          <cell r="AI21">
            <v>306</v>
          </cell>
          <cell r="AJ21">
            <v>109</v>
          </cell>
          <cell r="AK21">
            <v>14</v>
          </cell>
        </row>
        <row r="22">
          <cell r="C22">
            <v>350710015</v>
          </cell>
          <cell r="D22">
            <v>0</v>
          </cell>
          <cell r="E22">
            <v>0</v>
          </cell>
          <cell r="F22">
            <v>3</v>
          </cell>
          <cell r="G22">
            <v>12</v>
          </cell>
          <cell r="H22">
            <v>16</v>
          </cell>
          <cell r="I22">
            <v>12</v>
          </cell>
          <cell r="J22">
            <v>6</v>
          </cell>
          <cell r="K22">
            <v>0</v>
          </cell>
          <cell r="L22">
            <v>0</v>
          </cell>
          <cell r="M22">
            <v>0</v>
          </cell>
          <cell r="N22">
            <v>11</v>
          </cell>
          <cell r="O22">
            <v>0</v>
          </cell>
          <cell r="P22">
            <v>16</v>
          </cell>
          <cell r="Q22">
            <v>20</v>
          </cell>
          <cell r="R22">
            <v>0</v>
          </cell>
          <cell r="S22">
            <v>6</v>
          </cell>
          <cell r="T22">
            <v>6</v>
          </cell>
          <cell r="U22">
            <v>0</v>
          </cell>
          <cell r="V22">
            <v>0</v>
          </cell>
          <cell r="W22">
            <v>13</v>
          </cell>
          <cell r="X22">
            <v>20</v>
          </cell>
          <cell r="Y22">
            <v>7</v>
          </cell>
          <cell r="Z22">
            <v>6</v>
          </cell>
          <cell r="AA22">
            <v>12</v>
          </cell>
          <cell r="AB22">
            <v>4</v>
          </cell>
          <cell r="AC22">
            <v>9</v>
          </cell>
          <cell r="AD22">
            <v>0</v>
          </cell>
          <cell r="AE22">
            <v>21</v>
          </cell>
          <cell r="AF22">
            <v>9</v>
          </cell>
          <cell r="AG22">
            <v>0</v>
          </cell>
          <cell r="AH22">
            <v>0</v>
          </cell>
          <cell r="AI22">
            <v>209</v>
          </cell>
          <cell r="AJ22">
            <v>21</v>
          </cell>
          <cell r="AK22">
            <v>19</v>
          </cell>
        </row>
        <row r="23">
          <cell r="C23">
            <v>350710016</v>
          </cell>
          <cell r="D23">
            <v>0</v>
          </cell>
          <cell r="E23">
            <v>0</v>
          </cell>
          <cell r="F23">
            <v>0</v>
          </cell>
          <cell r="G23">
            <v>37</v>
          </cell>
          <cell r="H23">
            <v>11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6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</v>
          </cell>
          <cell r="W23">
            <v>0</v>
          </cell>
          <cell r="X23">
            <v>1</v>
          </cell>
          <cell r="Y23">
            <v>0</v>
          </cell>
          <cell r="Z23">
            <v>6</v>
          </cell>
          <cell r="AA23">
            <v>5</v>
          </cell>
          <cell r="AB23">
            <v>0</v>
          </cell>
          <cell r="AC23">
            <v>7</v>
          </cell>
          <cell r="AD23">
            <v>11</v>
          </cell>
          <cell r="AE23">
            <v>3</v>
          </cell>
          <cell r="AF23">
            <v>49</v>
          </cell>
          <cell r="AG23">
            <v>37</v>
          </cell>
          <cell r="AH23">
            <v>0</v>
          </cell>
          <cell r="AI23">
            <v>176</v>
          </cell>
          <cell r="AJ23">
            <v>49</v>
          </cell>
          <cell r="AK23">
            <v>12</v>
          </cell>
        </row>
        <row r="24">
          <cell r="C24">
            <v>350710017</v>
          </cell>
          <cell r="D24">
            <v>0</v>
          </cell>
          <cell r="E24">
            <v>0</v>
          </cell>
          <cell r="F24">
            <v>8</v>
          </cell>
          <cell r="G24">
            <v>6</v>
          </cell>
          <cell r="H24">
            <v>12</v>
          </cell>
          <cell r="I24">
            <v>4</v>
          </cell>
          <cell r="J24">
            <v>7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13</v>
          </cell>
          <cell r="P24">
            <v>0</v>
          </cell>
          <cell r="Q24">
            <v>63</v>
          </cell>
          <cell r="R24">
            <v>0</v>
          </cell>
          <cell r="S24">
            <v>0</v>
          </cell>
          <cell r="T24">
            <v>0</v>
          </cell>
          <cell r="U24">
            <v>26</v>
          </cell>
          <cell r="V24">
            <v>0</v>
          </cell>
          <cell r="W24">
            <v>12</v>
          </cell>
          <cell r="X24">
            <v>0</v>
          </cell>
          <cell r="Y24">
            <v>31</v>
          </cell>
          <cell r="Z24">
            <v>17</v>
          </cell>
          <cell r="AA24">
            <v>8</v>
          </cell>
          <cell r="AB24">
            <v>0</v>
          </cell>
          <cell r="AC24">
            <v>13</v>
          </cell>
          <cell r="AD24">
            <v>0</v>
          </cell>
          <cell r="AE24">
            <v>11</v>
          </cell>
          <cell r="AF24">
            <v>3</v>
          </cell>
          <cell r="AG24">
            <v>0</v>
          </cell>
          <cell r="AH24">
            <v>0</v>
          </cell>
          <cell r="AI24">
            <v>234</v>
          </cell>
          <cell r="AJ24">
            <v>63</v>
          </cell>
          <cell r="AK24">
            <v>15</v>
          </cell>
        </row>
        <row r="25">
          <cell r="C25">
            <v>350710018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17</v>
          </cell>
          <cell r="L25">
            <v>20</v>
          </cell>
          <cell r="M25">
            <v>0</v>
          </cell>
          <cell r="N25">
            <v>0</v>
          </cell>
          <cell r="O25">
            <v>0</v>
          </cell>
          <cell r="P25">
            <v>8</v>
          </cell>
          <cell r="Q25">
            <v>53</v>
          </cell>
          <cell r="R25">
            <v>0</v>
          </cell>
          <cell r="S25">
            <v>0</v>
          </cell>
          <cell r="T25">
            <v>88</v>
          </cell>
          <cell r="U25">
            <v>0</v>
          </cell>
          <cell r="V25">
            <v>0</v>
          </cell>
          <cell r="W25">
            <v>10</v>
          </cell>
          <cell r="X25">
            <v>3</v>
          </cell>
          <cell r="Y25">
            <v>26</v>
          </cell>
          <cell r="Z25">
            <v>0</v>
          </cell>
          <cell r="AA25">
            <v>0</v>
          </cell>
          <cell r="AB25">
            <v>0</v>
          </cell>
          <cell r="AC25">
            <v>8</v>
          </cell>
          <cell r="AD25">
            <v>0</v>
          </cell>
          <cell r="AE25">
            <v>0</v>
          </cell>
          <cell r="AF25">
            <v>60</v>
          </cell>
          <cell r="AG25">
            <v>6</v>
          </cell>
          <cell r="AH25">
            <v>0</v>
          </cell>
          <cell r="AI25">
            <v>299</v>
          </cell>
          <cell r="AJ25">
            <v>88</v>
          </cell>
          <cell r="AK25">
            <v>11</v>
          </cell>
        </row>
        <row r="26">
          <cell r="C26">
            <v>350710019</v>
          </cell>
          <cell r="D26">
            <v>21</v>
          </cell>
          <cell r="E26">
            <v>17</v>
          </cell>
          <cell r="F26">
            <v>0</v>
          </cell>
          <cell r="G26">
            <v>19</v>
          </cell>
          <cell r="H26">
            <v>31</v>
          </cell>
          <cell r="I26">
            <v>11</v>
          </cell>
          <cell r="J26">
            <v>0</v>
          </cell>
          <cell r="K26">
            <v>27</v>
          </cell>
          <cell r="L26">
            <v>0</v>
          </cell>
          <cell r="M26">
            <v>0</v>
          </cell>
          <cell r="N26">
            <v>23</v>
          </cell>
          <cell r="O26">
            <v>11</v>
          </cell>
          <cell r="P26">
            <v>31</v>
          </cell>
          <cell r="Q26">
            <v>22</v>
          </cell>
          <cell r="R26">
            <v>14</v>
          </cell>
          <cell r="S26">
            <v>43</v>
          </cell>
          <cell r="T26">
            <v>47</v>
          </cell>
          <cell r="U26">
            <v>0</v>
          </cell>
          <cell r="V26">
            <v>0</v>
          </cell>
          <cell r="W26">
            <v>11</v>
          </cell>
          <cell r="X26">
            <v>0</v>
          </cell>
          <cell r="Y26">
            <v>55</v>
          </cell>
          <cell r="Z26">
            <v>41</v>
          </cell>
          <cell r="AA26">
            <v>29</v>
          </cell>
          <cell r="AB26">
            <v>18</v>
          </cell>
          <cell r="AC26">
            <v>11</v>
          </cell>
          <cell r="AD26">
            <v>19</v>
          </cell>
          <cell r="AE26">
            <v>33</v>
          </cell>
          <cell r="AF26">
            <v>22</v>
          </cell>
          <cell r="AG26">
            <v>0</v>
          </cell>
          <cell r="AH26">
            <v>0</v>
          </cell>
          <cell r="AI26">
            <v>556</v>
          </cell>
          <cell r="AJ26">
            <v>55</v>
          </cell>
          <cell r="AK26">
            <v>22</v>
          </cell>
        </row>
        <row r="27">
          <cell r="C27">
            <v>350710020</v>
          </cell>
          <cell r="D27">
            <v>0</v>
          </cell>
          <cell r="E27">
            <v>0</v>
          </cell>
          <cell r="F27">
            <v>0</v>
          </cell>
          <cell r="G27">
            <v>11</v>
          </cell>
          <cell r="H27">
            <v>30</v>
          </cell>
          <cell r="I27">
            <v>42</v>
          </cell>
          <cell r="J27">
            <v>15</v>
          </cell>
          <cell r="K27">
            <v>0</v>
          </cell>
          <cell r="L27">
            <v>2</v>
          </cell>
          <cell r="M27">
            <v>2</v>
          </cell>
          <cell r="N27">
            <v>0</v>
          </cell>
          <cell r="O27">
            <v>49</v>
          </cell>
          <cell r="P27">
            <v>0</v>
          </cell>
          <cell r="Q27">
            <v>43</v>
          </cell>
          <cell r="R27">
            <v>8</v>
          </cell>
          <cell r="S27">
            <v>1</v>
          </cell>
          <cell r="T27">
            <v>28</v>
          </cell>
          <cell r="U27">
            <v>1</v>
          </cell>
          <cell r="V27">
            <v>0</v>
          </cell>
          <cell r="W27">
            <v>0</v>
          </cell>
          <cell r="X27">
            <v>9</v>
          </cell>
          <cell r="Y27">
            <v>12</v>
          </cell>
          <cell r="Z27">
            <v>8</v>
          </cell>
          <cell r="AA27">
            <v>5</v>
          </cell>
          <cell r="AB27">
            <v>2</v>
          </cell>
          <cell r="AC27">
            <v>3</v>
          </cell>
          <cell r="AD27">
            <v>7</v>
          </cell>
          <cell r="AE27">
            <v>0</v>
          </cell>
          <cell r="AF27">
            <v>45</v>
          </cell>
          <cell r="AG27">
            <v>3</v>
          </cell>
          <cell r="AH27">
            <v>0</v>
          </cell>
          <cell r="AI27">
            <v>326</v>
          </cell>
          <cell r="AJ27">
            <v>49</v>
          </cell>
          <cell r="AK27">
            <v>21</v>
          </cell>
        </row>
        <row r="28">
          <cell r="C28">
            <v>350710021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6</v>
          </cell>
          <cell r="I28">
            <v>8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17</v>
          </cell>
          <cell r="R28">
            <v>38</v>
          </cell>
          <cell r="S28">
            <v>12</v>
          </cell>
          <cell r="T28">
            <v>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32</v>
          </cell>
          <cell r="Z28">
            <v>11</v>
          </cell>
          <cell r="AA28">
            <v>5</v>
          </cell>
          <cell r="AB28">
            <v>13</v>
          </cell>
          <cell r="AC28">
            <v>0</v>
          </cell>
          <cell r="AD28">
            <v>0</v>
          </cell>
          <cell r="AE28">
            <v>0</v>
          </cell>
          <cell r="AF28">
            <v>53</v>
          </cell>
          <cell r="AG28">
            <v>0</v>
          </cell>
          <cell r="AH28">
            <v>0</v>
          </cell>
          <cell r="AI28">
            <v>204</v>
          </cell>
          <cell r="AJ28">
            <v>53</v>
          </cell>
          <cell r="AK28">
            <v>11</v>
          </cell>
        </row>
        <row r="29">
          <cell r="C29">
            <v>350710022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25</v>
          </cell>
          <cell r="I29">
            <v>61</v>
          </cell>
          <cell r="J29">
            <v>25</v>
          </cell>
          <cell r="K29">
            <v>0</v>
          </cell>
          <cell r="L29">
            <v>1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48</v>
          </cell>
          <cell r="R29">
            <v>0</v>
          </cell>
          <cell r="S29">
            <v>9</v>
          </cell>
          <cell r="T29">
            <v>21</v>
          </cell>
          <cell r="U29">
            <v>0</v>
          </cell>
          <cell r="V29">
            <v>0</v>
          </cell>
          <cell r="W29">
            <v>0</v>
          </cell>
          <cell r="X29">
            <v>28</v>
          </cell>
          <cell r="Y29">
            <v>60</v>
          </cell>
          <cell r="Z29">
            <v>21</v>
          </cell>
          <cell r="AA29">
            <v>46</v>
          </cell>
          <cell r="AB29">
            <v>20</v>
          </cell>
          <cell r="AC29">
            <v>16</v>
          </cell>
          <cell r="AD29">
            <v>26</v>
          </cell>
          <cell r="AE29">
            <v>5</v>
          </cell>
          <cell r="AF29">
            <v>58</v>
          </cell>
          <cell r="AG29">
            <v>5</v>
          </cell>
          <cell r="AH29">
            <v>0</v>
          </cell>
          <cell r="AI29">
            <v>475</v>
          </cell>
          <cell r="AJ29">
            <v>61</v>
          </cell>
          <cell r="AK29">
            <v>17</v>
          </cell>
        </row>
        <row r="30">
          <cell r="C30">
            <v>350710024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96</v>
          </cell>
          <cell r="I30">
            <v>40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7</v>
          </cell>
          <cell r="R30">
            <v>28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50</v>
          </cell>
          <cell r="Z30">
            <v>6</v>
          </cell>
          <cell r="AA30">
            <v>11</v>
          </cell>
          <cell r="AB30">
            <v>0</v>
          </cell>
          <cell r="AC30">
            <v>9</v>
          </cell>
          <cell r="AD30">
            <v>0</v>
          </cell>
          <cell r="AE30">
            <v>0</v>
          </cell>
          <cell r="AF30">
            <v>24</v>
          </cell>
          <cell r="AG30">
            <v>44</v>
          </cell>
          <cell r="AH30">
            <v>0</v>
          </cell>
          <cell r="AI30">
            <v>315</v>
          </cell>
          <cell r="AJ30">
            <v>96</v>
          </cell>
          <cell r="AK30">
            <v>10</v>
          </cell>
        </row>
        <row r="31">
          <cell r="C31">
            <v>350710025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61</v>
          </cell>
          <cell r="I31">
            <v>53</v>
          </cell>
          <cell r="J31">
            <v>7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11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12</v>
          </cell>
          <cell r="U31">
            <v>0</v>
          </cell>
          <cell r="V31">
            <v>0</v>
          </cell>
          <cell r="W31">
            <v>0</v>
          </cell>
          <cell r="X31">
            <v>5</v>
          </cell>
          <cell r="Y31">
            <v>37</v>
          </cell>
          <cell r="Z31">
            <v>18</v>
          </cell>
          <cell r="AA31">
            <v>7</v>
          </cell>
          <cell r="AB31">
            <v>27</v>
          </cell>
          <cell r="AC31">
            <v>9</v>
          </cell>
          <cell r="AD31">
            <v>22</v>
          </cell>
          <cell r="AE31">
            <v>1</v>
          </cell>
          <cell r="AF31">
            <v>57</v>
          </cell>
          <cell r="AG31">
            <v>5</v>
          </cell>
          <cell r="AH31">
            <v>0</v>
          </cell>
          <cell r="AI31">
            <v>332</v>
          </cell>
          <cell r="AJ31">
            <v>61</v>
          </cell>
          <cell r="AK31">
            <v>15</v>
          </cell>
        </row>
        <row r="32">
          <cell r="C32">
            <v>350710026</v>
          </cell>
          <cell r="D32">
            <v>16</v>
          </cell>
          <cell r="E32">
            <v>0</v>
          </cell>
          <cell r="F32">
            <v>0</v>
          </cell>
          <cell r="G32">
            <v>51</v>
          </cell>
          <cell r="H32">
            <v>0</v>
          </cell>
          <cell r="I32">
            <v>0</v>
          </cell>
          <cell r="J32">
            <v>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8</v>
          </cell>
          <cell r="T32">
            <v>0</v>
          </cell>
          <cell r="U32">
            <v>7</v>
          </cell>
          <cell r="V32">
            <v>0</v>
          </cell>
          <cell r="W32">
            <v>0</v>
          </cell>
          <cell r="X32">
            <v>25</v>
          </cell>
          <cell r="Y32">
            <v>0</v>
          </cell>
          <cell r="Z32">
            <v>0</v>
          </cell>
          <cell r="AA32">
            <v>0</v>
          </cell>
          <cell r="AB32">
            <v>7</v>
          </cell>
          <cell r="AC32">
            <v>4</v>
          </cell>
          <cell r="AD32">
            <v>0</v>
          </cell>
          <cell r="AE32">
            <v>0</v>
          </cell>
          <cell r="AF32">
            <v>28</v>
          </cell>
          <cell r="AG32">
            <v>24</v>
          </cell>
          <cell r="AH32">
            <v>27</v>
          </cell>
          <cell r="AI32">
            <v>221</v>
          </cell>
          <cell r="AJ32">
            <v>51</v>
          </cell>
          <cell r="AK32">
            <v>11</v>
          </cell>
        </row>
        <row r="33">
          <cell r="C33">
            <v>350710027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5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9</v>
          </cell>
          <cell r="U33">
            <v>17</v>
          </cell>
          <cell r="V33">
            <v>0</v>
          </cell>
          <cell r="W33">
            <v>3</v>
          </cell>
          <cell r="X33">
            <v>0</v>
          </cell>
          <cell r="Y33">
            <v>0</v>
          </cell>
          <cell r="Z33">
            <v>17</v>
          </cell>
          <cell r="AA33">
            <v>2</v>
          </cell>
          <cell r="AB33">
            <v>23</v>
          </cell>
          <cell r="AC33">
            <v>0</v>
          </cell>
          <cell r="AD33">
            <v>15</v>
          </cell>
          <cell r="AE33">
            <v>17</v>
          </cell>
          <cell r="AF33">
            <v>5</v>
          </cell>
          <cell r="AG33">
            <v>0</v>
          </cell>
          <cell r="AH33">
            <v>0</v>
          </cell>
          <cell r="AI33">
            <v>113</v>
          </cell>
          <cell r="AJ33">
            <v>23</v>
          </cell>
          <cell r="AK33">
            <v>10</v>
          </cell>
        </row>
        <row r="34">
          <cell r="C34">
            <v>350710028</v>
          </cell>
          <cell r="D34">
            <v>0</v>
          </cell>
          <cell r="E34">
            <v>0</v>
          </cell>
          <cell r="F34">
            <v>6</v>
          </cell>
          <cell r="G34">
            <v>0</v>
          </cell>
          <cell r="H34">
            <v>12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32</v>
          </cell>
          <cell r="Q34">
            <v>24</v>
          </cell>
          <cell r="R34">
            <v>0</v>
          </cell>
          <cell r="S34">
            <v>11</v>
          </cell>
          <cell r="T34">
            <v>6</v>
          </cell>
          <cell r="U34">
            <v>0</v>
          </cell>
          <cell r="V34">
            <v>0</v>
          </cell>
          <cell r="W34">
            <v>2</v>
          </cell>
          <cell r="X34">
            <v>0</v>
          </cell>
          <cell r="Y34">
            <v>26</v>
          </cell>
          <cell r="Z34">
            <v>43</v>
          </cell>
          <cell r="AA34">
            <v>1</v>
          </cell>
          <cell r="AB34">
            <v>0</v>
          </cell>
          <cell r="AC34">
            <v>0</v>
          </cell>
          <cell r="AD34">
            <v>0</v>
          </cell>
          <cell r="AE34">
            <v>9</v>
          </cell>
          <cell r="AF34">
            <v>5</v>
          </cell>
          <cell r="AG34">
            <v>0</v>
          </cell>
          <cell r="AH34">
            <v>2</v>
          </cell>
          <cell r="AI34">
            <v>180</v>
          </cell>
          <cell r="AJ34">
            <v>43</v>
          </cell>
          <cell r="AK34">
            <v>14</v>
          </cell>
        </row>
        <row r="35">
          <cell r="C35">
            <v>350710029</v>
          </cell>
          <cell r="D35">
            <v>8</v>
          </cell>
          <cell r="E35">
            <v>0</v>
          </cell>
          <cell r="F35">
            <v>0</v>
          </cell>
          <cell r="G35">
            <v>23</v>
          </cell>
          <cell r="H35">
            <v>1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2</v>
          </cell>
          <cell r="P35">
            <v>0</v>
          </cell>
          <cell r="Q35">
            <v>2</v>
          </cell>
          <cell r="R35">
            <v>5</v>
          </cell>
          <cell r="S35">
            <v>5</v>
          </cell>
          <cell r="T35">
            <v>12</v>
          </cell>
          <cell r="U35">
            <v>38</v>
          </cell>
          <cell r="V35">
            <v>0</v>
          </cell>
          <cell r="W35">
            <v>6</v>
          </cell>
          <cell r="X35">
            <v>5</v>
          </cell>
          <cell r="Y35">
            <v>2</v>
          </cell>
          <cell r="Z35">
            <v>19</v>
          </cell>
          <cell r="AA35">
            <v>4</v>
          </cell>
          <cell r="AB35">
            <v>9</v>
          </cell>
          <cell r="AC35">
            <v>5</v>
          </cell>
          <cell r="AD35">
            <v>4</v>
          </cell>
          <cell r="AE35">
            <v>56</v>
          </cell>
          <cell r="AF35">
            <v>7</v>
          </cell>
          <cell r="AG35">
            <v>4</v>
          </cell>
          <cell r="AH35">
            <v>6</v>
          </cell>
          <cell r="AI35">
            <v>223</v>
          </cell>
          <cell r="AJ35">
            <v>56</v>
          </cell>
          <cell r="AK35">
            <v>21</v>
          </cell>
        </row>
        <row r="36">
          <cell r="C36">
            <v>350710030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27</v>
          </cell>
          <cell r="I36">
            <v>25</v>
          </cell>
          <cell r="J36">
            <v>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8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4</v>
          </cell>
          <cell r="V36">
            <v>0</v>
          </cell>
          <cell r="W36">
            <v>0</v>
          </cell>
          <cell r="X36">
            <v>3</v>
          </cell>
          <cell r="Y36">
            <v>54</v>
          </cell>
          <cell r="Z36">
            <v>14</v>
          </cell>
          <cell r="AA36">
            <v>4</v>
          </cell>
          <cell r="AB36">
            <v>18</v>
          </cell>
          <cell r="AC36">
            <v>23</v>
          </cell>
          <cell r="AD36">
            <v>33</v>
          </cell>
          <cell r="AE36">
            <v>0</v>
          </cell>
          <cell r="AF36">
            <v>54</v>
          </cell>
          <cell r="AG36">
            <v>9</v>
          </cell>
          <cell r="AH36">
            <v>0</v>
          </cell>
          <cell r="AI36">
            <v>278</v>
          </cell>
          <cell r="AJ36">
            <v>54</v>
          </cell>
          <cell r="AK36">
            <v>14</v>
          </cell>
        </row>
        <row r="37">
          <cell r="C37">
            <v>350710031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13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19</v>
          </cell>
          <cell r="Z37">
            <v>34</v>
          </cell>
          <cell r="AA37">
            <v>0</v>
          </cell>
          <cell r="AB37">
            <v>0</v>
          </cell>
          <cell r="AC37">
            <v>15</v>
          </cell>
          <cell r="AD37">
            <v>0</v>
          </cell>
          <cell r="AE37">
            <v>0</v>
          </cell>
          <cell r="AF37">
            <v>40</v>
          </cell>
          <cell r="AG37">
            <v>0</v>
          </cell>
          <cell r="AH37">
            <v>0</v>
          </cell>
          <cell r="AI37">
            <v>136</v>
          </cell>
          <cell r="AJ37">
            <v>40</v>
          </cell>
          <cell r="AK37">
            <v>6</v>
          </cell>
        </row>
        <row r="38">
          <cell r="C38">
            <v>350710032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11</v>
          </cell>
          <cell r="R38">
            <v>37</v>
          </cell>
          <cell r="S38">
            <v>0</v>
          </cell>
          <cell r="T38">
            <v>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36</v>
          </cell>
          <cell r="Z38">
            <v>14</v>
          </cell>
          <cell r="AA38">
            <v>20</v>
          </cell>
          <cell r="AB38">
            <v>12</v>
          </cell>
          <cell r="AC38">
            <v>4</v>
          </cell>
          <cell r="AD38">
            <v>0</v>
          </cell>
          <cell r="AE38">
            <v>0.8</v>
          </cell>
          <cell r="AF38">
            <v>13</v>
          </cell>
          <cell r="AG38">
            <v>26</v>
          </cell>
          <cell r="AH38">
            <v>0</v>
          </cell>
          <cell r="AI38">
            <v>184.8</v>
          </cell>
          <cell r="AJ38">
            <v>37</v>
          </cell>
          <cell r="AK38">
            <v>11</v>
          </cell>
        </row>
        <row r="39">
          <cell r="C39">
            <v>350710033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5</v>
          </cell>
          <cell r="P39">
            <v>0</v>
          </cell>
          <cell r="Q39">
            <v>53</v>
          </cell>
          <cell r="R39">
            <v>0</v>
          </cell>
          <cell r="S39">
            <v>0</v>
          </cell>
          <cell r="T39">
            <v>0</v>
          </cell>
          <cell r="U39">
            <v>74</v>
          </cell>
          <cell r="V39">
            <v>0</v>
          </cell>
          <cell r="W39">
            <v>0</v>
          </cell>
          <cell r="X39">
            <v>0</v>
          </cell>
          <cell r="Y39">
            <v>20</v>
          </cell>
          <cell r="Z39">
            <v>7</v>
          </cell>
          <cell r="AA39">
            <v>7</v>
          </cell>
          <cell r="AB39">
            <v>5</v>
          </cell>
          <cell r="AC39">
            <v>1</v>
          </cell>
          <cell r="AD39">
            <v>2</v>
          </cell>
          <cell r="AE39">
            <v>1</v>
          </cell>
          <cell r="AF39">
            <v>30</v>
          </cell>
          <cell r="AG39">
            <v>3</v>
          </cell>
          <cell r="AH39">
            <v>0</v>
          </cell>
          <cell r="AI39">
            <v>208</v>
          </cell>
          <cell r="AJ39">
            <v>74</v>
          </cell>
          <cell r="AK39">
            <v>12</v>
          </cell>
        </row>
        <row r="40">
          <cell r="C40">
            <v>350710034</v>
          </cell>
          <cell r="D40">
            <v>0</v>
          </cell>
          <cell r="E40">
            <v>0</v>
          </cell>
          <cell r="F40">
            <v>3</v>
          </cell>
          <cell r="G40">
            <v>0</v>
          </cell>
          <cell r="H40">
            <v>2</v>
          </cell>
          <cell r="I40">
            <v>0</v>
          </cell>
          <cell r="J40">
            <v>15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4</v>
          </cell>
          <cell r="V40">
            <v>0</v>
          </cell>
          <cell r="W40">
            <v>0</v>
          </cell>
          <cell r="X40">
            <v>1</v>
          </cell>
          <cell r="Y40">
            <v>2</v>
          </cell>
          <cell r="Z40">
            <v>0</v>
          </cell>
          <cell r="AA40">
            <v>12</v>
          </cell>
          <cell r="AB40">
            <v>10</v>
          </cell>
          <cell r="AC40">
            <v>17</v>
          </cell>
          <cell r="AD40">
            <v>5</v>
          </cell>
          <cell r="AE40">
            <v>9</v>
          </cell>
          <cell r="AF40">
            <v>16</v>
          </cell>
          <cell r="AG40">
            <v>4</v>
          </cell>
          <cell r="AH40">
            <v>17</v>
          </cell>
          <cell r="AI40">
            <v>117</v>
          </cell>
          <cell r="AJ40">
            <v>17</v>
          </cell>
          <cell r="AK40">
            <v>14</v>
          </cell>
        </row>
        <row r="41">
          <cell r="C41">
            <v>350710035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3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17</v>
          </cell>
          <cell r="AB41">
            <v>0</v>
          </cell>
          <cell r="AC41">
            <v>30</v>
          </cell>
          <cell r="AD41">
            <v>0</v>
          </cell>
          <cell r="AE41">
            <v>0</v>
          </cell>
          <cell r="AF41">
            <v>34</v>
          </cell>
          <cell r="AG41">
            <v>0</v>
          </cell>
          <cell r="AH41">
            <v>0</v>
          </cell>
          <cell r="AI41">
            <v>88</v>
          </cell>
          <cell r="AJ41">
            <v>34</v>
          </cell>
          <cell r="AK41">
            <v>5</v>
          </cell>
        </row>
        <row r="42">
          <cell r="C42">
            <v>350710036</v>
          </cell>
          <cell r="D42">
            <v>0</v>
          </cell>
          <cell r="E42">
            <v>0</v>
          </cell>
          <cell r="F42">
            <v>0</v>
          </cell>
          <cell r="G42">
            <v>108</v>
          </cell>
          <cell r="H42">
            <v>13</v>
          </cell>
          <cell r="I42">
            <v>0</v>
          </cell>
          <cell r="J42">
            <v>42</v>
          </cell>
          <cell r="K42">
            <v>0</v>
          </cell>
          <cell r="L42">
            <v>0</v>
          </cell>
          <cell r="M42">
            <v>53</v>
          </cell>
          <cell r="N42">
            <v>2</v>
          </cell>
          <cell r="O42">
            <v>48</v>
          </cell>
          <cell r="P42">
            <v>0</v>
          </cell>
          <cell r="Q42">
            <v>0</v>
          </cell>
          <cell r="R42">
            <v>0</v>
          </cell>
          <cell r="S42">
            <v>23</v>
          </cell>
          <cell r="T42">
            <v>5</v>
          </cell>
          <cell r="U42">
            <v>86</v>
          </cell>
          <cell r="V42">
            <v>0</v>
          </cell>
          <cell r="W42">
            <v>0</v>
          </cell>
          <cell r="X42">
            <v>35</v>
          </cell>
          <cell r="Y42">
            <v>4</v>
          </cell>
          <cell r="Z42">
            <v>0</v>
          </cell>
          <cell r="AA42">
            <v>0</v>
          </cell>
          <cell r="AB42">
            <v>5</v>
          </cell>
          <cell r="AC42">
            <v>3</v>
          </cell>
          <cell r="AD42">
            <v>0</v>
          </cell>
          <cell r="AE42">
            <v>0</v>
          </cell>
          <cell r="AF42">
            <v>27</v>
          </cell>
          <cell r="AG42">
            <v>4</v>
          </cell>
          <cell r="AH42">
            <v>0</v>
          </cell>
          <cell r="AI42">
            <v>458</v>
          </cell>
          <cell r="AJ42">
            <v>108</v>
          </cell>
          <cell r="AK42">
            <v>15</v>
          </cell>
        </row>
        <row r="43">
          <cell r="C43">
            <v>350710037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33</v>
          </cell>
          <cell r="P43">
            <v>0</v>
          </cell>
          <cell r="Q43">
            <v>20</v>
          </cell>
          <cell r="R43">
            <v>0</v>
          </cell>
          <cell r="S43">
            <v>0</v>
          </cell>
          <cell r="T43">
            <v>0</v>
          </cell>
          <cell r="U43">
            <v>27</v>
          </cell>
          <cell r="V43">
            <v>0</v>
          </cell>
          <cell r="W43">
            <v>0</v>
          </cell>
          <cell r="X43">
            <v>0</v>
          </cell>
          <cell r="Y43">
            <v>30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15</v>
          </cell>
          <cell r="AE43">
            <v>0</v>
          </cell>
          <cell r="AF43">
            <v>53</v>
          </cell>
          <cell r="AG43">
            <v>0</v>
          </cell>
          <cell r="AH43">
            <v>0</v>
          </cell>
          <cell r="AI43">
            <v>178</v>
          </cell>
          <cell r="AJ43">
            <v>53</v>
          </cell>
          <cell r="AK43">
            <v>6</v>
          </cell>
        </row>
        <row r="44">
          <cell r="C44">
            <v>350710038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9</v>
          </cell>
          <cell r="Q44">
            <v>11</v>
          </cell>
          <cell r="R44">
            <v>0</v>
          </cell>
          <cell r="S44">
            <v>0</v>
          </cell>
          <cell r="T44">
            <v>11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31</v>
          </cell>
          <cell r="Z44">
            <v>28</v>
          </cell>
          <cell r="AA44">
            <v>9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99</v>
          </cell>
          <cell r="AJ44">
            <v>31</v>
          </cell>
          <cell r="AK44">
            <v>6</v>
          </cell>
        </row>
        <row r="45">
          <cell r="C45">
            <v>350710039</v>
          </cell>
          <cell r="D45">
            <v>0</v>
          </cell>
          <cell r="E45">
            <v>0</v>
          </cell>
          <cell r="F45">
            <v>0</v>
          </cell>
          <cell r="G45">
            <v>11</v>
          </cell>
          <cell r="H45">
            <v>0</v>
          </cell>
          <cell r="I45">
            <v>6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</v>
          </cell>
          <cell r="O45">
            <v>0</v>
          </cell>
          <cell r="P45">
            <v>0</v>
          </cell>
          <cell r="Q45">
            <v>4</v>
          </cell>
          <cell r="R45">
            <v>0</v>
          </cell>
          <cell r="S45">
            <v>0</v>
          </cell>
          <cell r="T45">
            <v>0</v>
          </cell>
          <cell r="U45">
            <v>11</v>
          </cell>
          <cell r="V45">
            <v>0</v>
          </cell>
          <cell r="W45">
            <v>0</v>
          </cell>
          <cell r="X45">
            <v>0</v>
          </cell>
          <cell r="Y45">
            <v>4</v>
          </cell>
          <cell r="Z45">
            <v>5</v>
          </cell>
          <cell r="AA45">
            <v>3</v>
          </cell>
          <cell r="AB45">
            <v>1</v>
          </cell>
          <cell r="AC45">
            <v>2</v>
          </cell>
          <cell r="AD45">
            <v>9</v>
          </cell>
          <cell r="AE45">
            <v>5</v>
          </cell>
          <cell r="AF45">
            <v>38</v>
          </cell>
          <cell r="AG45">
            <v>16</v>
          </cell>
          <cell r="AH45">
            <v>0</v>
          </cell>
          <cell r="AI45">
            <v>120</v>
          </cell>
          <cell r="AJ45">
            <v>38</v>
          </cell>
          <cell r="AK45">
            <v>14</v>
          </cell>
        </row>
        <row r="46">
          <cell r="C46">
            <v>350710040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6</v>
          </cell>
          <cell r="N46">
            <v>32</v>
          </cell>
          <cell r="O46">
            <v>0</v>
          </cell>
          <cell r="P46">
            <v>0</v>
          </cell>
          <cell r="Q46">
            <v>4</v>
          </cell>
          <cell r="R46">
            <v>22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26</v>
          </cell>
          <cell r="Z46">
            <v>11</v>
          </cell>
          <cell r="AA46">
            <v>30</v>
          </cell>
          <cell r="AB46">
            <v>14</v>
          </cell>
          <cell r="AC46">
            <v>12</v>
          </cell>
          <cell r="AD46">
            <v>4</v>
          </cell>
          <cell r="AE46">
            <v>0</v>
          </cell>
          <cell r="AF46">
            <v>41</v>
          </cell>
          <cell r="AG46">
            <v>7</v>
          </cell>
          <cell r="AH46">
            <v>0</v>
          </cell>
          <cell r="AI46">
            <v>209</v>
          </cell>
          <cell r="AJ46">
            <v>41</v>
          </cell>
          <cell r="AK46">
            <v>12</v>
          </cell>
        </row>
        <row r="47">
          <cell r="C47">
            <v>350710041</v>
          </cell>
          <cell r="D47">
            <v>0</v>
          </cell>
          <cell r="E47">
            <v>0</v>
          </cell>
          <cell r="F47">
            <v>0</v>
          </cell>
          <cell r="G47">
            <v>6</v>
          </cell>
          <cell r="H47">
            <v>27</v>
          </cell>
          <cell r="I47">
            <v>3</v>
          </cell>
          <cell r="J47">
            <v>6</v>
          </cell>
          <cell r="K47">
            <v>0</v>
          </cell>
          <cell r="L47">
            <v>0</v>
          </cell>
          <cell r="M47">
            <v>2</v>
          </cell>
          <cell r="N47">
            <v>0</v>
          </cell>
          <cell r="O47">
            <v>16</v>
          </cell>
          <cell r="P47">
            <v>0</v>
          </cell>
          <cell r="Q47">
            <v>5</v>
          </cell>
          <cell r="R47">
            <v>0</v>
          </cell>
          <cell r="S47">
            <v>0</v>
          </cell>
          <cell r="T47">
            <v>4</v>
          </cell>
          <cell r="U47">
            <v>23</v>
          </cell>
          <cell r="V47">
            <v>0</v>
          </cell>
          <cell r="W47">
            <v>0</v>
          </cell>
          <cell r="X47">
            <v>0</v>
          </cell>
          <cell r="Y47">
            <v>5</v>
          </cell>
          <cell r="Z47">
            <v>14</v>
          </cell>
          <cell r="AA47">
            <v>8</v>
          </cell>
          <cell r="AB47">
            <v>2</v>
          </cell>
          <cell r="AC47">
            <v>6</v>
          </cell>
          <cell r="AD47">
            <v>3</v>
          </cell>
          <cell r="AE47">
            <v>3</v>
          </cell>
          <cell r="AF47">
            <v>43</v>
          </cell>
          <cell r="AG47">
            <v>17</v>
          </cell>
          <cell r="AH47">
            <v>0</v>
          </cell>
          <cell r="AI47">
            <v>193</v>
          </cell>
          <cell r="AJ47">
            <v>43</v>
          </cell>
          <cell r="AK47">
            <v>18</v>
          </cell>
        </row>
        <row r="48">
          <cell r="C48">
            <v>350710042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84</v>
          </cell>
          <cell r="I48">
            <v>10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</v>
          </cell>
          <cell r="O48">
            <v>45</v>
          </cell>
          <cell r="P48">
            <v>0</v>
          </cell>
          <cell r="Q48">
            <v>19</v>
          </cell>
          <cell r="R48">
            <v>0</v>
          </cell>
          <cell r="S48">
            <v>0</v>
          </cell>
          <cell r="T48">
            <v>32</v>
          </cell>
          <cell r="U48">
            <v>73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9</v>
          </cell>
          <cell r="AA48">
            <v>2</v>
          </cell>
          <cell r="AB48">
            <v>10</v>
          </cell>
          <cell r="AC48">
            <v>1</v>
          </cell>
          <cell r="AD48">
            <v>0</v>
          </cell>
          <cell r="AE48">
            <v>0</v>
          </cell>
          <cell r="AF48">
            <v>48</v>
          </cell>
          <cell r="AG48">
            <v>1</v>
          </cell>
          <cell r="AH48">
            <v>0</v>
          </cell>
          <cell r="AI48">
            <v>335</v>
          </cell>
          <cell r="AJ48">
            <v>84</v>
          </cell>
          <cell r="AK48">
            <v>13</v>
          </cell>
        </row>
        <row r="49">
          <cell r="C49">
            <v>350710043</v>
          </cell>
          <cell r="D49">
            <v>0</v>
          </cell>
          <cell r="E49">
            <v>0</v>
          </cell>
          <cell r="F49">
            <v>0</v>
          </cell>
          <cell r="G49">
            <v>2</v>
          </cell>
          <cell r="H49">
            <v>6</v>
          </cell>
          <cell r="I49">
            <v>10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10</v>
          </cell>
          <cell r="AB49">
            <v>0</v>
          </cell>
          <cell r="AC49">
            <v>32</v>
          </cell>
          <cell r="AD49">
            <v>2</v>
          </cell>
          <cell r="AE49">
            <v>4</v>
          </cell>
          <cell r="AF49">
            <v>40</v>
          </cell>
          <cell r="AG49">
            <v>0</v>
          </cell>
          <cell r="AH49">
            <v>0</v>
          </cell>
          <cell r="AI49">
            <v>108</v>
          </cell>
          <cell r="AJ49">
            <v>40</v>
          </cell>
          <cell r="AK49">
            <v>9</v>
          </cell>
        </row>
        <row r="50">
          <cell r="C50">
            <v>350710044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2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11</v>
          </cell>
          <cell r="P50">
            <v>0</v>
          </cell>
          <cell r="Q50">
            <v>8</v>
          </cell>
          <cell r="R50">
            <v>0</v>
          </cell>
          <cell r="S50">
            <v>0</v>
          </cell>
          <cell r="T50">
            <v>4</v>
          </cell>
          <cell r="U50">
            <v>69</v>
          </cell>
          <cell r="V50">
            <v>12</v>
          </cell>
          <cell r="W50">
            <v>0</v>
          </cell>
          <cell r="X50">
            <v>6</v>
          </cell>
          <cell r="Y50">
            <v>7</v>
          </cell>
          <cell r="Z50">
            <v>3</v>
          </cell>
          <cell r="AA50">
            <v>0</v>
          </cell>
          <cell r="AB50">
            <v>3</v>
          </cell>
          <cell r="AC50">
            <v>0</v>
          </cell>
          <cell r="AD50">
            <v>0</v>
          </cell>
          <cell r="AE50">
            <v>0</v>
          </cell>
          <cell r="AF50">
            <v>38</v>
          </cell>
          <cell r="AG50">
            <v>0</v>
          </cell>
          <cell r="AH50">
            <v>0</v>
          </cell>
          <cell r="AI50">
            <v>163</v>
          </cell>
          <cell r="AJ50">
            <v>69</v>
          </cell>
          <cell r="AK50">
            <v>11</v>
          </cell>
        </row>
        <row r="51">
          <cell r="C51">
            <v>350710045</v>
          </cell>
          <cell r="D51">
            <v>0</v>
          </cell>
          <cell r="E51">
            <v>3</v>
          </cell>
          <cell r="F51">
            <v>59</v>
          </cell>
          <cell r="G51">
            <v>70</v>
          </cell>
          <cell r="H51">
            <v>5</v>
          </cell>
          <cell r="I51">
            <v>5.5</v>
          </cell>
          <cell r="J51">
            <v>0</v>
          </cell>
          <cell r="K51">
            <v>3</v>
          </cell>
          <cell r="L51">
            <v>4</v>
          </cell>
          <cell r="M51">
            <v>36</v>
          </cell>
          <cell r="N51">
            <v>0</v>
          </cell>
          <cell r="O51">
            <v>2</v>
          </cell>
          <cell r="P51">
            <v>0</v>
          </cell>
          <cell r="Q51">
            <v>0</v>
          </cell>
          <cell r="R51">
            <v>4</v>
          </cell>
          <cell r="S51">
            <v>5</v>
          </cell>
          <cell r="T51">
            <v>6</v>
          </cell>
          <cell r="U51">
            <v>0</v>
          </cell>
          <cell r="V51">
            <v>0</v>
          </cell>
          <cell r="W51">
            <v>50</v>
          </cell>
          <cell r="X51">
            <v>0</v>
          </cell>
          <cell r="Y51">
            <v>1</v>
          </cell>
          <cell r="Z51">
            <v>8</v>
          </cell>
          <cell r="AA51">
            <v>2</v>
          </cell>
          <cell r="AB51">
            <v>1.5</v>
          </cell>
          <cell r="AC51">
            <v>2.5</v>
          </cell>
          <cell r="AD51">
            <v>0</v>
          </cell>
          <cell r="AE51">
            <v>31</v>
          </cell>
          <cell r="AF51">
            <v>5</v>
          </cell>
          <cell r="AG51">
            <v>0</v>
          </cell>
          <cell r="AH51">
            <v>15</v>
          </cell>
          <cell r="AI51">
            <v>318.5</v>
          </cell>
          <cell r="AJ51">
            <v>70</v>
          </cell>
          <cell r="AK51">
            <v>21</v>
          </cell>
        </row>
      </sheetData>
      <sheetData sheetId="14"/>
      <sheetData sheetId="15"/>
      <sheetData sheetId="16">
        <row r="4">
          <cell r="C4" t="str">
            <v>Rata - Rata Bulanan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ASE"/>
      <sheetName val="Daftar Pos "/>
      <sheetName val="jan"/>
      <sheetName val="peb"/>
      <sheetName val="mar"/>
      <sheetName val="apr"/>
      <sheetName val="mei"/>
      <sheetName val="jun"/>
      <sheetName val="jul"/>
      <sheetName val="ags"/>
      <sheetName val="sep"/>
      <sheetName val="okt"/>
      <sheetName val="nop"/>
      <sheetName val="des"/>
      <sheetName val="Rekap Bulanan"/>
      <sheetName val="Rekap Max"/>
      <sheetName val="Rekap"/>
      <sheetName val="Prin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>
        <row r="3">
          <cell r="B3" t="str">
            <v>Database</v>
          </cell>
          <cell r="C3" t="str">
            <v>Nama Pos</v>
          </cell>
          <cell r="D3" t="str">
            <v>Kode</v>
          </cell>
          <cell r="E3" t="str">
            <v>UPT</v>
          </cell>
          <cell r="F3" t="str">
            <v>Desa</v>
          </cell>
          <cell r="G3" t="str">
            <v>Kecamatan</v>
          </cell>
          <cell r="H3" t="str">
            <v>Kabupaten</v>
          </cell>
          <cell r="I3" t="str">
            <v>Bujur</v>
          </cell>
          <cell r="J3" t="str">
            <v>Lintang</v>
          </cell>
          <cell r="K3" t="str">
            <v>Elevasi</v>
          </cell>
          <cell r="L3" t="str">
            <v>WS</v>
          </cell>
          <cell r="M3" t="str">
            <v>Tipe Alat</v>
          </cell>
          <cell r="N3" t="str">
            <v>DAS</v>
          </cell>
          <cell r="O3" t="str">
            <v>Tahun</v>
          </cell>
          <cell r="P3" t="str">
            <v>UPTD</v>
          </cell>
        </row>
        <row r="4">
          <cell r="B4">
            <v>350122001</v>
          </cell>
          <cell r="C4" t="str">
            <v>Balen</v>
          </cell>
          <cell r="D4" t="str">
            <v>-</v>
          </cell>
          <cell r="E4" t="str">
            <v>PSDA di Bojonegoro</v>
          </cell>
          <cell r="F4" t="str">
            <v>Margomulyo</v>
          </cell>
          <cell r="G4" t="str">
            <v>Balen</v>
          </cell>
          <cell r="H4" t="str">
            <v>Bojonegoro</v>
          </cell>
          <cell r="I4" t="str">
            <v>'111.953597</v>
          </cell>
          <cell r="J4" t="str">
            <v>' -7.194462</v>
          </cell>
          <cell r="K4" t="str">
            <v>-</v>
          </cell>
          <cell r="L4" t="str">
            <v>Bengawan Solo</v>
          </cell>
          <cell r="M4" t="str">
            <v>PHB</v>
          </cell>
          <cell r="N4" t="str">
            <v>-</v>
          </cell>
          <cell r="O4" t="str">
            <v>-</v>
          </cell>
          <cell r="P4" t="str">
            <v>-</v>
          </cell>
        </row>
        <row r="5">
          <cell r="B5">
            <v>350122002</v>
          </cell>
          <cell r="C5" t="str">
            <v>Baureno</v>
          </cell>
          <cell r="D5" t="str">
            <v>-</v>
          </cell>
          <cell r="E5" t="str">
            <v>PSDA di Bojonegoro</v>
          </cell>
          <cell r="F5" t="str">
            <v>Trojalu</v>
          </cell>
          <cell r="G5" t="str">
            <v>Baureno</v>
          </cell>
          <cell r="H5" t="str">
            <v>Bojonegoro</v>
          </cell>
          <cell r="I5" t="str">
            <v>'112.10317</v>
          </cell>
          <cell r="J5" t="str">
            <v>'-7.138282</v>
          </cell>
          <cell r="K5" t="str">
            <v>-</v>
          </cell>
          <cell r="L5" t="str">
            <v>Bengawan Solo</v>
          </cell>
          <cell r="M5" t="str">
            <v>PHB</v>
          </cell>
          <cell r="N5" t="str">
            <v>-</v>
          </cell>
          <cell r="O5" t="str">
            <v>-</v>
          </cell>
          <cell r="P5" t="str">
            <v>-</v>
          </cell>
        </row>
        <row r="6">
          <cell r="B6">
            <v>350122003</v>
          </cell>
          <cell r="C6" t="str">
            <v>Bojonegoro</v>
          </cell>
          <cell r="D6" t="str">
            <v>-</v>
          </cell>
          <cell r="E6" t="str">
            <v>PSDA di Bojonegoro</v>
          </cell>
          <cell r="F6" t="str">
            <v>Kadipaten</v>
          </cell>
          <cell r="G6" t="str">
            <v>Bojonegoro</v>
          </cell>
          <cell r="H6" t="str">
            <v>Bojonegoro</v>
          </cell>
          <cell r="I6" t="str">
            <v>'111.882110</v>
          </cell>
          <cell r="J6" t="str">
            <v>'-7.147714</v>
          </cell>
          <cell r="K6" t="str">
            <v>-</v>
          </cell>
          <cell r="L6" t="str">
            <v>Bengawan Solo</v>
          </cell>
          <cell r="M6" t="str">
            <v>PHB</v>
          </cell>
          <cell r="N6" t="str">
            <v>-</v>
          </cell>
          <cell r="O6" t="str">
            <v>-</v>
          </cell>
          <cell r="P6" t="str">
            <v>-</v>
          </cell>
        </row>
        <row r="7">
          <cell r="B7">
            <v>350122004</v>
          </cell>
          <cell r="C7" t="str">
            <v>Cawak / Simorejo</v>
          </cell>
          <cell r="D7" t="str">
            <v>-</v>
          </cell>
          <cell r="E7" t="str">
            <v>PSDA di Bojonegoro</v>
          </cell>
          <cell r="F7" t="str">
            <v>Simorejo</v>
          </cell>
          <cell r="G7" t="str">
            <v>Kepoh Baru</v>
          </cell>
          <cell r="H7" t="str">
            <v>Bojonegoro</v>
          </cell>
          <cell r="I7" t="str">
            <v>'112.109187</v>
          </cell>
          <cell r="J7" t="str">
            <v>'-7.220572</v>
          </cell>
          <cell r="K7" t="str">
            <v>-</v>
          </cell>
          <cell r="L7" t="str">
            <v>Bengawan Solo</v>
          </cell>
          <cell r="M7" t="str">
            <v>PHB</v>
          </cell>
          <cell r="N7" t="str">
            <v>-</v>
          </cell>
          <cell r="O7" t="str">
            <v>-</v>
          </cell>
          <cell r="P7" t="str">
            <v>-</v>
          </cell>
        </row>
        <row r="8">
          <cell r="B8">
            <v>350122005</v>
          </cell>
          <cell r="C8" t="str">
            <v>Dander</v>
          </cell>
          <cell r="D8" t="str">
            <v>-</v>
          </cell>
          <cell r="E8" t="str">
            <v>PSDA di Bojonegoro</v>
          </cell>
          <cell r="F8" t="str">
            <v>Dander</v>
          </cell>
          <cell r="G8" t="str">
            <v>Dander</v>
          </cell>
          <cell r="H8" t="str">
            <v>Bojonegoro</v>
          </cell>
          <cell r="I8" t="str">
            <v>'111.8430452</v>
          </cell>
          <cell r="J8" t="str">
            <v>'-7.2496501</v>
          </cell>
          <cell r="K8" t="str">
            <v>-</v>
          </cell>
          <cell r="L8" t="str">
            <v>Bengawan Solo</v>
          </cell>
          <cell r="M8" t="str">
            <v>PHB</v>
          </cell>
          <cell r="N8" t="str">
            <v>-</v>
          </cell>
          <cell r="O8" t="str">
            <v>-</v>
          </cell>
          <cell r="P8" t="str">
            <v>-</v>
          </cell>
        </row>
        <row r="9">
          <cell r="B9">
            <v>350122006</v>
          </cell>
          <cell r="C9" t="str">
            <v>Gangseng</v>
          </cell>
          <cell r="D9" t="str">
            <v>-</v>
          </cell>
          <cell r="E9" t="str">
            <v>PSDA di Bojonegoro</v>
          </cell>
          <cell r="F9" t="str">
            <v>Gangseng</v>
          </cell>
          <cell r="G9" t="str">
            <v>Sugihwaras</v>
          </cell>
          <cell r="H9" t="str">
            <v>Bojonegoro</v>
          </cell>
          <cell r="I9" t="str">
            <v>'111.911839</v>
          </cell>
          <cell r="J9" t="str">
            <v>'-7.3463963</v>
          </cell>
          <cell r="K9" t="str">
            <v>-</v>
          </cell>
          <cell r="L9" t="str">
            <v>Bengawan Solo</v>
          </cell>
          <cell r="M9" t="str">
            <v>PHB</v>
          </cell>
          <cell r="N9" t="str">
            <v>-</v>
          </cell>
          <cell r="O9" t="str">
            <v>-</v>
          </cell>
          <cell r="P9" t="str">
            <v>-</v>
          </cell>
        </row>
        <row r="10">
          <cell r="B10">
            <v>350122007</v>
          </cell>
          <cell r="C10" t="str">
            <v>Gondang BJNG</v>
          </cell>
          <cell r="D10" t="str">
            <v>-</v>
          </cell>
          <cell r="E10" t="str">
            <v>PSDA di Bojonegoro</v>
          </cell>
          <cell r="F10" t="str">
            <v>Gondang</v>
          </cell>
          <cell r="G10" t="str">
            <v>Bubulan</v>
          </cell>
          <cell r="H10" t="str">
            <v>Bojonegoro</v>
          </cell>
          <cell r="I10" t="str">
            <v>'111.848856</v>
          </cell>
          <cell r="J10" t="str">
            <v>'-7.396331</v>
          </cell>
          <cell r="K10" t="str">
            <v>-</v>
          </cell>
          <cell r="L10" t="str">
            <v>Bengawan Solo</v>
          </cell>
          <cell r="M10" t="str">
            <v>PHB</v>
          </cell>
          <cell r="N10" t="str">
            <v>-</v>
          </cell>
          <cell r="O10" t="str">
            <v>-</v>
          </cell>
          <cell r="P10" t="str">
            <v>-</v>
          </cell>
        </row>
        <row r="11">
          <cell r="B11">
            <v>350122008</v>
          </cell>
          <cell r="C11" t="str">
            <v>Jatiblimbing</v>
          </cell>
          <cell r="D11" t="str">
            <v>-</v>
          </cell>
          <cell r="E11" t="str">
            <v>PSDA di Bojonegoro</v>
          </cell>
          <cell r="F11" t="str">
            <v>Bendo</v>
          </cell>
          <cell r="G11" t="str">
            <v>Kapas</v>
          </cell>
          <cell r="H11" t="str">
            <v>Bojonegoro</v>
          </cell>
          <cell r="I11" t="str">
            <v>'111.8724566</v>
          </cell>
          <cell r="J11" t="str">
            <v>'-7.244615</v>
          </cell>
          <cell r="K11" t="str">
            <v>-</v>
          </cell>
          <cell r="L11" t="str">
            <v>Bengawan Solo</v>
          </cell>
          <cell r="M11" t="str">
            <v>PHB</v>
          </cell>
          <cell r="N11" t="str">
            <v>-</v>
          </cell>
          <cell r="O11" t="str">
            <v>-</v>
          </cell>
          <cell r="P11" t="str">
            <v>-</v>
          </cell>
        </row>
        <row r="12">
          <cell r="B12">
            <v>350122009</v>
          </cell>
          <cell r="C12" t="str">
            <v>Kanor</v>
          </cell>
          <cell r="D12" t="str">
            <v>-</v>
          </cell>
          <cell r="E12" t="str">
            <v>PSDA di Bojonegoro</v>
          </cell>
          <cell r="F12" t="str">
            <v>Kanor</v>
          </cell>
          <cell r="G12" t="str">
            <v>Kanor</v>
          </cell>
          <cell r="H12" t="str">
            <v>Bojonegoro</v>
          </cell>
          <cell r="I12" t="str">
            <v>'112.019212</v>
          </cell>
          <cell r="J12" t="str">
            <v>'-7.095438</v>
          </cell>
          <cell r="K12" t="str">
            <v>-</v>
          </cell>
          <cell r="L12" t="str">
            <v>Bengawan Solo</v>
          </cell>
          <cell r="M12" t="str">
            <v>PHB</v>
          </cell>
          <cell r="N12" t="str">
            <v>-</v>
          </cell>
          <cell r="O12" t="str">
            <v>-</v>
          </cell>
          <cell r="P12" t="str">
            <v>-</v>
          </cell>
        </row>
        <row r="13">
          <cell r="B13">
            <v>350122010</v>
          </cell>
          <cell r="C13" t="str">
            <v>Kapas</v>
          </cell>
          <cell r="D13" t="str">
            <v>-</v>
          </cell>
          <cell r="E13" t="str">
            <v>PSDA di Bojonegoro</v>
          </cell>
          <cell r="F13" t="str">
            <v>Kapas</v>
          </cell>
          <cell r="G13" t="str">
            <v>Kapas</v>
          </cell>
          <cell r="H13" t="str">
            <v>Bojonegoro</v>
          </cell>
          <cell r="I13" t="str">
            <v>'111.928241</v>
          </cell>
          <cell r="J13" t="str">
            <v>'-7.19814</v>
          </cell>
          <cell r="K13" t="str">
            <v>-</v>
          </cell>
          <cell r="L13" t="str">
            <v>Bengawan Solo</v>
          </cell>
          <cell r="M13" t="str">
            <v>PHB</v>
          </cell>
          <cell r="N13" t="str">
            <v>-</v>
          </cell>
          <cell r="O13" t="str">
            <v>-</v>
          </cell>
          <cell r="P13" t="str">
            <v>-</v>
          </cell>
        </row>
        <row r="14">
          <cell r="B14">
            <v>350122011</v>
          </cell>
          <cell r="C14" t="str">
            <v>Karangnongko</v>
          </cell>
          <cell r="D14" t="str">
            <v>-</v>
          </cell>
          <cell r="E14" t="str">
            <v>PSDA di Bojonegoro</v>
          </cell>
          <cell r="F14" t="str">
            <v>Luwihaji</v>
          </cell>
          <cell r="G14" t="str">
            <v>Ngraho</v>
          </cell>
          <cell r="H14" t="str">
            <v>Bojonegoro</v>
          </cell>
          <cell r="I14" t="str">
            <v>'111.495615</v>
          </cell>
          <cell r="J14" t="str">
            <v>'-7.252048</v>
          </cell>
          <cell r="K14" t="str">
            <v>-</v>
          </cell>
          <cell r="L14" t="str">
            <v>Bengawan Solo</v>
          </cell>
          <cell r="M14" t="str">
            <v>PHB</v>
          </cell>
          <cell r="N14" t="str">
            <v>-</v>
          </cell>
          <cell r="O14" t="str">
            <v>-</v>
          </cell>
          <cell r="P14" t="str">
            <v>-</v>
          </cell>
        </row>
        <row r="15">
          <cell r="B15">
            <v>350122012</v>
          </cell>
          <cell r="C15" t="str">
            <v>Kendung</v>
          </cell>
          <cell r="D15" t="str">
            <v>-</v>
          </cell>
          <cell r="E15" t="str">
            <v>PSDA di Bojonegoro</v>
          </cell>
          <cell r="F15" t="str">
            <v>Kendung</v>
          </cell>
          <cell r="G15" t="str">
            <v>Kedungadem</v>
          </cell>
          <cell r="H15" t="str">
            <v>Bojonegoro</v>
          </cell>
          <cell r="I15" t="str">
            <v>'112.086124</v>
          </cell>
          <cell r="J15" t="str">
            <v>'-7.2925</v>
          </cell>
          <cell r="K15" t="str">
            <v>-</v>
          </cell>
          <cell r="L15" t="str">
            <v>Bengawan Solo</v>
          </cell>
          <cell r="M15" t="str">
            <v>PHB</v>
          </cell>
          <cell r="N15" t="str">
            <v>-</v>
          </cell>
          <cell r="O15" t="str">
            <v>-</v>
          </cell>
          <cell r="P15" t="str">
            <v>-</v>
          </cell>
        </row>
        <row r="16">
          <cell r="B16">
            <v>350122013</v>
          </cell>
          <cell r="C16" t="str">
            <v>Kerjo</v>
          </cell>
          <cell r="D16" t="str">
            <v>-</v>
          </cell>
          <cell r="E16" t="str">
            <v>PSDA di Bojonegoro</v>
          </cell>
          <cell r="F16" t="str">
            <v>Brangkal</v>
          </cell>
          <cell r="G16" t="str">
            <v>Kepoh Baru</v>
          </cell>
          <cell r="H16" t="str">
            <v>Bojonegoro</v>
          </cell>
          <cell r="I16" t="str">
            <v>'112.087265</v>
          </cell>
          <cell r="J16" t="str">
            <v>' -7.198274</v>
          </cell>
          <cell r="K16" t="str">
            <v>-</v>
          </cell>
          <cell r="L16" t="str">
            <v>Bengawan Solo</v>
          </cell>
          <cell r="M16" t="str">
            <v>PHB</v>
          </cell>
          <cell r="N16" t="str">
            <v>-</v>
          </cell>
          <cell r="O16" t="str">
            <v>-</v>
          </cell>
          <cell r="P16" t="str">
            <v>-</v>
          </cell>
        </row>
        <row r="17">
          <cell r="B17">
            <v>350122014</v>
          </cell>
          <cell r="C17" t="str">
            <v>Klepek</v>
          </cell>
          <cell r="D17" t="str">
            <v>-</v>
          </cell>
          <cell r="E17" t="str">
            <v>PSDA di Bojonegoro</v>
          </cell>
          <cell r="F17" t="str">
            <v>Kedaton</v>
          </cell>
          <cell r="G17" t="str">
            <v>Kapas</v>
          </cell>
          <cell r="H17" t="str">
            <v>Bojonegoro</v>
          </cell>
          <cell r="I17" t="str">
            <v>'111.928674</v>
          </cell>
          <cell r="J17" t="str">
            <v>' -7.257292</v>
          </cell>
          <cell r="K17" t="str">
            <v>-</v>
          </cell>
          <cell r="L17" t="str">
            <v>Bengawan Solo</v>
          </cell>
          <cell r="M17" t="str">
            <v>PHB</v>
          </cell>
          <cell r="N17" t="str">
            <v>-</v>
          </cell>
          <cell r="O17" t="str">
            <v>-</v>
          </cell>
          <cell r="P17" t="str">
            <v>-</v>
          </cell>
        </row>
        <row r="18">
          <cell r="B18">
            <v>350122015</v>
          </cell>
          <cell r="C18" t="str">
            <v>Leran</v>
          </cell>
          <cell r="D18" t="str">
            <v>-</v>
          </cell>
          <cell r="E18" t="str">
            <v>PSDA di Bojonegoro</v>
          </cell>
          <cell r="F18" t="str">
            <v>Ngumpakdalem</v>
          </cell>
          <cell r="G18" t="str">
            <v>Dander</v>
          </cell>
          <cell r="H18" t="str">
            <v>Bojonegoro</v>
          </cell>
          <cell r="I18" t="str">
            <v>'111.822383</v>
          </cell>
          <cell r="J18" t="str">
            <v>' -7.190206</v>
          </cell>
          <cell r="K18" t="str">
            <v>-</v>
          </cell>
          <cell r="L18" t="str">
            <v>Bengawan Solo</v>
          </cell>
          <cell r="M18" t="str">
            <v>PHB</v>
          </cell>
          <cell r="N18" t="str">
            <v>-</v>
          </cell>
          <cell r="O18" t="str">
            <v>-</v>
          </cell>
          <cell r="P18" t="str">
            <v>-</v>
          </cell>
        </row>
        <row r="19">
          <cell r="B19">
            <v>350122016</v>
          </cell>
          <cell r="C19" t="str">
            <v>Mekuris</v>
          </cell>
          <cell r="D19" t="str">
            <v>-</v>
          </cell>
          <cell r="E19" t="str">
            <v>PSDA di Bojonegoro</v>
          </cell>
          <cell r="F19" t="str">
            <v>Mekuris</v>
          </cell>
          <cell r="G19" t="str">
            <v>Sumberejo</v>
          </cell>
          <cell r="H19" t="str">
            <v>Bojonegoro</v>
          </cell>
          <cell r="I19" t="str">
            <v>'112.03126</v>
          </cell>
          <cell r="J19" t="str">
            <v>'-7.22649</v>
          </cell>
          <cell r="K19" t="str">
            <v>-</v>
          </cell>
          <cell r="L19" t="str">
            <v>Bengawan Solo</v>
          </cell>
          <cell r="M19" t="str">
            <v>PHB</v>
          </cell>
          <cell r="N19" t="str">
            <v>-</v>
          </cell>
          <cell r="O19" t="str">
            <v>-</v>
          </cell>
          <cell r="P19" t="str">
            <v>-</v>
          </cell>
        </row>
        <row r="20">
          <cell r="B20">
            <v>350122017</v>
          </cell>
          <cell r="C20" t="str">
            <v>Deling</v>
          </cell>
          <cell r="D20" t="str">
            <v>-</v>
          </cell>
          <cell r="E20" t="str">
            <v>PSDA di Bojonegoro</v>
          </cell>
          <cell r="F20" t="str">
            <v>Deling</v>
          </cell>
          <cell r="G20" t="str">
            <v>Sekar</v>
          </cell>
          <cell r="H20" t="str">
            <v>Bojonegoro</v>
          </cell>
          <cell r="I20" t="str">
            <v>'111.760701</v>
          </cell>
          <cell r="J20" t="str">
            <v>' -7.394211</v>
          </cell>
          <cell r="K20" t="str">
            <v>-</v>
          </cell>
          <cell r="L20" t="str">
            <v>Bengawan Solo</v>
          </cell>
          <cell r="M20" t="str">
            <v>PHB</v>
          </cell>
          <cell r="N20" t="str">
            <v>-</v>
          </cell>
          <cell r="O20" t="str">
            <v>-</v>
          </cell>
          <cell r="P20" t="str">
            <v>-</v>
          </cell>
        </row>
        <row r="21">
          <cell r="B21">
            <v>350122018</v>
          </cell>
          <cell r="C21" t="str">
            <v>Panjang</v>
          </cell>
          <cell r="D21" t="str">
            <v>-</v>
          </cell>
          <cell r="E21" t="str">
            <v>PSDA di Bojonegoro</v>
          </cell>
          <cell r="F21" t="str">
            <v>Panjang</v>
          </cell>
          <cell r="G21" t="str">
            <v>Kedungadem</v>
          </cell>
          <cell r="H21" t="str">
            <v>Bojonegoro</v>
          </cell>
          <cell r="I21" t="str">
            <v>'112.04959</v>
          </cell>
          <cell r="J21" t="str">
            <v>'-7.32957</v>
          </cell>
          <cell r="K21" t="str">
            <v>-</v>
          </cell>
          <cell r="L21" t="str">
            <v>Bengawan Solo</v>
          </cell>
          <cell r="M21" t="str">
            <v>PHB</v>
          </cell>
          <cell r="N21" t="str">
            <v>-</v>
          </cell>
          <cell r="O21" t="str">
            <v>-</v>
          </cell>
          <cell r="P21" t="str">
            <v>-</v>
          </cell>
        </row>
        <row r="22">
          <cell r="B22">
            <v>350122019</v>
          </cell>
          <cell r="C22" t="str">
            <v>Setren</v>
          </cell>
          <cell r="D22" t="str">
            <v>-</v>
          </cell>
          <cell r="E22" t="str">
            <v>PSDA di Bojonegoro</v>
          </cell>
          <cell r="F22" t="str">
            <v>Setren</v>
          </cell>
          <cell r="G22" t="str">
            <v>Ngasem</v>
          </cell>
          <cell r="H22" t="str">
            <v>Bojonegoro</v>
          </cell>
          <cell r="I22" t="str">
            <v>'111.726972</v>
          </cell>
          <cell r="J22" t="str">
            <v>' -7.295647</v>
          </cell>
          <cell r="K22" t="str">
            <v>-</v>
          </cell>
          <cell r="L22" t="str">
            <v>Bengawan Solo</v>
          </cell>
          <cell r="M22" t="str">
            <v>PHB</v>
          </cell>
          <cell r="N22" t="str">
            <v>-</v>
          </cell>
          <cell r="O22" t="str">
            <v>-</v>
          </cell>
          <cell r="P22" t="str">
            <v>-</v>
          </cell>
        </row>
        <row r="23">
          <cell r="B23">
            <v>350122020</v>
          </cell>
          <cell r="C23" t="str">
            <v>Sugihan</v>
          </cell>
          <cell r="D23" t="str">
            <v>-</v>
          </cell>
          <cell r="E23" t="str">
            <v>PSDA di Bojonegoro</v>
          </cell>
          <cell r="F23" t="str">
            <v>Kedungsumber</v>
          </cell>
          <cell r="G23" t="str">
            <v>Temayang</v>
          </cell>
          <cell r="H23" t="str">
            <v>Bojonegoro</v>
          </cell>
          <cell r="I23" t="str">
            <v>'111.875022</v>
          </cell>
          <cell r="J23" t="str">
            <v>' -7.398983</v>
          </cell>
          <cell r="K23" t="str">
            <v>-</v>
          </cell>
          <cell r="L23" t="str">
            <v>Bengawan Solo</v>
          </cell>
          <cell r="M23" t="str">
            <v>PHB</v>
          </cell>
          <cell r="N23" t="str">
            <v>-</v>
          </cell>
          <cell r="O23" t="str">
            <v>-</v>
          </cell>
          <cell r="P23" t="str">
            <v>-</v>
          </cell>
        </row>
        <row r="24">
          <cell r="B24">
            <v>350122021</v>
          </cell>
          <cell r="C24" t="str">
            <v>Sukun</v>
          </cell>
          <cell r="D24" t="str">
            <v>-</v>
          </cell>
          <cell r="E24" t="str">
            <v>PSDA di Bojonegoro</v>
          </cell>
          <cell r="F24" t="str">
            <v>Sambongrejo</v>
          </cell>
          <cell r="G24" t="str">
            <v>Bubulan</v>
          </cell>
          <cell r="H24" t="str">
            <v>Bojonegoro</v>
          </cell>
          <cell r="I24" t="str">
            <v>'111.832572</v>
          </cell>
          <cell r="J24" t="str">
            <v>'-7.431950</v>
          </cell>
          <cell r="K24" t="str">
            <v>-</v>
          </cell>
          <cell r="L24" t="str">
            <v>Bengawan Solo</v>
          </cell>
          <cell r="M24" t="str">
            <v>PHB</v>
          </cell>
          <cell r="N24" t="str">
            <v>-</v>
          </cell>
          <cell r="O24" t="str">
            <v>-</v>
          </cell>
          <cell r="P24" t="str">
            <v>-</v>
          </cell>
        </row>
        <row r="25">
          <cell r="B25">
            <v>350122022</v>
          </cell>
          <cell r="C25" t="str">
            <v>Sumberejo</v>
          </cell>
          <cell r="D25" t="str">
            <v>-</v>
          </cell>
          <cell r="E25" t="str">
            <v>PSDA di Bojonegoro</v>
          </cell>
          <cell r="F25" t="str">
            <v>Sumberrejo</v>
          </cell>
          <cell r="G25" t="str">
            <v>Sumberejo</v>
          </cell>
          <cell r="H25" t="str">
            <v>Bojonegoro</v>
          </cell>
          <cell r="I25" t="str">
            <v>'112.007822</v>
          </cell>
          <cell r="J25" t="str">
            <v>'-7.178944</v>
          </cell>
          <cell r="K25" t="str">
            <v>-</v>
          </cell>
          <cell r="L25" t="str">
            <v>Bengawan Solo</v>
          </cell>
          <cell r="M25" t="str">
            <v>PHB</v>
          </cell>
          <cell r="N25" t="str">
            <v>-</v>
          </cell>
          <cell r="O25" t="str">
            <v>-</v>
          </cell>
          <cell r="P25" t="str">
            <v>-</v>
          </cell>
        </row>
        <row r="26">
          <cell r="B26">
            <v>350122023</v>
          </cell>
          <cell r="C26" t="str">
            <v>Tretes/pacal</v>
          </cell>
          <cell r="D26" t="str">
            <v>-</v>
          </cell>
          <cell r="E26" t="str">
            <v>PSDA di Bojonegoro</v>
          </cell>
          <cell r="F26" t="str">
            <v>Kedungsumber</v>
          </cell>
          <cell r="G26" t="str">
            <v>Temayang</v>
          </cell>
          <cell r="H26" t="str">
            <v>Bojonegoro</v>
          </cell>
          <cell r="I26" t="str">
            <v>'111.870759</v>
          </cell>
          <cell r="J26" t="str">
            <v>'-7.362486</v>
          </cell>
          <cell r="K26" t="str">
            <v>-</v>
          </cell>
          <cell r="L26" t="str">
            <v>Bengawan Solo</v>
          </cell>
          <cell r="M26" t="str">
            <v>PHB</v>
          </cell>
          <cell r="N26" t="str">
            <v>-</v>
          </cell>
          <cell r="O26" t="str">
            <v>-</v>
          </cell>
          <cell r="P26" t="str">
            <v>-</v>
          </cell>
        </row>
        <row r="27">
          <cell r="B27">
            <v>350122024</v>
          </cell>
          <cell r="C27" t="str">
            <v>Wonocolo</v>
          </cell>
          <cell r="D27" t="str">
            <v>-</v>
          </cell>
          <cell r="E27" t="str">
            <v>PSDA di Bojonegoro</v>
          </cell>
          <cell r="F27" t="str">
            <v>Wonocolo</v>
          </cell>
          <cell r="G27" t="str">
            <v>Kasiman</v>
          </cell>
          <cell r="H27" t="str">
            <v>Bojonegoro</v>
          </cell>
          <cell r="I27" t="str">
            <v>'111.670965</v>
          </cell>
          <cell r="J27" t="str">
            <v>' -7.050852</v>
          </cell>
          <cell r="K27" t="str">
            <v>-</v>
          </cell>
          <cell r="L27" t="str">
            <v>Bengawan Solo</v>
          </cell>
          <cell r="M27" t="str">
            <v>PHB</v>
          </cell>
          <cell r="N27" t="str">
            <v>-</v>
          </cell>
          <cell r="O27" t="str">
            <v>-</v>
          </cell>
          <cell r="P27" t="str">
            <v>-</v>
          </cell>
        </row>
        <row r="28">
          <cell r="B28">
            <v>350122025</v>
          </cell>
          <cell r="C28" t="str">
            <v>Ngraho</v>
          </cell>
          <cell r="D28" t="str">
            <v>-</v>
          </cell>
          <cell r="E28" t="str">
            <v>PSDA di Bojonegoro</v>
          </cell>
          <cell r="F28" t="str">
            <v>Ngraho</v>
          </cell>
          <cell r="G28" t="str">
            <v>Ngraho</v>
          </cell>
          <cell r="H28" t="str">
            <v>Bojonegoro</v>
          </cell>
          <cell r="I28" t="str">
            <v>'111.560336</v>
          </cell>
          <cell r="J28" t="str">
            <v>'-7.220665</v>
          </cell>
          <cell r="K28" t="str">
            <v>-</v>
          </cell>
          <cell r="L28" t="str">
            <v>Bengawan Solo</v>
          </cell>
          <cell r="M28" t="str">
            <v>PHB</v>
          </cell>
          <cell r="N28" t="str">
            <v>-</v>
          </cell>
          <cell r="O28" t="str">
            <v>-</v>
          </cell>
          <cell r="P28" t="str">
            <v>-</v>
          </cell>
        </row>
        <row r="29">
          <cell r="B29">
            <v>350122026</v>
          </cell>
          <cell r="C29" t="str">
            <v>Pajeng</v>
          </cell>
          <cell r="D29" t="str">
            <v>-</v>
          </cell>
          <cell r="E29" t="str">
            <v>PSDA di Bojonegoro</v>
          </cell>
          <cell r="F29" t="str">
            <v>Pajeng</v>
          </cell>
          <cell r="G29" t="str">
            <v>Gondang</v>
          </cell>
          <cell r="H29" t="str">
            <v>Bojonegoro</v>
          </cell>
          <cell r="I29" t="str">
            <v>'111.887401</v>
          </cell>
          <cell r="J29" t="str">
            <v>' -7.423303</v>
          </cell>
          <cell r="K29" t="str">
            <v>-</v>
          </cell>
          <cell r="L29" t="str">
            <v>Bengawan Solo</v>
          </cell>
          <cell r="M29" t="str">
            <v>PHB</v>
          </cell>
          <cell r="N29" t="str">
            <v>-</v>
          </cell>
          <cell r="O29" t="str">
            <v>-</v>
          </cell>
          <cell r="P29" t="str">
            <v>-</v>
          </cell>
        </row>
        <row r="30">
          <cell r="B30">
            <v>350122027</v>
          </cell>
          <cell r="C30" t="str">
            <v>Kalitidu</v>
          </cell>
          <cell r="D30" t="str">
            <v>-</v>
          </cell>
          <cell r="E30" t="str">
            <v>PSDA di Bojonegoro</v>
          </cell>
          <cell r="F30" t="str">
            <v>Kalitidu</v>
          </cell>
          <cell r="G30" t="str">
            <v>Kalitidu</v>
          </cell>
          <cell r="H30" t="str">
            <v>Bojonegoro</v>
          </cell>
          <cell r="I30" t="str">
            <v>'111.76459</v>
          </cell>
          <cell r="J30" t="str">
            <v>'-7.12949</v>
          </cell>
          <cell r="K30" t="str">
            <v>-</v>
          </cell>
          <cell r="L30" t="str">
            <v>Bengawan Solo</v>
          </cell>
          <cell r="M30" t="str">
            <v>PHB</v>
          </cell>
          <cell r="N30" t="str">
            <v>-</v>
          </cell>
          <cell r="O30" t="str">
            <v>-</v>
          </cell>
          <cell r="P30" t="str">
            <v>-</v>
          </cell>
        </row>
        <row r="31">
          <cell r="B31">
            <v>350122028</v>
          </cell>
          <cell r="C31" t="str">
            <v>Butoh</v>
          </cell>
          <cell r="D31" t="str">
            <v>-</v>
          </cell>
          <cell r="E31" t="str">
            <v>PSDA di Bojonegoro</v>
          </cell>
          <cell r="F31" t="str">
            <v>Butoh</v>
          </cell>
          <cell r="G31" t="str">
            <v>Ngasem</v>
          </cell>
          <cell r="H31" t="str">
            <v>Bojonegoro</v>
          </cell>
          <cell r="I31" t="str">
            <v>'111.765940</v>
          </cell>
          <cell r="J31" t="str">
            <v>'-7.255982</v>
          </cell>
          <cell r="K31" t="str">
            <v>-</v>
          </cell>
          <cell r="L31" t="str">
            <v>Bengawan Solo</v>
          </cell>
          <cell r="M31" t="str">
            <v>PHB</v>
          </cell>
          <cell r="N31" t="str">
            <v>-</v>
          </cell>
          <cell r="O31" t="str">
            <v>-</v>
          </cell>
          <cell r="P31" t="str">
            <v>-</v>
          </cell>
        </row>
        <row r="32">
          <cell r="B32">
            <v>350122029</v>
          </cell>
          <cell r="C32" t="str">
            <v>Kali sumber</v>
          </cell>
          <cell r="D32" t="str">
            <v>-</v>
          </cell>
          <cell r="E32" t="str">
            <v>PSDA di Bojonegoro</v>
          </cell>
          <cell r="F32" t="str">
            <v>Kali sumber</v>
          </cell>
          <cell r="G32" t="str">
            <v>Tambakrejo</v>
          </cell>
          <cell r="H32" t="str">
            <v>Bojonegoro</v>
          </cell>
          <cell r="I32" t="str">
            <v>'111.655335</v>
          </cell>
          <cell r="J32" t="str">
            <v>' -7.264912</v>
          </cell>
          <cell r="K32" t="str">
            <v>-</v>
          </cell>
          <cell r="L32" t="str">
            <v>Bengawan Solo</v>
          </cell>
          <cell r="M32" t="str">
            <v>PHB</v>
          </cell>
          <cell r="N32" t="str">
            <v>-</v>
          </cell>
          <cell r="O32" t="str">
            <v>-</v>
          </cell>
          <cell r="P32" t="str">
            <v>-</v>
          </cell>
        </row>
        <row r="33">
          <cell r="B33">
            <v>350122030</v>
          </cell>
          <cell r="C33" t="str">
            <v>Cancung</v>
          </cell>
          <cell r="D33" t="str">
            <v>-</v>
          </cell>
          <cell r="E33" t="str">
            <v>PSDA di Bojonegoro</v>
          </cell>
          <cell r="F33" t="str">
            <v>Cancung</v>
          </cell>
          <cell r="G33" t="str">
            <v>Bubulan</v>
          </cell>
          <cell r="H33" t="str">
            <v>Bojonegoro</v>
          </cell>
          <cell r="I33" t="str">
            <v>'111.811983</v>
          </cell>
          <cell r="J33" t="str">
            <v>' -7.325828</v>
          </cell>
          <cell r="K33" t="str">
            <v>-</v>
          </cell>
          <cell r="L33" t="str">
            <v>Bengawan Solo</v>
          </cell>
          <cell r="M33" t="str">
            <v>PHB</v>
          </cell>
          <cell r="N33" t="str">
            <v>-</v>
          </cell>
          <cell r="O33" t="str">
            <v>-</v>
          </cell>
          <cell r="P33" t="str">
            <v>-</v>
          </cell>
        </row>
        <row r="34">
          <cell r="B34">
            <v>350122031</v>
          </cell>
          <cell r="C34" t="str">
            <v>Sumberejo/malo</v>
          </cell>
          <cell r="D34" t="str">
            <v>-</v>
          </cell>
          <cell r="E34" t="str">
            <v>PSDA di Bojonegoro</v>
          </cell>
          <cell r="F34" t="str">
            <v>Sumberejo</v>
          </cell>
          <cell r="G34" t="str">
            <v>Malo</v>
          </cell>
          <cell r="H34" t="str">
            <v>Bojonegoro</v>
          </cell>
          <cell r="I34" t="str">
            <v>'111.703311</v>
          </cell>
          <cell r="J34" t="str">
            <v>'-7.099028</v>
          </cell>
          <cell r="K34" t="str">
            <v>-</v>
          </cell>
          <cell r="L34" t="str">
            <v>Bengawan Solo</v>
          </cell>
          <cell r="M34" t="str">
            <v>PHB</v>
          </cell>
          <cell r="N34" t="str">
            <v>-</v>
          </cell>
          <cell r="O34" t="str">
            <v>-</v>
          </cell>
          <cell r="P34" t="str">
            <v>-</v>
          </cell>
        </row>
        <row r="35">
          <cell r="B35">
            <v>350122032</v>
          </cell>
          <cell r="C35" t="str">
            <v>Padangan</v>
          </cell>
          <cell r="D35" t="str">
            <v>-</v>
          </cell>
          <cell r="E35" t="str">
            <v>PSDA di Bojonegoro</v>
          </cell>
          <cell r="F35" t="str">
            <v>Sonorejo</v>
          </cell>
          <cell r="G35" t="str">
            <v>Padangan</v>
          </cell>
          <cell r="H35" t="str">
            <v>Bojonegoro</v>
          </cell>
          <cell r="I35" t="str">
            <v>'111.6235</v>
          </cell>
          <cell r="J35" t="str">
            <v>'-7.1836</v>
          </cell>
          <cell r="K35" t="str">
            <v>-</v>
          </cell>
          <cell r="L35" t="str">
            <v>Bengawan Solo</v>
          </cell>
          <cell r="M35" t="str">
            <v>PHB</v>
          </cell>
          <cell r="N35" t="str">
            <v>-</v>
          </cell>
          <cell r="O35" t="str">
            <v>-</v>
          </cell>
          <cell r="P35" t="str">
            <v>-</v>
          </cell>
        </row>
        <row r="36">
          <cell r="B36">
            <v>350123001</v>
          </cell>
          <cell r="C36" t="str">
            <v>Sidomukti</v>
          </cell>
          <cell r="D36" t="str">
            <v>-</v>
          </cell>
          <cell r="E36" t="str">
            <v>PSDA di Bojonegoro</v>
          </cell>
          <cell r="F36" t="str">
            <v>Sidomukti</v>
          </cell>
          <cell r="G36" t="str">
            <v>Jatirogo</v>
          </cell>
          <cell r="H36" t="str">
            <v>Tuban</v>
          </cell>
          <cell r="I36" t="str">
            <v>'111.620583</v>
          </cell>
          <cell r="J36" t="str">
            <v>' -6.923239</v>
          </cell>
          <cell r="K36" t="str">
            <v>-</v>
          </cell>
          <cell r="L36" t="str">
            <v>Bengawan Solo</v>
          </cell>
          <cell r="M36" t="str">
            <v>PHB</v>
          </cell>
          <cell r="N36" t="str">
            <v>-</v>
          </cell>
          <cell r="O36" t="str">
            <v>-</v>
          </cell>
          <cell r="P36" t="str">
            <v>-</v>
          </cell>
        </row>
        <row r="37">
          <cell r="B37">
            <v>350123002</v>
          </cell>
          <cell r="C37" t="str">
            <v>Belikanget</v>
          </cell>
          <cell r="D37" t="str">
            <v>-</v>
          </cell>
          <cell r="E37" t="str">
            <v>PSDA di Bojonegoro</v>
          </cell>
          <cell r="F37" t="str">
            <v>Belikanget</v>
          </cell>
          <cell r="G37" t="str">
            <v>Tambakboyo</v>
          </cell>
          <cell r="H37" t="str">
            <v>Tuban</v>
          </cell>
          <cell r="I37" t="str">
            <v>'111.809794</v>
          </cell>
          <cell r="J37" t="str">
            <v>' -6.827905</v>
          </cell>
          <cell r="K37" t="str">
            <v>-</v>
          </cell>
          <cell r="L37" t="str">
            <v>Bengawan Solo</v>
          </cell>
          <cell r="M37" t="str">
            <v>PHB</v>
          </cell>
          <cell r="N37" t="str">
            <v>-</v>
          </cell>
          <cell r="O37" t="str">
            <v>-</v>
          </cell>
          <cell r="P37" t="str">
            <v>-</v>
          </cell>
        </row>
        <row r="38">
          <cell r="B38">
            <v>350123003</v>
          </cell>
          <cell r="C38" t="str">
            <v>Boropetung</v>
          </cell>
          <cell r="D38" t="str">
            <v>-</v>
          </cell>
          <cell r="E38" t="str">
            <v>PSDA di Bojonegoro</v>
          </cell>
          <cell r="F38" t="str">
            <v>Boropetung</v>
          </cell>
          <cell r="G38" t="str">
            <v>Montong</v>
          </cell>
          <cell r="H38" t="str">
            <v>Tuban</v>
          </cell>
          <cell r="I38" t="str">
            <v>'111.950662</v>
          </cell>
          <cell r="J38" t="str">
            <v>' -6.964054</v>
          </cell>
          <cell r="K38" t="str">
            <v>-</v>
          </cell>
          <cell r="L38" t="str">
            <v>Bengawan Solo</v>
          </cell>
          <cell r="M38" t="str">
            <v>PHB</v>
          </cell>
          <cell r="N38" t="str">
            <v>-</v>
          </cell>
          <cell r="O38" t="str">
            <v>-</v>
          </cell>
          <cell r="P38" t="str">
            <v>-</v>
          </cell>
        </row>
        <row r="39">
          <cell r="B39">
            <v>350123004</v>
          </cell>
          <cell r="C39" t="str">
            <v>Gaplok</v>
          </cell>
          <cell r="D39" t="str">
            <v>-</v>
          </cell>
          <cell r="E39" t="str">
            <v>PSDA di Bojonegoro</v>
          </cell>
          <cell r="F39" t="str">
            <v>Gaplok</v>
          </cell>
          <cell r="G39" t="str">
            <v>Montong</v>
          </cell>
          <cell r="H39" t="str">
            <v>Tuban</v>
          </cell>
          <cell r="I39" t="str">
            <v>'111.943238</v>
          </cell>
          <cell r="J39" t="str">
            <v>' -6.945051</v>
          </cell>
          <cell r="K39" t="str">
            <v>-</v>
          </cell>
          <cell r="L39" t="str">
            <v>Bengawan Solo</v>
          </cell>
          <cell r="M39" t="str">
            <v>PHB</v>
          </cell>
          <cell r="N39" t="str">
            <v>-</v>
          </cell>
          <cell r="O39" t="str">
            <v>-</v>
          </cell>
          <cell r="P39" t="str">
            <v>-</v>
          </cell>
        </row>
        <row r="40">
          <cell r="B40">
            <v>350123005</v>
          </cell>
          <cell r="C40" t="str">
            <v>Grabagan</v>
          </cell>
          <cell r="D40" t="str">
            <v>-</v>
          </cell>
          <cell r="E40" t="str">
            <v>PSDA di Bojonegoro</v>
          </cell>
          <cell r="F40" t="str">
            <v>Rengel</v>
          </cell>
          <cell r="G40" t="str">
            <v>Rengel</v>
          </cell>
          <cell r="H40" t="str">
            <v>Tuban</v>
          </cell>
          <cell r="I40" t="str">
            <v>'111.986885</v>
          </cell>
          <cell r="J40" t="str">
            <v>'-7.006121</v>
          </cell>
          <cell r="K40" t="str">
            <v>-</v>
          </cell>
          <cell r="L40" t="str">
            <v>Bengawan Solo</v>
          </cell>
          <cell r="M40" t="str">
            <v>PHB</v>
          </cell>
          <cell r="N40" t="str">
            <v>-</v>
          </cell>
          <cell r="O40" t="str">
            <v>-</v>
          </cell>
          <cell r="P40" t="str">
            <v>-</v>
          </cell>
        </row>
        <row r="41">
          <cell r="B41">
            <v>350123006</v>
          </cell>
          <cell r="C41" t="str">
            <v>Jojogan</v>
          </cell>
          <cell r="D41" t="str">
            <v>-</v>
          </cell>
          <cell r="E41" t="str">
            <v>PSDA di Bojonegoro</v>
          </cell>
          <cell r="F41" t="str">
            <v>Mulyoagung</v>
          </cell>
          <cell r="G41" t="str">
            <v>Singgahan</v>
          </cell>
          <cell r="H41" t="str">
            <v>Tuban</v>
          </cell>
          <cell r="I41" t="str">
            <v>'111.793888</v>
          </cell>
          <cell r="J41" t="str">
            <v>' -6.968066</v>
          </cell>
          <cell r="K41" t="str">
            <v>-</v>
          </cell>
          <cell r="L41" t="str">
            <v>Bengawan Solo</v>
          </cell>
          <cell r="M41" t="str">
            <v>PHB</v>
          </cell>
          <cell r="N41" t="str">
            <v>-</v>
          </cell>
          <cell r="O41" t="str">
            <v>-</v>
          </cell>
          <cell r="P41" t="str">
            <v>-</v>
          </cell>
        </row>
        <row r="42">
          <cell r="B42">
            <v>350123007</v>
          </cell>
          <cell r="C42" t="str">
            <v>Kayenjoho</v>
          </cell>
          <cell r="D42" t="str">
            <v>-</v>
          </cell>
          <cell r="E42" t="str">
            <v>PSDA di Bojonegoro</v>
          </cell>
          <cell r="F42" t="str">
            <v>Kayenjoho</v>
          </cell>
          <cell r="G42" t="str">
            <v>Bancar</v>
          </cell>
          <cell r="H42" t="str">
            <v>Tuban</v>
          </cell>
          <cell r="I42" t="str">
            <v>'111.742851</v>
          </cell>
          <cell r="J42" t="str">
            <v>' -6.827731</v>
          </cell>
          <cell r="K42" t="str">
            <v>-</v>
          </cell>
          <cell r="L42" t="str">
            <v>Bengawan Solo</v>
          </cell>
          <cell r="M42" t="str">
            <v>PHB</v>
          </cell>
          <cell r="N42" t="str">
            <v>-</v>
          </cell>
          <cell r="O42" t="str">
            <v>-</v>
          </cell>
          <cell r="P42" t="str">
            <v>-</v>
          </cell>
        </row>
        <row r="43">
          <cell r="B43">
            <v>350123008</v>
          </cell>
          <cell r="C43" t="str">
            <v>Kebonagung TBN</v>
          </cell>
          <cell r="D43" t="str">
            <v>-</v>
          </cell>
          <cell r="E43" t="str">
            <v>PSDA di Bojonegoro</v>
          </cell>
          <cell r="F43" t="str">
            <v>Kebonagung</v>
          </cell>
          <cell r="G43" t="str">
            <v>Montong</v>
          </cell>
          <cell r="H43" t="str">
            <v>Tuban</v>
          </cell>
          <cell r="I43" t="str">
            <v>'111.925043</v>
          </cell>
          <cell r="J43" t="str">
            <v>'-6.9865552</v>
          </cell>
          <cell r="K43" t="str">
            <v>-</v>
          </cell>
          <cell r="L43" t="str">
            <v>Bengawan Solo</v>
          </cell>
          <cell r="M43" t="str">
            <v>PHB</v>
          </cell>
          <cell r="N43" t="str">
            <v>-</v>
          </cell>
          <cell r="O43" t="str">
            <v>-</v>
          </cell>
          <cell r="P43" t="str">
            <v>-</v>
          </cell>
        </row>
        <row r="44">
          <cell r="B44">
            <v>350123009</v>
          </cell>
          <cell r="C44" t="str">
            <v>Kebonharjo/paseyan</v>
          </cell>
          <cell r="D44" t="str">
            <v>-</v>
          </cell>
          <cell r="E44" t="str">
            <v>PSDA di Bojonegoro</v>
          </cell>
          <cell r="F44" t="str">
            <v>Paseyan</v>
          </cell>
          <cell r="G44" t="str">
            <v>Jatirogo</v>
          </cell>
          <cell r="H44" t="str">
            <v>Tuban</v>
          </cell>
          <cell r="I44" t="str">
            <v>'111.638340</v>
          </cell>
          <cell r="J44" t="str">
            <v>'-6.873783</v>
          </cell>
          <cell r="K44" t="str">
            <v>-</v>
          </cell>
          <cell r="L44" t="str">
            <v>Bengawan Solo</v>
          </cell>
          <cell r="M44" t="str">
            <v>PHB</v>
          </cell>
          <cell r="N44" t="str">
            <v>-</v>
          </cell>
          <cell r="O44" t="str">
            <v>-</v>
          </cell>
          <cell r="P44" t="str">
            <v>-</v>
          </cell>
        </row>
        <row r="45">
          <cell r="B45">
            <v>350123010</v>
          </cell>
          <cell r="C45" t="str">
            <v>Kejuron</v>
          </cell>
          <cell r="D45" t="str">
            <v>-</v>
          </cell>
          <cell r="E45" t="str">
            <v>PSDA di Bojonegoro</v>
          </cell>
          <cell r="F45" t="str">
            <v>Sidotentrem</v>
          </cell>
          <cell r="G45" t="str">
            <v>Bangilan</v>
          </cell>
          <cell r="H45" t="str">
            <v>Tuban</v>
          </cell>
          <cell r="I45" t="str">
            <v>'111.687526</v>
          </cell>
          <cell r="J45" t="str">
            <v>'-6.971241</v>
          </cell>
          <cell r="K45" t="str">
            <v>-</v>
          </cell>
          <cell r="L45" t="str">
            <v>Bengawan Solo</v>
          </cell>
          <cell r="M45" t="str">
            <v>PHB</v>
          </cell>
          <cell r="N45" t="str">
            <v>-</v>
          </cell>
          <cell r="O45" t="str">
            <v>-</v>
          </cell>
          <cell r="P45" t="str">
            <v>-</v>
          </cell>
        </row>
        <row r="46">
          <cell r="B46">
            <v>350123011</v>
          </cell>
          <cell r="C46" t="str">
            <v>Kepet</v>
          </cell>
          <cell r="D46" t="str">
            <v>-</v>
          </cell>
          <cell r="E46" t="str">
            <v>PSDA di Bojonegoro</v>
          </cell>
          <cell r="F46" t="str">
            <v>Semanding</v>
          </cell>
          <cell r="G46" t="str">
            <v>Semanding</v>
          </cell>
          <cell r="H46" t="str">
            <v>Tuban</v>
          </cell>
          <cell r="I46" t="str">
            <v>'112.055130</v>
          </cell>
          <cell r="J46" t="str">
            <v>' -6.926983</v>
          </cell>
          <cell r="K46" t="str">
            <v>-</v>
          </cell>
          <cell r="L46" t="str">
            <v>Bengawan Solo</v>
          </cell>
          <cell r="M46" t="str">
            <v>PHB</v>
          </cell>
          <cell r="N46" t="str">
            <v>-</v>
          </cell>
          <cell r="O46" t="str">
            <v>-</v>
          </cell>
          <cell r="P46" t="str">
            <v>-</v>
          </cell>
        </row>
        <row r="47">
          <cell r="B47">
            <v>350123012</v>
          </cell>
          <cell r="C47" t="str">
            <v>Kerek</v>
          </cell>
          <cell r="D47" t="str">
            <v>-</v>
          </cell>
          <cell r="E47" t="str">
            <v>PSDA di Bojonegoro</v>
          </cell>
          <cell r="F47" t="str">
            <v>Jarorejo</v>
          </cell>
          <cell r="G47" t="str">
            <v>Kerek</v>
          </cell>
          <cell r="H47" t="str">
            <v>Tuban</v>
          </cell>
          <cell r="I47" t="str">
            <v>'111.883483</v>
          </cell>
          <cell r="J47" t="str">
            <v>' -6.900192</v>
          </cell>
          <cell r="K47" t="str">
            <v>-</v>
          </cell>
          <cell r="L47" t="str">
            <v>Bengawan Solo</v>
          </cell>
          <cell r="M47" t="str">
            <v>PHB</v>
          </cell>
          <cell r="N47" t="str">
            <v>-</v>
          </cell>
          <cell r="O47" t="str">
            <v>-</v>
          </cell>
          <cell r="P47" t="str">
            <v>-</v>
          </cell>
        </row>
        <row r="48">
          <cell r="B48">
            <v>350123013</v>
          </cell>
          <cell r="C48" t="str">
            <v>Klotok/Sembungrejo</v>
          </cell>
          <cell r="D48" t="str">
            <v>-</v>
          </cell>
          <cell r="E48" t="str">
            <v>PSDA di Bojonegoro</v>
          </cell>
          <cell r="F48" t="str">
            <v>Sembungrejo</v>
          </cell>
          <cell r="G48" t="str">
            <v>Plumpang</v>
          </cell>
          <cell r="H48" t="str">
            <v>Tuban</v>
          </cell>
          <cell r="I48" t="str">
            <v>'112.117910</v>
          </cell>
          <cell r="J48" t="str">
            <v>'-7.084119</v>
          </cell>
          <cell r="K48" t="str">
            <v>-</v>
          </cell>
          <cell r="L48" t="str">
            <v>Bengawan Solo</v>
          </cell>
          <cell r="M48" t="str">
            <v>PHB</v>
          </cell>
          <cell r="N48" t="str">
            <v>-</v>
          </cell>
          <cell r="O48" t="str">
            <v>-</v>
          </cell>
          <cell r="P48" t="str">
            <v>-</v>
          </cell>
        </row>
        <row r="49">
          <cell r="B49">
            <v>350123014</v>
          </cell>
          <cell r="C49" t="str">
            <v>Kwasen</v>
          </cell>
          <cell r="D49" t="str">
            <v>-</v>
          </cell>
          <cell r="E49" t="str">
            <v>PSDA di Bojonegoro</v>
          </cell>
          <cell r="F49" t="str">
            <v>Kwasen</v>
          </cell>
          <cell r="G49" t="str">
            <v>Bangilan</v>
          </cell>
          <cell r="H49" t="str">
            <v>Tuban</v>
          </cell>
          <cell r="I49" t="str">
            <v>'111.768724</v>
          </cell>
          <cell r="J49" t="str">
            <v>' -6.949823</v>
          </cell>
          <cell r="K49" t="str">
            <v>-</v>
          </cell>
          <cell r="L49" t="str">
            <v>Bengawan Solo</v>
          </cell>
          <cell r="M49" t="str">
            <v>PHB</v>
          </cell>
          <cell r="N49" t="str">
            <v>-</v>
          </cell>
          <cell r="O49" t="str">
            <v>-</v>
          </cell>
          <cell r="P49" t="str">
            <v>-</v>
          </cell>
        </row>
        <row r="50">
          <cell r="B50">
            <v>350123015</v>
          </cell>
          <cell r="C50" t="str">
            <v>Laju</v>
          </cell>
          <cell r="D50" t="str">
            <v>-</v>
          </cell>
          <cell r="E50" t="str">
            <v>PSDA di Bojonegoro</v>
          </cell>
          <cell r="F50" t="str">
            <v>Sidodadi</v>
          </cell>
          <cell r="G50" t="str">
            <v>Bangilan</v>
          </cell>
          <cell r="H50" t="str">
            <v>Tuban</v>
          </cell>
          <cell r="I50" t="str">
            <v>'111.740056</v>
          </cell>
          <cell r="J50" t="str">
            <v>' -6.976929</v>
          </cell>
          <cell r="K50" t="str">
            <v>-</v>
          </cell>
          <cell r="L50" t="str">
            <v>Bengawan Solo</v>
          </cell>
          <cell r="M50" t="str">
            <v>PHB</v>
          </cell>
          <cell r="N50" t="str">
            <v>-</v>
          </cell>
          <cell r="O50" t="str">
            <v>-</v>
          </cell>
          <cell r="P50" t="str">
            <v>-</v>
          </cell>
        </row>
        <row r="51">
          <cell r="B51">
            <v>350123016</v>
          </cell>
          <cell r="C51" t="str">
            <v>Tluwe</v>
          </cell>
          <cell r="D51" t="str">
            <v>-</v>
          </cell>
          <cell r="E51" t="str">
            <v>PSDA di Bojonegoro</v>
          </cell>
          <cell r="F51" t="str">
            <v>Prambontergayang</v>
          </cell>
          <cell r="G51" t="str">
            <v>Soko</v>
          </cell>
          <cell r="H51" t="str">
            <v>Tuban</v>
          </cell>
          <cell r="I51" t="str">
            <v>'111.916534</v>
          </cell>
          <cell r="J51" t="str">
            <v>' -7.066659</v>
          </cell>
          <cell r="K51" t="str">
            <v>-</v>
          </cell>
          <cell r="L51" t="str">
            <v>Bengawan Solo</v>
          </cell>
          <cell r="M51" t="str">
            <v>PHB</v>
          </cell>
          <cell r="N51" t="str">
            <v>-</v>
          </cell>
          <cell r="O51" t="str">
            <v>-</v>
          </cell>
          <cell r="P51" t="str">
            <v>-</v>
          </cell>
        </row>
        <row r="52">
          <cell r="B52">
            <v>350123017</v>
          </cell>
          <cell r="C52" t="str">
            <v>Montong</v>
          </cell>
          <cell r="D52" t="str">
            <v>-</v>
          </cell>
          <cell r="E52" t="str">
            <v>PSDA di Bojonegoro</v>
          </cell>
          <cell r="F52" t="str">
            <v>Montongsekar</v>
          </cell>
          <cell r="G52" t="str">
            <v>Montong</v>
          </cell>
          <cell r="H52" t="str">
            <v>Tuban</v>
          </cell>
          <cell r="I52" t="str">
            <v>'111.907382</v>
          </cell>
          <cell r="J52" t="str">
            <v>'-6.9585941</v>
          </cell>
          <cell r="K52" t="str">
            <v>-</v>
          </cell>
          <cell r="L52" t="str">
            <v>Bengawan Solo</v>
          </cell>
          <cell r="M52" t="str">
            <v>PHB</v>
          </cell>
          <cell r="N52" t="str">
            <v>-</v>
          </cell>
          <cell r="O52" t="str">
            <v>-</v>
          </cell>
          <cell r="P52" t="str">
            <v>-</v>
          </cell>
        </row>
        <row r="53">
          <cell r="B53">
            <v>350123018</v>
          </cell>
          <cell r="C53" t="str">
            <v>Mundri</v>
          </cell>
          <cell r="D53" t="str">
            <v>-</v>
          </cell>
          <cell r="E53" t="str">
            <v>PSDA di Bojonegoro</v>
          </cell>
          <cell r="F53" t="str">
            <v>Bangilan</v>
          </cell>
          <cell r="G53" t="str">
            <v>Bangilan</v>
          </cell>
          <cell r="H53" t="str">
            <v>Tuban</v>
          </cell>
          <cell r="I53" t="str">
            <v>'111.702808</v>
          </cell>
          <cell r="J53" t="str">
            <v>' -6.952983</v>
          </cell>
          <cell r="K53" t="str">
            <v>-</v>
          </cell>
          <cell r="L53" t="str">
            <v>Bengawan Solo</v>
          </cell>
          <cell r="M53" t="str">
            <v>PHB</v>
          </cell>
          <cell r="N53" t="str">
            <v>-</v>
          </cell>
          <cell r="O53" t="str">
            <v>-</v>
          </cell>
          <cell r="P53" t="str">
            <v>-</v>
          </cell>
        </row>
        <row r="54">
          <cell r="B54">
            <v>350123019</v>
          </cell>
          <cell r="C54" t="str">
            <v>Ngabongan</v>
          </cell>
          <cell r="D54" t="str">
            <v>-</v>
          </cell>
          <cell r="E54" t="str">
            <v>PSDA di Bojonegoro</v>
          </cell>
          <cell r="F54" t="str">
            <v>Kedungjambe</v>
          </cell>
          <cell r="G54" t="str">
            <v>Singgahan</v>
          </cell>
          <cell r="H54" t="str">
            <v>Tuban</v>
          </cell>
          <cell r="I54" t="str">
            <v>'111.798772</v>
          </cell>
          <cell r="J54" t="str">
            <v>' -7.006458</v>
          </cell>
          <cell r="K54" t="str">
            <v>-</v>
          </cell>
          <cell r="L54" t="str">
            <v>Bengawan Solo</v>
          </cell>
          <cell r="M54" t="str">
            <v>PHB</v>
          </cell>
          <cell r="N54" t="str">
            <v>-</v>
          </cell>
          <cell r="O54" t="str">
            <v>-</v>
          </cell>
          <cell r="P54" t="str">
            <v>-</v>
          </cell>
        </row>
        <row r="55">
          <cell r="B55">
            <v>350123020</v>
          </cell>
          <cell r="C55" t="str">
            <v>Ngolahan</v>
          </cell>
          <cell r="D55" t="str">
            <v>-</v>
          </cell>
          <cell r="E55" t="str">
            <v>PSDA di Bojonegoro</v>
          </cell>
          <cell r="F55" t="str">
            <v>Ngulahan</v>
          </cell>
          <cell r="G55" t="str">
            <v>Tambakboyo</v>
          </cell>
          <cell r="H55" t="str">
            <v>Tuban</v>
          </cell>
          <cell r="I55" t="str">
            <v>'111.783816</v>
          </cell>
          <cell r="J55" t="str">
            <v>' -6.879224</v>
          </cell>
          <cell r="K55" t="str">
            <v>-</v>
          </cell>
          <cell r="L55" t="str">
            <v>Bengawan Solo</v>
          </cell>
          <cell r="M55" t="str">
            <v>PHB</v>
          </cell>
          <cell r="N55" t="str">
            <v>-</v>
          </cell>
          <cell r="O55" t="str">
            <v>-</v>
          </cell>
          <cell r="P55" t="str">
            <v>-</v>
          </cell>
        </row>
        <row r="56">
          <cell r="B56">
            <v>350123021</v>
          </cell>
          <cell r="C56" t="str">
            <v>Plajan / katerban</v>
          </cell>
          <cell r="D56" t="str">
            <v>-</v>
          </cell>
          <cell r="E56" t="str">
            <v>PSDA di Bojonegoro</v>
          </cell>
          <cell r="F56" t="str">
            <v>Katerban</v>
          </cell>
          <cell r="G56" t="str">
            <v>Senori</v>
          </cell>
          <cell r="H56" t="str">
            <v>Tuban</v>
          </cell>
          <cell r="I56" t="str">
            <v>'111.769948</v>
          </cell>
          <cell r="J56" t="str">
            <v>'-7.068812</v>
          </cell>
          <cell r="K56" t="str">
            <v>-</v>
          </cell>
          <cell r="L56" t="str">
            <v>Bengawan Solo</v>
          </cell>
          <cell r="M56" t="str">
            <v>PHB</v>
          </cell>
          <cell r="N56" t="str">
            <v>-</v>
          </cell>
          <cell r="O56" t="str">
            <v>-</v>
          </cell>
          <cell r="P56" t="str">
            <v>-</v>
          </cell>
        </row>
        <row r="57">
          <cell r="B57">
            <v>350123022</v>
          </cell>
          <cell r="C57" t="str">
            <v>Rengel</v>
          </cell>
          <cell r="D57" t="str">
            <v>-</v>
          </cell>
          <cell r="E57" t="str">
            <v>PSDA di Bojonegoro</v>
          </cell>
          <cell r="F57" t="str">
            <v>Rengel</v>
          </cell>
          <cell r="G57" t="str">
            <v>Rengel</v>
          </cell>
          <cell r="H57" t="str">
            <v>Tuban</v>
          </cell>
          <cell r="I57" t="str">
            <v>'112.003302</v>
          </cell>
          <cell r="J57" t="str">
            <v>'-7.064328</v>
          </cell>
          <cell r="K57" t="str">
            <v>-</v>
          </cell>
          <cell r="L57" t="str">
            <v>Bengawan Solo</v>
          </cell>
          <cell r="M57" t="str">
            <v>PHB</v>
          </cell>
          <cell r="N57" t="str">
            <v>-</v>
          </cell>
          <cell r="O57" t="str">
            <v>-</v>
          </cell>
          <cell r="P57" t="str">
            <v>-</v>
          </cell>
        </row>
        <row r="58">
          <cell r="B58">
            <v>350123023</v>
          </cell>
          <cell r="C58" t="str">
            <v>Sekaran</v>
          </cell>
          <cell r="D58" t="str">
            <v>-</v>
          </cell>
          <cell r="E58" t="str">
            <v>PSDA di Bojonegoro</v>
          </cell>
          <cell r="F58" t="str">
            <v>Sekaran</v>
          </cell>
          <cell r="G58" t="str">
            <v>Jatirogo</v>
          </cell>
          <cell r="H58" t="str">
            <v>Tuban</v>
          </cell>
          <cell r="I58" t="str">
            <v>'111.715386</v>
          </cell>
          <cell r="J58" t="str">
            <v>' -6.868617</v>
          </cell>
          <cell r="K58" t="str">
            <v>-</v>
          </cell>
          <cell r="L58" t="str">
            <v>Bengawan Solo</v>
          </cell>
          <cell r="M58" t="str">
            <v>PHB</v>
          </cell>
          <cell r="N58" t="str">
            <v>-</v>
          </cell>
          <cell r="O58" t="str">
            <v>-</v>
          </cell>
          <cell r="P58" t="str">
            <v>-</v>
          </cell>
        </row>
        <row r="59">
          <cell r="B59">
            <v>350123024</v>
          </cell>
          <cell r="C59" t="str">
            <v>Parangbatu</v>
          </cell>
          <cell r="D59" t="str">
            <v>-</v>
          </cell>
          <cell r="E59" t="str">
            <v>PSDA di Bojonegoro</v>
          </cell>
          <cell r="F59" t="str">
            <v>Parangbatu</v>
          </cell>
          <cell r="G59" t="str">
            <v>Parengan</v>
          </cell>
          <cell r="H59" t="str">
            <v>Tuban</v>
          </cell>
          <cell r="I59" t="str">
            <v>'111.838417</v>
          </cell>
          <cell r="J59" t="str">
            <v>'-7.066605</v>
          </cell>
          <cell r="K59" t="str">
            <v>-</v>
          </cell>
          <cell r="L59" t="str">
            <v>Bengawan Solo</v>
          </cell>
          <cell r="M59" t="str">
            <v>PHB</v>
          </cell>
          <cell r="N59" t="str">
            <v>-</v>
          </cell>
          <cell r="O59" t="str">
            <v>-</v>
          </cell>
          <cell r="P59" t="str">
            <v>-</v>
          </cell>
        </row>
        <row r="60">
          <cell r="B60">
            <v>350123025</v>
          </cell>
          <cell r="C60" t="str">
            <v>Simo</v>
          </cell>
          <cell r="D60" t="str">
            <v>-</v>
          </cell>
          <cell r="E60" t="str">
            <v>PSDA di Bojonegoro</v>
          </cell>
          <cell r="F60" t="str">
            <v>Sukoharjo</v>
          </cell>
          <cell r="G60" t="str">
            <v>Bancar</v>
          </cell>
          <cell r="H60" t="str">
            <v>Tuban</v>
          </cell>
          <cell r="I60" t="str">
            <v>'111.776728</v>
          </cell>
          <cell r="J60" t="str">
            <v>'-6.822213</v>
          </cell>
          <cell r="K60" t="str">
            <v>-</v>
          </cell>
          <cell r="L60" t="str">
            <v>Bengawan Solo</v>
          </cell>
          <cell r="M60" t="str">
            <v>PHB</v>
          </cell>
          <cell r="N60" t="str">
            <v>-</v>
          </cell>
          <cell r="O60" t="str">
            <v>-</v>
          </cell>
          <cell r="P60" t="str">
            <v>-</v>
          </cell>
        </row>
        <row r="61">
          <cell r="B61">
            <v>350123026</v>
          </cell>
          <cell r="C61" t="str">
            <v>Soko</v>
          </cell>
          <cell r="D61" t="str">
            <v>-</v>
          </cell>
          <cell r="E61" t="str">
            <v>PSDA di Bojonegoro</v>
          </cell>
          <cell r="F61" t="str">
            <v>Mojoagung</v>
          </cell>
          <cell r="G61" t="str">
            <v>Soko</v>
          </cell>
          <cell r="H61" t="str">
            <v>Tuban</v>
          </cell>
          <cell r="I61" t="str">
            <v>'111.938118</v>
          </cell>
          <cell r="J61" t="str">
            <v>' -7.110763</v>
          </cell>
          <cell r="K61" t="str">
            <v>-</v>
          </cell>
          <cell r="L61" t="str">
            <v>Bengawan Solo</v>
          </cell>
          <cell r="M61" t="str">
            <v>PHB</v>
          </cell>
          <cell r="N61" t="str">
            <v>-</v>
          </cell>
          <cell r="O61" t="str">
            <v>-</v>
          </cell>
          <cell r="P61" t="str">
            <v>-</v>
          </cell>
        </row>
        <row r="62">
          <cell r="B62">
            <v>350123027</v>
          </cell>
          <cell r="C62" t="str">
            <v>Kaligede</v>
          </cell>
          <cell r="D62" t="str">
            <v>-</v>
          </cell>
          <cell r="E62" t="str">
            <v>PSDA di Bojonegoro</v>
          </cell>
          <cell r="F62" t="str">
            <v>Kaligede</v>
          </cell>
          <cell r="G62" t="str">
            <v>Senori</v>
          </cell>
          <cell r="H62" t="str">
            <v>Tuban</v>
          </cell>
          <cell r="I62" t="str">
            <v>'111.691042</v>
          </cell>
          <cell r="J62" t="str">
            <v>' -7.034490</v>
          </cell>
          <cell r="K62" t="str">
            <v>-</v>
          </cell>
          <cell r="L62" t="str">
            <v>Bengawan Solo</v>
          </cell>
          <cell r="M62" t="str">
            <v>PHB</v>
          </cell>
          <cell r="N62" t="str">
            <v>-</v>
          </cell>
          <cell r="O62" t="str">
            <v>-</v>
          </cell>
          <cell r="P62" t="str">
            <v>-</v>
          </cell>
        </row>
        <row r="63">
          <cell r="B63">
            <v>350123028</v>
          </cell>
          <cell r="C63" t="str">
            <v>Tegalrejo</v>
          </cell>
          <cell r="D63" t="str">
            <v>-</v>
          </cell>
          <cell r="E63" t="str">
            <v>PSDA di Bojonegoro</v>
          </cell>
          <cell r="F63" t="str">
            <v>Tegalrejo</v>
          </cell>
          <cell r="G63" t="str">
            <v>Merakurak</v>
          </cell>
          <cell r="H63" t="str">
            <v>Tuban</v>
          </cell>
          <cell r="I63" t="str">
            <v>'111.984616</v>
          </cell>
          <cell r="J63" t="str">
            <v>' -6.879759</v>
          </cell>
          <cell r="K63" t="str">
            <v>-</v>
          </cell>
          <cell r="L63" t="str">
            <v>Bengawan Solo</v>
          </cell>
          <cell r="M63" t="str">
            <v>PHB</v>
          </cell>
          <cell r="N63" t="str">
            <v>-</v>
          </cell>
          <cell r="O63" t="str">
            <v>-</v>
          </cell>
          <cell r="P63" t="str">
            <v>-</v>
          </cell>
        </row>
        <row r="64">
          <cell r="B64">
            <v>350123029</v>
          </cell>
          <cell r="C64" t="str">
            <v>Tuban</v>
          </cell>
          <cell r="D64" t="str">
            <v>-</v>
          </cell>
          <cell r="E64" t="str">
            <v>PSDA di Bojonegoro</v>
          </cell>
          <cell r="F64" t="str">
            <v>Latsari</v>
          </cell>
          <cell r="G64" t="str">
            <v>Tuban</v>
          </cell>
          <cell r="H64" t="str">
            <v>Tuban</v>
          </cell>
          <cell r="I64" t="str">
            <v>'112.046334</v>
          </cell>
          <cell r="J64" t="str">
            <v>' -6.897050</v>
          </cell>
          <cell r="K64" t="str">
            <v>-</v>
          </cell>
          <cell r="L64" t="str">
            <v>Bengawan Solo</v>
          </cell>
          <cell r="M64" t="str">
            <v>PHB</v>
          </cell>
          <cell r="N64" t="str">
            <v>-</v>
          </cell>
          <cell r="O64" t="str">
            <v>-</v>
          </cell>
          <cell r="P64" t="str">
            <v>-</v>
          </cell>
        </row>
        <row r="65">
          <cell r="B65">
            <v>350123030</v>
          </cell>
          <cell r="C65" t="str">
            <v>Tuwiwiyan</v>
          </cell>
          <cell r="D65" t="str">
            <v>-</v>
          </cell>
          <cell r="E65" t="str">
            <v>PSDA di Bojonegoro</v>
          </cell>
          <cell r="F65" t="str">
            <v>Tuwiwiyan</v>
          </cell>
          <cell r="G65" t="str">
            <v>Bangilan</v>
          </cell>
          <cell r="H65" t="str">
            <v>Tuban</v>
          </cell>
          <cell r="I65" t="str">
            <v>'111.764277</v>
          </cell>
          <cell r="J65" t="str">
            <v>' -6.927781</v>
          </cell>
          <cell r="K65" t="str">
            <v>-</v>
          </cell>
          <cell r="L65" t="str">
            <v>Bengawan Solo</v>
          </cell>
          <cell r="M65" t="str">
            <v>PHB</v>
          </cell>
          <cell r="N65" t="str">
            <v>-</v>
          </cell>
          <cell r="O65" t="str">
            <v>-</v>
          </cell>
          <cell r="P65" t="str">
            <v>-</v>
          </cell>
        </row>
        <row r="66">
          <cell r="B66">
            <v>350123031</v>
          </cell>
          <cell r="C66" t="str">
            <v>Widang</v>
          </cell>
          <cell r="D66" t="str">
            <v>-</v>
          </cell>
          <cell r="E66" t="str">
            <v>PSDA di Bojonegoro</v>
          </cell>
          <cell r="F66" t="str">
            <v>Widang</v>
          </cell>
          <cell r="G66" t="str">
            <v>Widang</v>
          </cell>
          <cell r="H66" t="str">
            <v>Tuban</v>
          </cell>
          <cell r="I66" t="str">
            <v>'112.174090</v>
          </cell>
          <cell r="J66" t="str">
            <v>'-7.087930</v>
          </cell>
          <cell r="K66" t="str">
            <v>-</v>
          </cell>
          <cell r="L66" t="str">
            <v>Bengawan Solo</v>
          </cell>
          <cell r="M66" t="str">
            <v>PHB</v>
          </cell>
          <cell r="N66" t="str">
            <v>-</v>
          </cell>
          <cell r="O66" t="str">
            <v>-</v>
          </cell>
          <cell r="P66" t="str">
            <v>-</v>
          </cell>
        </row>
        <row r="67">
          <cell r="B67">
            <v>350123032</v>
          </cell>
          <cell r="C67" t="str">
            <v>Sugihwaras</v>
          </cell>
          <cell r="D67" t="str">
            <v>-</v>
          </cell>
          <cell r="E67" t="str">
            <v>PSDA di Bojonegoro</v>
          </cell>
          <cell r="F67" t="str">
            <v>Parengan</v>
          </cell>
          <cell r="G67" t="str">
            <v>Tuban</v>
          </cell>
          <cell r="H67" t="str">
            <v>Tuban</v>
          </cell>
          <cell r="I67" t="str">
            <v>'111.866372</v>
          </cell>
          <cell r="J67" t="str">
            <v>' -7.100569</v>
          </cell>
          <cell r="K67" t="str">
            <v>-</v>
          </cell>
          <cell r="L67" t="str">
            <v>Bengawan Solo</v>
          </cell>
          <cell r="M67" t="str">
            <v>PHB</v>
          </cell>
          <cell r="N67" t="str">
            <v>-</v>
          </cell>
          <cell r="O67" t="str">
            <v>-</v>
          </cell>
          <cell r="P67" t="str">
            <v>-</v>
          </cell>
        </row>
        <row r="68">
          <cell r="B68">
            <v>350123033</v>
          </cell>
          <cell r="C68" t="str">
            <v>Dermawuharjo</v>
          </cell>
          <cell r="D68" t="str">
            <v>-</v>
          </cell>
          <cell r="E68" t="str">
            <v>PSDA di Bojonegoro</v>
          </cell>
          <cell r="F68" t="str">
            <v>Dermawuharjo</v>
          </cell>
          <cell r="G68" t="str">
            <v>Grabagan</v>
          </cell>
          <cell r="H68" t="str">
            <v>Tuban</v>
          </cell>
          <cell r="I68" t="str">
            <v>'112.029136</v>
          </cell>
          <cell r="J68" t="str">
            <v>' -7.007332</v>
          </cell>
          <cell r="K68" t="str">
            <v>-</v>
          </cell>
          <cell r="L68" t="str">
            <v>Bengawan Solo</v>
          </cell>
          <cell r="M68" t="str">
            <v>PHB</v>
          </cell>
          <cell r="N68" t="str">
            <v>-</v>
          </cell>
          <cell r="O68" t="str">
            <v>-</v>
          </cell>
          <cell r="P68" t="str">
            <v>-</v>
          </cell>
        </row>
        <row r="69">
          <cell r="B69">
            <v>350123034</v>
          </cell>
          <cell r="C69" t="str">
            <v>Ngimbang Tuban</v>
          </cell>
          <cell r="D69" t="str">
            <v>-</v>
          </cell>
          <cell r="E69" t="str">
            <v>PSDA di Bojonegoro</v>
          </cell>
          <cell r="F69" t="str">
            <v>Ngimbang</v>
          </cell>
          <cell r="G69" t="str">
            <v>Palang</v>
          </cell>
          <cell r="H69" t="str">
            <v>Tuban</v>
          </cell>
          <cell r="I69" t="str">
            <v>'112.11030</v>
          </cell>
          <cell r="J69" t="str">
            <v>'-6.92720</v>
          </cell>
          <cell r="K69" t="str">
            <v>-</v>
          </cell>
          <cell r="L69" t="str">
            <v>Bengawan Solo</v>
          </cell>
          <cell r="M69" t="str">
            <v>PHB</v>
          </cell>
          <cell r="N69" t="str">
            <v>-</v>
          </cell>
          <cell r="O69" t="str">
            <v>-</v>
          </cell>
          <cell r="P69" t="str">
            <v>-</v>
          </cell>
        </row>
        <row r="70">
          <cell r="B70">
            <v>350123035</v>
          </cell>
          <cell r="C70" t="str">
            <v>Wukirharjo</v>
          </cell>
          <cell r="D70" t="str">
            <v>-</v>
          </cell>
          <cell r="E70" t="str">
            <v>PSDA di Bojonegoro</v>
          </cell>
          <cell r="F70" t="str">
            <v>Wukirharjo</v>
          </cell>
          <cell r="G70" t="str">
            <v>Parengan</v>
          </cell>
          <cell r="H70" t="str">
            <v>Tuban</v>
          </cell>
          <cell r="I70" t="str">
            <v>'111.883203</v>
          </cell>
          <cell r="J70" t="str">
            <v>' -7.035039</v>
          </cell>
          <cell r="K70" t="str">
            <v>-</v>
          </cell>
          <cell r="L70" t="str">
            <v>Bengawan Solo</v>
          </cell>
          <cell r="M70" t="str">
            <v>PHB</v>
          </cell>
          <cell r="N70" t="str">
            <v>-</v>
          </cell>
          <cell r="O70" t="str">
            <v>-</v>
          </cell>
          <cell r="P70" t="str">
            <v>-</v>
          </cell>
        </row>
        <row r="71">
          <cell r="B71">
            <v>350123036</v>
          </cell>
          <cell r="C71" t="str">
            <v>Tahulu</v>
          </cell>
          <cell r="D71" t="str">
            <v>-</v>
          </cell>
          <cell r="E71" t="str">
            <v>PSDA di Bojonegoro</v>
          </cell>
          <cell r="F71" t="str">
            <v>Tahulu</v>
          </cell>
          <cell r="G71" t="str">
            <v>Merakurak</v>
          </cell>
          <cell r="H71" t="str">
            <v>Tuban</v>
          </cell>
          <cell r="I71" t="str">
            <v>'111.982058</v>
          </cell>
          <cell r="J71" t="str">
            <v>' -6.928993</v>
          </cell>
          <cell r="K71" t="str">
            <v>-</v>
          </cell>
          <cell r="L71" t="str">
            <v>Bengawan Solo</v>
          </cell>
          <cell r="M71" t="str">
            <v>PHB</v>
          </cell>
          <cell r="N71" t="str">
            <v>-</v>
          </cell>
          <cell r="O71" t="str">
            <v>-</v>
          </cell>
          <cell r="P71" t="str">
            <v>-</v>
          </cell>
        </row>
        <row r="72">
          <cell r="B72">
            <v>350123037</v>
          </cell>
          <cell r="C72" t="str">
            <v>Sumuragung</v>
          </cell>
          <cell r="D72" t="str">
            <v>-</v>
          </cell>
          <cell r="E72" t="str">
            <v>PSDA di Bojonegoro</v>
          </cell>
          <cell r="F72" t="str">
            <v>Sumuragung</v>
          </cell>
          <cell r="G72" t="str">
            <v>Plumpang</v>
          </cell>
          <cell r="H72" t="str">
            <v>Tuban</v>
          </cell>
          <cell r="I72" t="str">
            <v>'112.093292</v>
          </cell>
          <cell r="J72" t="str">
            <v>' -7.016102</v>
          </cell>
          <cell r="K72" t="str">
            <v>-</v>
          </cell>
          <cell r="L72" t="str">
            <v>Bengawan Solo</v>
          </cell>
          <cell r="M72" t="str">
            <v>PHB</v>
          </cell>
          <cell r="N72" t="str">
            <v>-</v>
          </cell>
          <cell r="O72" t="str">
            <v>-</v>
          </cell>
          <cell r="P72" t="str">
            <v>-</v>
          </cell>
        </row>
        <row r="73">
          <cell r="B73">
            <v>350124001</v>
          </cell>
          <cell r="C73" t="str">
            <v>Babat</v>
          </cell>
          <cell r="D73" t="str">
            <v>-</v>
          </cell>
          <cell r="E73" t="str">
            <v>PSDA di Bojonegoro</v>
          </cell>
          <cell r="F73" t="str">
            <v>Babat</v>
          </cell>
          <cell r="G73" t="str">
            <v>Babat</v>
          </cell>
          <cell r="H73" t="str">
            <v>Lamongan</v>
          </cell>
          <cell r="I73" t="str">
            <v>'112.165620</v>
          </cell>
          <cell r="J73" t="str">
            <v>'-7.112881</v>
          </cell>
          <cell r="K73" t="str">
            <v>-</v>
          </cell>
          <cell r="L73" t="str">
            <v>Bengawan Solo</v>
          </cell>
          <cell r="M73" t="str">
            <v>PHB</v>
          </cell>
          <cell r="N73" t="str">
            <v>-</v>
          </cell>
          <cell r="O73" t="str">
            <v>-</v>
          </cell>
          <cell r="P73" t="str">
            <v>-</v>
          </cell>
        </row>
        <row r="74">
          <cell r="B74">
            <v>350124002</v>
          </cell>
          <cell r="C74" t="str">
            <v>Blawi</v>
          </cell>
          <cell r="D74" t="str">
            <v>-</v>
          </cell>
          <cell r="E74" t="str">
            <v>PSDA di Bojonegoro</v>
          </cell>
          <cell r="F74" t="str">
            <v>Blawi</v>
          </cell>
          <cell r="G74" t="str">
            <v>Karangbinangun</v>
          </cell>
          <cell r="H74" t="str">
            <v>Lamongan</v>
          </cell>
          <cell r="I74" t="str">
            <v>'112.455815</v>
          </cell>
          <cell r="J74" t="str">
            <v>' -7.050628</v>
          </cell>
          <cell r="K74" t="str">
            <v>-</v>
          </cell>
          <cell r="L74" t="str">
            <v>Bengawan Solo</v>
          </cell>
          <cell r="M74" t="str">
            <v>PHB</v>
          </cell>
          <cell r="N74" t="str">
            <v>-</v>
          </cell>
          <cell r="O74" t="str">
            <v>-</v>
          </cell>
          <cell r="P74" t="str">
            <v>-</v>
          </cell>
        </row>
        <row r="75">
          <cell r="B75">
            <v>350124003</v>
          </cell>
          <cell r="C75" t="str">
            <v>Bluluk</v>
          </cell>
          <cell r="D75" t="str">
            <v>-</v>
          </cell>
          <cell r="E75" t="str">
            <v>PSDA di Bojonegoro</v>
          </cell>
          <cell r="F75" t="str">
            <v>Bluluk</v>
          </cell>
          <cell r="G75" t="str">
            <v>Bluluk</v>
          </cell>
          <cell r="H75" t="str">
            <v>Lamongan</v>
          </cell>
          <cell r="I75" t="str">
            <v>'112.134407</v>
          </cell>
          <cell r="J75" t="str">
            <v>' -7.269872</v>
          </cell>
          <cell r="K75" t="str">
            <v>-</v>
          </cell>
          <cell r="L75" t="str">
            <v>Bengawan Solo</v>
          </cell>
          <cell r="M75" t="str">
            <v>PHB</v>
          </cell>
          <cell r="N75" t="str">
            <v>-</v>
          </cell>
          <cell r="O75" t="str">
            <v>-</v>
          </cell>
          <cell r="P75" t="str">
            <v>-</v>
          </cell>
        </row>
        <row r="76">
          <cell r="B76">
            <v>350124004</v>
          </cell>
          <cell r="C76" t="str">
            <v>Bluri</v>
          </cell>
          <cell r="D76" t="str">
            <v>-</v>
          </cell>
          <cell r="E76" t="str">
            <v>PSDA di Bojonegoro</v>
          </cell>
          <cell r="F76" t="str">
            <v>Blurikulon</v>
          </cell>
          <cell r="G76" t="str">
            <v>Laren</v>
          </cell>
          <cell r="H76" t="str">
            <v>Lamongan</v>
          </cell>
          <cell r="I76" t="str">
            <v>'112.418817</v>
          </cell>
          <cell r="J76" t="str">
            <v>'-6.914082</v>
          </cell>
          <cell r="K76" t="str">
            <v>-</v>
          </cell>
          <cell r="L76" t="str">
            <v>Bengawan Solo</v>
          </cell>
          <cell r="M76" t="str">
            <v>PHB</v>
          </cell>
          <cell r="N76" t="str">
            <v>-</v>
          </cell>
          <cell r="O76" t="str">
            <v>-</v>
          </cell>
          <cell r="P76" t="str">
            <v>-</v>
          </cell>
        </row>
        <row r="77">
          <cell r="B77">
            <v>350124005</v>
          </cell>
          <cell r="C77" t="str">
            <v>Brondong</v>
          </cell>
          <cell r="D77" t="str">
            <v>-</v>
          </cell>
          <cell r="E77" t="str">
            <v>PSDA di Bojonegoro</v>
          </cell>
          <cell r="F77" t="str">
            <v>Brondong</v>
          </cell>
          <cell r="G77" t="str">
            <v>Brondong</v>
          </cell>
          <cell r="H77" t="str">
            <v>Lamongan</v>
          </cell>
          <cell r="I77" t="str">
            <v>'112.2785522</v>
          </cell>
          <cell r="J77" t="str">
            <v>'-6.873854</v>
          </cell>
          <cell r="K77" t="str">
            <v>-</v>
          </cell>
          <cell r="L77" t="str">
            <v>Bengawan Solo</v>
          </cell>
          <cell r="M77" t="str">
            <v>PHB</v>
          </cell>
          <cell r="N77" t="str">
            <v>-</v>
          </cell>
          <cell r="O77" t="str">
            <v>-</v>
          </cell>
          <cell r="P77" t="str">
            <v>-</v>
          </cell>
        </row>
        <row r="78">
          <cell r="B78">
            <v>350124006</v>
          </cell>
          <cell r="C78" t="str">
            <v>Cungkup</v>
          </cell>
          <cell r="D78" t="str">
            <v>-</v>
          </cell>
          <cell r="E78" t="str">
            <v>PSDA di Bojonegoro</v>
          </cell>
          <cell r="F78" t="str">
            <v>Ngambeg</v>
          </cell>
          <cell r="G78" t="str">
            <v>Pucuk</v>
          </cell>
          <cell r="H78" t="str">
            <v>Lamongan</v>
          </cell>
          <cell r="I78" t="str">
            <v>'112.297253</v>
          </cell>
          <cell r="J78" t="str">
            <v>'-7.071048</v>
          </cell>
          <cell r="K78" t="str">
            <v>-</v>
          </cell>
          <cell r="L78" t="str">
            <v>Bengawan Solo</v>
          </cell>
          <cell r="M78" t="str">
            <v>PHB</v>
          </cell>
          <cell r="N78" t="str">
            <v>-</v>
          </cell>
          <cell r="O78" t="str">
            <v>-</v>
          </cell>
          <cell r="P78" t="str">
            <v>-</v>
          </cell>
        </row>
        <row r="79">
          <cell r="B79">
            <v>350124007</v>
          </cell>
          <cell r="C79" t="str">
            <v>Girik / Baru</v>
          </cell>
          <cell r="D79" t="str">
            <v>-</v>
          </cell>
          <cell r="E79" t="str">
            <v>PSDA di Bojonegoro</v>
          </cell>
          <cell r="F79" t="str">
            <v>Girik</v>
          </cell>
          <cell r="G79" t="str">
            <v>Ngimbang</v>
          </cell>
          <cell r="H79" t="str">
            <v>Lamongan</v>
          </cell>
          <cell r="I79" t="str">
            <v>'112.200852</v>
          </cell>
          <cell r="J79" t="str">
            <v>' -7.252235</v>
          </cell>
          <cell r="K79" t="str">
            <v>-</v>
          </cell>
          <cell r="L79" t="str">
            <v>Bengawan Solo</v>
          </cell>
          <cell r="M79" t="str">
            <v>PHB</v>
          </cell>
          <cell r="N79" t="str">
            <v>-</v>
          </cell>
          <cell r="O79" t="str">
            <v>-</v>
          </cell>
          <cell r="P79" t="str">
            <v>-</v>
          </cell>
        </row>
        <row r="80">
          <cell r="B80">
            <v>350124008</v>
          </cell>
          <cell r="C80" t="str">
            <v>Gondang Sugio</v>
          </cell>
          <cell r="D80" t="str">
            <v>-</v>
          </cell>
          <cell r="E80" t="str">
            <v>PSDA di Bojonegoro</v>
          </cell>
          <cell r="F80" t="str">
            <v>Deketagung</v>
          </cell>
          <cell r="G80" t="str">
            <v>Sugio</v>
          </cell>
          <cell r="H80" t="str">
            <v>Lamongan</v>
          </cell>
          <cell r="I80" t="str">
            <v>'112.271787</v>
          </cell>
          <cell r="J80" t="str">
            <v>'-7.201070</v>
          </cell>
          <cell r="K80" t="str">
            <v>-</v>
          </cell>
          <cell r="L80" t="str">
            <v>Bengawan Solo</v>
          </cell>
          <cell r="M80" t="str">
            <v>PHB</v>
          </cell>
          <cell r="N80" t="str">
            <v>-</v>
          </cell>
          <cell r="O80" t="str">
            <v>-</v>
          </cell>
          <cell r="P80" t="str">
            <v>-</v>
          </cell>
        </row>
        <row r="81">
          <cell r="B81">
            <v>350124009</v>
          </cell>
          <cell r="C81" t="str">
            <v>Jabung</v>
          </cell>
          <cell r="D81" t="str">
            <v>-</v>
          </cell>
          <cell r="E81" t="str">
            <v>PSDA di Bojonegoro</v>
          </cell>
          <cell r="F81" t="str">
            <v>Centini</v>
          </cell>
          <cell r="G81" t="str">
            <v>Laren</v>
          </cell>
          <cell r="H81" t="str">
            <v>Lamongan</v>
          </cell>
          <cell r="I81" t="str">
            <v>'112.2246313</v>
          </cell>
          <cell r="J81" t="str">
            <v>'-7.0198977</v>
          </cell>
          <cell r="K81" t="str">
            <v>-</v>
          </cell>
          <cell r="L81" t="str">
            <v>Bengawan Solo</v>
          </cell>
          <cell r="M81" t="str">
            <v>PHB</v>
          </cell>
          <cell r="N81" t="str">
            <v>-</v>
          </cell>
          <cell r="O81" t="str">
            <v>-</v>
          </cell>
          <cell r="P81" t="str">
            <v>-</v>
          </cell>
        </row>
        <row r="82">
          <cell r="B82">
            <v>350124010</v>
          </cell>
          <cell r="C82" t="str">
            <v>Karanggeneng</v>
          </cell>
          <cell r="D82" t="str">
            <v>-</v>
          </cell>
          <cell r="E82" t="str">
            <v>PSDA di Bojonegoro</v>
          </cell>
          <cell r="F82" t="str">
            <v>Karanggeneng</v>
          </cell>
          <cell r="G82" t="str">
            <v>Karanggeneng</v>
          </cell>
          <cell r="H82" t="str">
            <v>Lamongan</v>
          </cell>
          <cell r="I82" t="str">
            <v>'112.371670</v>
          </cell>
          <cell r="J82" t="str">
            <v>'-6.991046</v>
          </cell>
          <cell r="K82" t="str">
            <v>-</v>
          </cell>
          <cell r="L82" t="str">
            <v>Bengawan Solo</v>
          </cell>
          <cell r="M82" t="str">
            <v>PHB</v>
          </cell>
          <cell r="N82" t="str">
            <v>-</v>
          </cell>
          <cell r="O82" t="str">
            <v>-</v>
          </cell>
          <cell r="P82" t="str">
            <v>-</v>
          </cell>
        </row>
        <row r="83">
          <cell r="B83">
            <v>350124011</v>
          </cell>
          <cell r="C83" t="str">
            <v>Kedungpring</v>
          </cell>
          <cell r="D83" t="str">
            <v>-</v>
          </cell>
          <cell r="E83" t="str">
            <v>PSDA di Bojonegoro</v>
          </cell>
          <cell r="F83" t="str">
            <v>Mlati</v>
          </cell>
          <cell r="G83" t="str">
            <v>Kedungpring</v>
          </cell>
          <cell r="H83" t="str">
            <v>Lamongan</v>
          </cell>
          <cell r="I83" t="str">
            <v>'112.192360</v>
          </cell>
          <cell r="J83" t="str">
            <v>'-7.187106</v>
          </cell>
          <cell r="K83" t="str">
            <v>-</v>
          </cell>
          <cell r="L83" t="str">
            <v>Bengawan Solo</v>
          </cell>
          <cell r="M83" t="str">
            <v>PHB</v>
          </cell>
          <cell r="N83" t="str">
            <v>-</v>
          </cell>
          <cell r="O83" t="str">
            <v>-</v>
          </cell>
          <cell r="P83" t="str">
            <v>-</v>
          </cell>
        </row>
        <row r="84">
          <cell r="B84">
            <v>350124012</v>
          </cell>
          <cell r="C84" t="str">
            <v>Kembangbahu</v>
          </cell>
          <cell r="D84" t="str">
            <v>-</v>
          </cell>
          <cell r="E84" t="str">
            <v>PSDA di Bojonegoro</v>
          </cell>
          <cell r="F84" t="str">
            <v>Kembangbahu</v>
          </cell>
          <cell r="G84" t="str">
            <v>Kembangbahu</v>
          </cell>
          <cell r="H84" t="str">
            <v>Lamongan</v>
          </cell>
          <cell r="I84" t="str">
            <v>'112.326633</v>
          </cell>
          <cell r="J84" t="str">
            <v>' -7.180753</v>
          </cell>
          <cell r="K84" t="str">
            <v>-</v>
          </cell>
          <cell r="L84" t="str">
            <v>Bengawan Solo</v>
          </cell>
          <cell r="M84" t="str">
            <v>PHB</v>
          </cell>
          <cell r="N84" t="str">
            <v>-</v>
          </cell>
          <cell r="O84" t="str">
            <v>-</v>
          </cell>
          <cell r="P84" t="str">
            <v>-</v>
          </cell>
        </row>
        <row r="85">
          <cell r="B85">
            <v>350124013</v>
          </cell>
          <cell r="C85" t="str">
            <v>Kr.binangun</v>
          </cell>
          <cell r="D85" t="str">
            <v>-</v>
          </cell>
          <cell r="E85" t="str">
            <v>PSDA di Bojonegoro</v>
          </cell>
          <cell r="F85" t="str">
            <v>Karangbinangun</v>
          </cell>
          <cell r="G85" t="str">
            <v>Karangbinangun</v>
          </cell>
          <cell r="H85" t="str">
            <v>Lamongan</v>
          </cell>
          <cell r="I85" t="str">
            <v>'112.483691</v>
          </cell>
          <cell r="J85" t="str">
            <v>' -7.014063</v>
          </cell>
          <cell r="K85" t="str">
            <v>-</v>
          </cell>
          <cell r="L85" t="str">
            <v>Bengawan Solo</v>
          </cell>
          <cell r="M85" t="str">
            <v>PHB</v>
          </cell>
          <cell r="N85" t="str">
            <v>-</v>
          </cell>
          <cell r="O85" t="str">
            <v>-</v>
          </cell>
          <cell r="P85" t="str">
            <v>-</v>
          </cell>
        </row>
        <row r="86">
          <cell r="B86">
            <v>350124014</v>
          </cell>
          <cell r="C86" t="str">
            <v>Kuro</v>
          </cell>
          <cell r="D86" t="str">
            <v>-</v>
          </cell>
          <cell r="E86" t="str">
            <v>PSDA di Bojonegoro</v>
          </cell>
          <cell r="F86" t="str">
            <v>Kuro</v>
          </cell>
          <cell r="G86" t="str">
            <v>Karangbinangun</v>
          </cell>
          <cell r="H86" t="str">
            <v>Lamongan</v>
          </cell>
          <cell r="I86" t="str">
            <v>'112.513341</v>
          </cell>
          <cell r="J86" t="str">
            <v>' -7.046052</v>
          </cell>
          <cell r="K86" t="str">
            <v>-</v>
          </cell>
          <cell r="L86" t="str">
            <v>Bengawan Solo</v>
          </cell>
          <cell r="M86" t="str">
            <v>PHB</v>
          </cell>
          <cell r="N86" t="str">
            <v>-</v>
          </cell>
          <cell r="O86" t="str">
            <v>-</v>
          </cell>
          <cell r="P86" t="str">
            <v>-</v>
          </cell>
        </row>
        <row r="87">
          <cell r="B87">
            <v>350124015</v>
          </cell>
          <cell r="C87" t="str">
            <v>Lamongan</v>
          </cell>
          <cell r="D87" t="str">
            <v>-</v>
          </cell>
          <cell r="E87" t="str">
            <v>PSDA di Bojonegoro</v>
          </cell>
          <cell r="F87" t="str">
            <v>Sukomulyo</v>
          </cell>
          <cell r="G87" t="str">
            <v>Lamongan</v>
          </cell>
          <cell r="H87" t="str">
            <v>Lamongan</v>
          </cell>
          <cell r="I87" t="str">
            <v>'112.417410</v>
          </cell>
          <cell r="J87" t="str">
            <v>' -7.120496</v>
          </cell>
          <cell r="K87" t="str">
            <v>-</v>
          </cell>
          <cell r="L87" t="str">
            <v>Bengawan Solo</v>
          </cell>
          <cell r="M87" t="str">
            <v>PHB</v>
          </cell>
          <cell r="N87" t="str">
            <v>-</v>
          </cell>
          <cell r="O87" t="str">
            <v>-</v>
          </cell>
          <cell r="P87" t="str">
            <v>-</v>
          </cell>
        </row>
        <row r="88">
          <cell r="B88">
            <v>350124016</v>
          </cell>
          <cell r="C88" t="str">
            <v>Sumberbanjar</v>
          </cell>
          <cell r="D88" t="str">
            <v>-</v>
          </cell>
          <cell r="E88" t="str">
            <v>PSDA di Bojonegoro</v>
          </cell>
          <cell r="F88" t="str">
            <v>Sumberbanjar</v>
          </cell>
          <cell r="G88" t="str">
            <v>Ngimbang</v>
          </cell>
          <cell r="H88" t="str">
            <v>Lamongan</v>
          </cell>
          <cell r="I88" t="str">
            <v>'112.167739</v>
          </cell>
          <cell r="J88" t="str">
            <v>' -7.338802</v>
          </cell>
          <cell r="K88" t="str">
            <v>-</v>
          </cell>
          <cell r="L88" t="str">
            <v>Bengawan Solo</v>
          </cell>
          <cell r="M88" t="str">
            <v>PHB</v>
          </cell>
          <cell r="N88" t="str">
            <v>-</v>
          </cell>
          <cell r="O88" t="str">
            <v>-</v>
          </cell>
          <cell r="P88" t="str">
            <v>-</v>
          </cell>
        </row>
        <row r="89">
          <cell r="B89">
            <v>350124017</v>
          </cell>
          <cell r="C89" t="str">
            <v>Pangkatrejo</v>
          </cell>
          <cell r="D89" t="str">
            <v>-</v>
          </cell>
          <cell r="E89" t="str">
            <v>PSDA di Bojonegoro</v>
          </cell>
          <cell r="F89" t="str">
            <v>Parengan</v>
          </cell>
          <cell r="G89" t="str">
            <v>Maduran</v>
          </cell>
          <cell r="H89" t="str">
            <v>Lamongan</v>
          </cell>
          <cell r="I89" t="str">
            <v>'112.284237</v>
          </cell>
          <cell r="J89" t="str">
            <v>'-6.986365</v>
          </cell>
          <cell r="K89" t="str">
            <v>-</v>
          </cell>
          <cell r="L89" t="str">
            <v>Bengawan Solo</v>
          </cell>
          <cell r="M89" t="str">
            <v>PHB</v>
          </cell>
          <cell r="N89" t="str">
            <v>-</v>
          </cell>
          <cell r="O89" t="str">
            <v>-</v>
          </cell>
          <cell r="P89" t="str">
            <v>-</v>
          </cell>
        </row>
        <row r="90">
          <cell r="B90">
            <v>350124018</v>
          </cell>
          <cell r="C90" t="str">
            <v>Prijetan</v>
          </cell>
          <cell r="D90" t="str">
            <v>-</v>
          </cell>
          <cell r="E90" t="str">
            <v>PSDA di Bojonegoro</v>
          </cell>
          <cell r="F90" t="str">
            <v>Prijetan</v>
          </cell>
          <cell r="G90" t="str">
            <v>Kedungpring</v>
          </cell>
          <cell r="H90" t="str">
            <v>Lamongan</v>
          </cell>
          <cell r="I90" t="str">
            <v>'112.210059</v>
          </cell>
          <cell r="J90" t="str">
            <v>' -7.211918</v>
          </cell>
          <cell r="K90" t="str">
            <v>-</v>
          </cell>
          <cell r="L90" t="str">
            <v>Bengawan Solo</v>
          </cell>
          <cell r="M90" t="str">
            <v>PHB</v>
          </cell>
          <cell r="N90" t="str">
            <v>-</v>
          </cell>
          <cell r="O90" t="str">
            <v>-</v>
          </cell>
          <cell r="P90" t="str">
            <v>-</v>
          </cell>
        </row>
        <row r="91">
          <cell r="B91">
            <v>350124019</v>
          </cell>
          <cell r="C91" t="str">
            <v>Pulekidul</v>
          </cell>
          <cell r="D91" t="str">
            <v>-</v>
          </cell>
          <cell r="E91" t="str">
            <v>PSDA di Bojonegoro</v>
          </cell>
          <cell r="F91" t="str">
            <v>Pule</v>
          </cell>
          <cell r="G91" t="str">
            <v>Ngimbang</v>
          </cell>
          <cell r="H91" t="str">
            <v>Lamongan</v>
          </cell>
          <cell r="I91" t="str">
            <v>'112.214897</v>
          </cell>
          <cell r="J91" t="str">
            <v>' -7.309750</v>
          </cell>
          <cell r="K91" t="str">
            <v>-</v>
          </cell>
          <cell r="L91" t="str">
            <v>Bengawan Solo</v>
          </cell>
          <cell r="M91" t="str">
            <v>PHB</v>
          </cell>
          <cell r="N91" t="str">
            <v>-</v>
          </cell>
          <cell r="O91" t="str">
            <v>-</v>
          </cell>
          <cell r="P91" t="str">
            <v>-</v>
          </cell>
        </row>
        <row r="92">
          <cell r="B92">
            <v>350124020</v>
          </cell>
          <cell r="C92" t="str">
            <v>Sukodadi</v>
          </cell>
          <cell r="D92" t="str">
            <v>-</v>
          </cell>
          <cell r="E92" t="str">
            <v>PSDA di Bojonegoro</v>
          </cell>
          <cell r="F92" t="str">
            <v>Sukodadi</v>
          </cell>
          <cell r="G92" t="str">
            <v>Sukodadi</v>
          </cell>
          <cell r="H92" t="str">
            <v>Lamongan</v>
          </cell>
          <cell r="I92" t="str">
            <v>'112.323233</v>
          </cell>
          <cell r="J92" t="str">
            <v>' -7.093256</v>
          </cell>
          <cell r="K92" t="str">
            <v>-</v>
          </cell>
          <cell r="L92" t="str">
            <v>Bengawan Solo</v>
          </cell>
          <cell r="M92" t="str">
            <v>PHB</v>
          </cell>
          <cell r="N92" t="str">
            <v>-</v>
          </cell>
          <cell r="O92" t="str">
            <v>-</v>
          </cell>
          <cell r="P92" t="str">
            <v>-</v>
          </cell>
        </row>
        <row r="93">
          <cell r="B93">
            <v>350124021</v>
          </cell>
          <cell r="C93" t="str">
            <v>Takeran</v>
          </cell>
          <cell r="D93" t="str">
            <v>-</v>
          </cell>
          <cell r="E93" t="str">
            <v>PSDA di Bojonegoro</v>
          </cell>
          <cell r="F93" t="str">
            <v>Takeranklating</v>
          </cell>
          <cell r="G93" t="str">
            <v>Tikung</v>
          </cell>
          <cell r="H93" t="str">
            <v>Lamongan</v>
          </cell>
          <cell r="I93" t="str">
            <v>'112.402369</v>
          </cell>
          <cell r="J93" t="str">
            <v>' -7.186836</v>
          </cell>
          <cell r="K93" t="str">
            <v>-</v>
          </cell>
          <cell r="L93" t="str">
            <v>Bengawan Solo</v>
          </cell>
          <cell r="M93" t="str">
            <v>PHB</v>
          </cell>
          <cell r="N93" t="str">
            <v>-</v>
          </cell>
          <cell r="O93" t="str">
            <v>-</v>
          </cell>
          <cell r="P93" t="str">
            <v>-</v>
          </cell>
        </row>
        <row r="94">
          <cell r="B94">
            <v>350124022</v>
          </cell>
          <cell r="C94" t="str">
            <v>Wudi</v>
          </cell>
          <cell r="D94" t="str">
            <v>-</v>
          </cell>
          <cell r="E94" t="str">
            <v>PSDA di Bojonegoro</v>
          </cell>
          <cell r="F94" t="str">
            <v>Wudi</v>
          </cell>
          <cell r="G94" t="str">
            <v>Sambeng</v>
          </cell>
          <cell r="H94" t="str">
            <v>Lamongan</v>
          </cell>
          <cell r="I94" t="str">
            <v>'112.291281</v>
          </cell>
          <cell r="J94" t="str">
            <v>' -7.227075</v>
          </cell>
          <cell r="K94" t="str">
            <v>-</v>
          </cell>
          <cell r="L94" t="str">
            <v>Bengawan Solo</v>
          </cell>
          <cell r="M94" t="str">
            <v>PHB</v>
          </cell>
          <cell r="N94" t="str">
            <v>-</v>
          </cell>
          <cell r="O94" t="str">
            <v>-</v>
          </cell>
          <cell r="P94" t="str">
            <v>-</v>
          </cell>
        </row>
        <row r="95">
          <cell r="B95">
            <v>350124023</v>
          </cell>
          <cell r="C95" t="str">
            <v>Sukorejo</v>
          </cell>
          <cell r="D95" t="str">
            <v>-</v>
          </cell>
          <cell r="E95" t="str">
            <v>PSDA di Bojonegoro</v>
          </cell>
          <cell r="F95" t="str">
            <v>Sukorejo</v>
          </cell>
          <cell r="G95" t="str">
            <v>Turi</v>
          </cell>
          <cell r="H95" t="str">
            <v>Lamongan</v>
          </cell>
          <cell r="I95" t="str">
            <v>'112.368572</v>
          </cell>
          <cell r="J95" t="str">
            <v>' -7.100208</v>
          </cell>
          <cell r="K95" t="str">
            <v>-</v>
          </cell>
          <cell r="L95" t="str">
            <v>Bengawan Solo</v>
          </cell>
          <cell r="M95" t="str">
            <v>PHB</v>
          </cell>
          <cell r="N95" t="str">
            <v>-</v>
          </cell>
          <cell r="O95" t="str">
            <v>-</v>
          </cell>
          <cell r="P95" t="str">
            <v>-</v>
          </cell>
        </row>
        <row r="96">
          <cell r="B96">
            <v>350124024</v>
          </cell>
          <cell r="C96" t="str">
            <v>Kedungkumpul</v>
          </cell>
          <cell r="D96" t="str">
            <v>-</v>
          </cell>
          <cell r="E96" t="str">
            <v>PSDA di Bojonegoro</v>
          </cell>
          <cell r="F96" t="str">
            <v>Kedungkumpul</v>
          </cell>
          <cell r="G96" t="str">
            <v>Sarirejo</v>
          </cell>
          <cell r="H96" t="str">
            <v>Lamongan</v>
          </cell>
          <cell r="I96" t="str">
            <v>'112.431825</v>
          </cell>
          <cell r="J96" t="str">
            <v>'-7.205394</v>
          </cell>
          <cell r="K96" t="str">
            <v>-</v>
          </cell>
          <cell r="L96" t="str">
            <v>Bengawan Solo</v>
          </cell>
          <cell r="M96" t="str">
            <v>PHB</v>
          </cell>
          <cell r="N96" t="str">
            <v>-</v>
          </cell>
          <cell r="O96" t="str">
            <v>-</v>
          </cell>
          <cell r="P96" t="str">
            <v>-</v>
          </cell>
        </row>
        <row r="97">
          <cell r="B97">
            <v>350125001</v>
          </cell>
          <cell r="C97" t="str">
            <v>Benjeng</v>
          </cell>
          <cell r="D97" t="str">
            <v>-</v>
          </cell>
          <cell r="E97" t="str">
            <v>PSDA di Bojonegoro</v>
          </cell>
          <cell r="F97" t="str">
            <v>Dermo</v>
          </cell>
          <cell r="G97" t="str">
            <v>Benjeng</v>
          </cell>
          <cell r="H97" t="str">
            <v>Gresik</v>
          </cell>
          <cell r="I97" t="str">
            <v>'112.508376</v>
          </cell>
          <cell r="J97" t="str">
            <v>' -7.260109</v>
          </cell>
          <cell r="K97" t="str">
            <v>-</v>
          </cell>
          <cell r="L97" t="str">
            <v>Bengawan Solo</v>
          </cell>
          <cell r="M97" t="str">
            <v>PHB</v>
          </cell>
          <cell r="N97" t="str">
            <v>-</v>
          </cell>
          <cell r="O97" t="str">
            <v>-</v>
          </cell>
          <cell r="P97" t="str">
            <v>-</v>
          </cell>
        </row>
        <row r="98">
          <cell r="B98">
            <v>350125002</v>
          </cell>
          <cell r="C98" t="str">
            <v>Bunder / Gresik</v>
          </cell>
          <cell r="D98" t="str">
            <v>-</v>
          </cell>
          <cell r="E98" t="str">
            <v>PSDA di Bojonegoro</v>
          </cell>
          <cell r="F98" t="str">
            <v>Banjarsari</v>
          </cell>
          <cell r="G98" t="str">
            <v>Cerme</v>
          </cell>
          <cell r="H98" t="str">
            <v>Gresik</v>
          </cell>
          <cell r="I98" t="str">
            <v>'112.583269</v>
          </cell>
          <cell r="J98" t="str">
            <v>' -7.174961</v>
          </cell>
          <cell r="K98" t="str">
            <v>-</v>
          </cell>
          <cell r="L98" t="str">
            <v>Bengawan Solo</v>
          </cell>
          <cell r="M98" t="str">
            <v>PHB</v>
          </cell>
          <cell r="N98" t="str">
            <v>-</v>
          </cell>
          <cell r="O98" t="str">
            <v>-</v>
          </cell>
          <cell r="P98" t="str">
            <v>-</v>
          </cell>
        </row>
        <row r="99">
          <cell r="B99">
            <v>350125003</v>
          </cell>
          <cell r="C99" t="str">
            <v>Cerme GRS</v>
          </cell>
          <cell r="D99" t="str">
            <v>-</v>
          </cell>
          <cell r="E99" t="str">
            <v>PSDA di Bojonegoro</v>
          </cell>
          <cell r="F99" t="str">
            <v>Ngabetan</v>
          </cell>
          <cell r="G99" t="str">
            <v>Cerme</v>
          </cell>
          <cell r="H99" t="str">
            <v>Gresik</v>
          </cell>
          <cell r="I99" t="str">
            <v>'112.558650</v>
          </cell>
          <cell r="J99" t="str">
            <v>'-7.220794</v>
          </cell>
          <cell r="K99" t="str">
            <v>-</v>
          </cell>
          <cell r="L99" t="str">
            <v>Bengawan Solo</v>
          </cell>
          <cell r="M99" t="str">
            <v>PHB</v>
          </cell>
          <cell r="N99" t="str">
            <v>-</v>
          </cell>
          <cell r="O99" t="str">
            <v>-</v>
          </cell>
          <cell r="P99" t="str">
            <v>-</v>
          </cell>
        </row>
        <row r="100">
          <cell r="B100">
            <v>350125004</v>
          </cell>
          <cell r="C100" t="str">
            <v>Duduksampean</v>
          </cell>
          <cell r="D100" t="str">
            <v>-</v>
          </cell>
          <cell r="E100" t="str">
            <v>PSDA di Bojonegoro</v>
          </cell>
          <cell r="F100" t="str">
            <v>Brakung</v>
          </cell>
          <cell r="G100" t="str">
            <v>Duduksampeyan</v>
          </cell>
          <cell r="H100" t="str">
            <v>Gresik</v>
          </cell>
          <cell r="I100" t="str">
            <v>'112.521160</v>
          </cell>
          <cell r="J100" t="str">
            <v>' -7.164571</v>
          </cell>
          <cell r="K100" t="str">
            <v>-</v>
          </cell>
          <cell r="L100" t="str">
            <v>Bengawan Solo</v>
          </cell>
          <cell r="M100" t="str">
            <v>PHB</v>
          </cell>
          <cell r="N100" t="str">
            <v>-</v>
          </cell>
          <cell r="O100" t="str">
            <v>-</v>
          </cell>
          <cell r="P100" t="str">
            <v>-</v>
          </cell>
        </row>
        <row r="101">
          <cell r="B101">
            <v>350125005</v>
          </cell>
          <cell r="C101" t="str">
            <v>Krikilan</v>
          </cell>
          <cell r="D101" t="str">
            <v>-</v>
          </cell>
          <cell r="E101" t="str">
            <v>PSDA di Bojonegoro</v>
          </cell>
          <cell r="F101" t="str">
            <v>Krikilan</v>
          </cell>
          <cell r="G101" t="str">
            <v>Driyorejo</v>
          </cell>
          <cell r="H101" t="str">
            <v>Gresik</v>
          </cell>
          <cell r="I101" t="str">
            <v>'112.587194</v>
          </cell>
          <cell r="J101" t="str">
            <v>'-7.372667</v>
          </cell>
          <cell r="K101" t="str">
            <v>-</v>
          </cell>
          <cell r="L101" t="str">
            <v>Bengawan Solo</v>
          </cell>
          <cell r="M101" t="str">
            <v>PHB</v>
          </cell>
          <cell r="N101" t="str">
            <v>-</v>
          </cell>
          <cell r="O101" t="str">
            <v>-</v>
          </cell>
          <cell r="P101" t="str">
            <v>-</v>
          </cell>
        </row>
        <row r="102">
          <cell r="B102">
            <v>350125006</v>
          </cell>
          <cell r="C102" t="str">
            <v>Lowayu</v>
          </cell>
          <cell r="D102" t="str">
            <v>-</v>
          </cell>
          <cell r="E102" t="str">
            <v>PSDA di Bojonegoro</v>
          </cell>
          <cell r="F102" t="str">
            <v>Lowayu</v>
          </cell>
          <cell r="G102" t="str">
            <v>Dukun</v>
          </cell>
          <cell r="H102" t="str">
            <v>Gresik</v>
          </cell>
          <cell r="I102" t="str">
            <v>'112.419331</v>
          </cell>
          <cell r="J102" t="str">
            <v>' -6.978578</v>
          </cell>
          <cell r="K102" t="str">
            <v>-</v>
          </cell>
          <cell r="L102" t="str">
            <v>Bengawan Solo</v>
          </cell>
          <cell r="M102" t="str">
            <v>PHB</v>
          </cell>
          <cell r="N102" t="str">
            <v>-</v>
          </cell>
          <cell r="O102" t="str">
            <v>-</v>
          </cell>
          <cell r="P102" t="str">
            <v>-</v>
          </cell>
        </row>
        <row r="103">
          <cell r="B103">
            <v>350125007</v>
          </cell>
          <cell r="C103" t="str">
            <v>Menganti</v>
          </cell>
          <cell r="D103" t="str">
            <v>-</v>
          </cell>
          <cell r="E103" t="str">
            <v>PSDA di Bojonegoro</v>
          </cell>
          <cell r="F103" t="str">
            <v>Menganti</v>
          </cell>
          <cell r="G103" t="str">
            <v>Menganti</v>
          </cell>
          <cell r="H103" t="str">
            <v>Gresik</v>
          </cell>
          <cell r="I103" t="str">
            <v>'112.583286</v>
          </cell>
          <cell r="J103" t="str">
            <v>' -7.270669</v>
          </cell>
          <cell r="K103" t="str">
            <v>-</v>
          </cell>
          <cell r="L103" t="str">
            <v>Bengawan Solo</v>
          </cell>
          <cell r="M103" t="str">
            <v>PHB</v>
          </cell>
          <cell r="N103" t="str">
            <v>-</v>
          </cell>
          <cell r="O103" t="str">
            <v>-</v>
          </cell>
          <cell r="P103" t="str">
            <v>-</v>
          </cell>
        </row>
        <row r="104">
          <cell r="B104">
            <v>350125008</v>
          </cell>
          <cell r="C104" t="str">
            <v>Mentaras</v>
          </cell>
          <cell r="D104" t="str">
            <v>-</v>
          </cell>
          <cell r="E104" t="str">
            <v>PSDA di Bojonegoro</v>
          </cell>
          <cell r="F104" t="str">
            <v>Mentaras</v>
          </cell>
          <cell r="G104" t="str">
            <v>Dukun</v>
          </cell>
          <cell r="H104" t="str">
            <v>Gresik</v>
          </cell>
          <cell r="I104" t="str">
            <v>'112.450678</v>
          </cell>
          <cell r="J104" t="str">
            <v>' -6.970522</v>
          </cell>
          <cell r="K104" t="str">
            <v>-</v>
          </cell>
          <cell r="L104" t="str">
            <v>Bengawan Solo</v>
          </cell>
          <cell r="M104" t="str">
            <v>PHB</v>
          </cell>
          <cell r="N104" t="str">
            <v>-</v>
          </cell>
          <cell r="O104" t="str">
            <v>-</v>
          </cell>
          <cell r="P104" t="str">
            <v>-</v>
          </cell>
        </row>
        <row r="105">
          <cell r="B105">
            <v>350125009</v>
          </cell>
          <cell r="C105" t="str">
            <v>Panceng</v>
          </cell>
          <cell r="D105" t="str">
            <v>-</v>
          </cell>
          <cell r="E105" t="str">
            <v>PSDA di Bojonegoro</v>
          </cell>
          <cell r="F105" t="str">
            <v>Panceng</v>
          </cell>
          <cell r="G105" t="str">
            <v>Panceng</v>
          </cell>
          <cell r="H105" t="str">
            <v>Gresik</v>
          </cell>
          <cell r="I105" t="str">
            <v>'112.458103</v>
          </cell>
          <cell r="J105" t="str">
            <v>'-6.913011</v>
          </cell>
          <cell r="K105" t="str">
            <v>-</v>
          </cell>
          <cell r="L105" t="str">
            <v>Bengawan Solo</v>
          </cell>
          <cell r="M105" t="str">
            <v>PHB</v>
          </cell>
          <cell r="N105" t="str">
            <v>-</v>
          </cell>
          <cell r="O105" t="str">
            <v>-</v>
          </cell>
          <cell r="P105" t="str">
            <v>-</v>
          </cell>
        </row>
        <row r="106">
          <cell r="B106">
            <v>350125010</v>
          </cell>
          <cell r="C106" t="str">
            <v>Sidayu</v>
          </cell>
          <cell r="D106" t="str">
            <v>-</v>
          </cell>
          <cell r="E106" t="str">
            <v>PSDA di Bojonegoro</v>
          </cell>
          <cell r="F106" t="str">
            <v>Siraman</v>
          </cell>
          <cell r="G106" t="str">
            <v>Dukun</v>
          </cell>
          <cell r="H106" t="str">
            <v>Gresik</v>
          </cell>
          <cell r="I106" t="str">
            <v>'112.557444</v>
          </cell>
          <cell r="J106" t="str">
            <v>' -6.991650</v>
          </cell>
          <cell r="K106" t="str">
            <v>-</v>
          </cell>
          <cell r="L106" t="str">
            <v>Bengawan Solo</v>
          </cell>
          <cell r="M106" t="str">
            <v>PHB</v>
          </cell>
          <cell r="N106" t="str">
            <v>-</v>
          </cell>
          <cell r="O106" t="str">
            <v>-</v>
          </cell>
          <cell r="P106" t="str">
            <v>-</v>
          </cell>
        </row>
        <row r="107">
          <cell r="B107">
            <v>350125011</v>
          </cell>
          <cell r="C107" t="str">
            <v>Suci</v>
          </cell>
          <cell r="D107" t="str">
            <v>-</v>
          </cell>
          <cell r="E107" t="str">
            <v>PSDA di Bojonegoro</v>
          </cell>
          <cell r="F107" t="str">
            <v>Suci</v>
          </cell>
          <cell r="G107" t="str">
            <v>Manyar</v>
          </cell>
          <cell r="H107" t="str">
            <v>Gresik</v>
          </cell>
          <cell r="I107" t="str">
            <v>'112.60175</v>
          </cell>
          <cell r="J107" t="str">
            <v>'-7.15005</v>
          </cell>
          <cell r="K107" t="str">
            <v>-</v>
          </cell>
          <cell r="L107" t="str">
            <v>Bengawan Solo</v>
          </cell>
          <cell r="M107" t="str">
            <v>PHB</v>
          </cell>
          <cell r="N107" t="str">
            <v>-</v>
          </cell>
          <cell r="O107" t="str">
            <v>-</v>
          </cell>
          <cell r="P107" t="str">
            <v>-</v>
          </cell>
        </row>
        <row r="108">
          <cell r="B108">
            <v>350125012</v>
          </cell>
          <cell r="C108" t="str">
            <v>Tambakombo</v>
          </cell>
          <cell r="D108" t="str">
            <v>-</v>
          </cell>
          <cell r="E108" t="str">
            <v>PSDA di Bojonegoro</v>
          </cell>
          <cell r="F108" t="str">
            <v>Sembayat</v>
          </cell>
          <cell r="G108" t="str">
            <v>Manyar</v>
          </cell>
          <cell r="H108" t="str">
            <v>Gresik</v>
          </cell>
          <cell r="I108" t="str">
            <v>'112.573606</v>
          </cell>
          <cell r="J108" t="str">
            <v>' -7.077606</v>
          </cell>
          <cell r="K108" t="str">
            <v>-</v>
          </cell>
          <cell r="L108" t="str">
            <v>Bengawan Solo</v>
          </cell>
          <cell r="M108" t="str">
            <v>PHB</v>
          </cell>
          <cell r="N108" t="str">
            <v>-</v>
          </cell>
          <cell r="O108" t="str">
            <v>-</v>
          </cell>
          <cell r="P108" t="str">
            <v>-</v>
          </cell>
        </row>
        <row r="109">
          <cell r="B109">
            <v>350125013</v>
          </cell>
          <cell r="C109" t="str">
            <v>Ujungpangkah</v>
          </cell>
          <cell r="D109" t="str">
            <v>-</v>
          </cell>
          <cell r="E109" t="str">
            <v>PSDA di Bojonegoro</v>
          </cell>
          <cell r="F109" t="str">
            <v>Ujungpangkah</v>
          </cell>
          <cell r="G109" t="str">
            <v>Ujungpangkah</v>
          </cell>
          <cell r="H109" t="str">
            <v>Gresik</v>
          </cell>
          <cell r="I109" t="str">
            <v>'112.54610</v>
          </cell>
          <cell r="J109" t="str">
            <v>'-6.919400</v>
          </cell>
          <cell r="K109" t="str">
            <v>-</v>
          </cell>
          <cell r="L109" t="str">
            <v>Bengawan Solo</v>
          </cell>
          <cell r="M109" t="str">
            <v>PHB</v>
          </cell>
          <cell r="N109" t="str">
            <v>-</v>
          </cell>
          <cell r="O109" t="str">
            <v>-</v>
          </cell>
          <cell r="P109" t="str">
            <v>-</v>
          </cell>
        </row>
        <row r="110">
          <cell r="B110">
            <v>350125014</v>
          </cell>
          <cell r="C110" t="str">
            <v>Wringinanom GRS</v>
          </cell>
          <cell r="D110" t="str">
            <v>-</v>
          </cell>
          <cell r="E110" t="str">
            <v>PSDA di Bojonegoro</v>
          </cell>
          <cell r="F110" t="str">
            <v>Sumberrame</v>
          </cell>
          <cell r="G110" t="str">
            <v>Wringinanom</v>
          </cell>
          <cell r="H110" t="str">
            <v>Gresik</v>
          </cell>
          <cell r="I110" t="str">
            <v>'112.525250</v>
          </cell>
          <cell r="J110" t="str">
            <v>'-7.396722</v>
          </cell>
          <cell r="K110" t="str">
            <v>-</v>
          </cell>
          <cell r="L110" t="str">
            <v>Bengawan Solo</v>
          </cell>
          <cell r="M110" t="str">
            <v>PHB</v>
          </cell>
          <cell r="N110" t="str">
            <v>-</v>
          </cell>
          <cell r="O110" t="str">
            <v>-</v>
          </cell>
          <cell r="P110" t="str">
            <v>-</v>
          </cell>
        </row>
        <row r="111">
          <cell r="B111">
            <v>350125015</v>
          </cell>
          <cell r="C111" t="str">
            <v>Wahas/brangkal</v>
          </cell>
          <cell r="D111" t="str">
            <v>-</v>
          </cell>
          <cell r="E111" t="str">
            <v>PSDA di Bojonegoro</v>
          </cell>
          <cell r="F111" t="str">
            <v>Wahas</v>
          </cell>
          <cell r="G111" t="str">
            <v>Balongpanggang</v>
          </cell>
          <cell r="H111" t="str">
            <v>Gresik</v>
          </cell>
          <cell r="I111" t="str">
            <v>'112.391161</v>
          </cell>
          <cell r="J111" t="str">
            <v>'-7.330650</v>
          </cell>
          <cell r="K111" t="str">
            <v>-</v>
          </cell>
          <cell r="L111" t="str">
            <v>Bengawan Solo</v>
          </cell>
          <cell r="M111" t="str">
            <v>PHB</v>
          </cell>
          <cell r="N111" t="str">
            <v>-</v>
          </cell>
          <cell r="O111" t="str">
            <v>-</v>
          </cell>
          <cell r="P111" t="str">
            <v>-</v>
          </cell>
        </row>
        <row r="112">
          <cell r="B112">
            <v>350215001</v>
          </cell>
          <cell r="C112" t="str">
            <v>Bakalan</v>
          </cell>
          <cell r="D112" t="str">
            <v>-</v>
          </cell>
          <cell r="E112" t="str">
            <v>PSDA di Surabaya</v>
          </cell>
          <cell r="F112" t="str">
            <v>Penambangan</v>
          </cell>
          <cell r="G112" t="str">
            <v>Balongbendo</v>
          </cell>
          <cell r="H112" t="str">
            <v>Sidoarjo</v>
          </cell>
          <cell r="I112" t="str">
            <v>'112.529444</v>
          </cell>
          <cell r="J112" t="str">
            <v>'-7.4088889</v>
          </cell>
          <cell r="K112" t="str">
            <v>-</v>
          </cell>
          <cell r="L112" t="str">
            <v>Brantas</v>
          </cell>
          <cell r="M112" t="str">
            <v>PHB</v>
          </cell>
          <cell r="N112" t="str">
            <v>-</v>
          </cell>
          <cell r="O112" t="str">
            <v>-</v>
          </cell>
          <cell r="P112" t="str">
            <v>-</v>
          </cell>
        </row>
        <row r="113">
          <cell r="B113">
            <v>350215002</v>
          </cell>
          <cell r="C113" t="str">
            <v>Banjar Kemantren</v>
          </cell>
          <cell r="D113" t="str">
            <v>-</v>
          </cell>
          <cell r="E113" t="str">
            <v>PSDA di Surabaya</v>
          </cell>
          <cell r="F113" t="str">
            <v>Banjarkemantren</v>
          </cell>
          <cell r="G113" t="str">
            <v>Buduran</v>
          </cell>
          <cell r="H113" t="str">
            <v>Sidoarjo</v>
          </cell>
          <cell r="I113" t="str">
            <v>'112.725277</v>
          </cell>
          <cell r="J113" t="str">
            <v>'-7.4125</v>
          </cell>
          <cell r="K113" t="str">
            <v>-</v>
          </cell>
          <cell r="L113" t="str">
            <v>Brantas</v>
          </cell>
          <cell r="M113" t="str">
            <v>PHB</v>
          </cell>
          <cell r="N113" t="str">
            <v>-</v>
          </cell>
          <cell r="O113" t="str">
            <v>-</v>
          </cell>
          <cell r="P113" t="str">
            <v>-</v>
          </cell>
        </row>
        <row r="114">
          <cell r="B114">
            <v>350215003</v>
          </cell>
          <cell r="C114" t="str">
            <v>Bono</v>
          </cell>
          <cell r="D114" t="str">
            <v>-</v>
          </cell>
          <cell r="E114" t="str">
            <v>PSDA di Surabaya</v>
          </cell>
          <cell r="F114" t="str">
            <v>Semambung</v>
          </cell>
          <cell r="G114" t="str">
            <v>Gedangan</v>
          </cell>
          <cell r="H114" t="str">
            <v>Sidoarjo</v>
          </cell>
          <cell r="I114" t="str">
            <v>'112.749166</v>
          </cell>
          <cell r="J114" t="str">
            <v>'-7.3738889</v>
          </cell>
          <cell r="K114" t="str">
            <v>-</v>
          </cell>
          <cell r="L114" t="str">
            <v>Brantas</v>
          </cell>
          <cell r="M114" t="str">
            <v>PHB</v>
          </cell>
          <cell r="N114" t="str">
            <v>-</v>
          </cell>
          <cell r="O114" t="str">
            <v>-</v>
          </cell>
          <cell r="P114" t="str">
            <v>-</v>
          </cell>
        </row>
        <row r="115">
          <cell r="B115">
            <v>350215004</v>
          </cell>
          <cell r="C115" t="str">
            <v>Botokan</v>
          </cell>
          <cell r="D115" t="str">
            <v>-</v>
          </cell>
          <cell r="E115" t="str">
            <v>PSDA di Surabaya</v>
          </cell>
          <cell r="F115" t="str">
            <v>Botokan</v>
          </cell>
          <cell r="G115" t="str">
            <v>Sukodono</v>
          </cell>
          <cell r="H115" t="str">
            <v>Sidoarjo</v>
          </cell>
          <cell r="I115" t="str">
            <v>'112.6580555</v>
          </cell>
          <cell r="J115" t="str">
            <v>'-7.3902778</v>
          </cell>
          <cell r="K115" t="str">
            <v>-</v>
          </cell>
          <cell r="L115" t="str">
            <v>Brantas</v>
          </cell>
          <cell r="M115" t="str">
            <v>PHB</v>
          </cell>
          <cell r="N115" t="str">
            <v>-</v>
          </cell>
          <cell r="O115" t="str">
            <v>-</v>
          </cell>
          <cell r="P115" t="str">
            <v>-</v>
          </cell>
        </row>
        <row r="116">
          <cell r="B116">
            <v>350215005</v>
          </cell>
          <cell r="C116" t="str">
            <v>Buduk Bulus</v>
          </cell>
          <cell r="D116" t="str">
            <v>-</v>
          </cell>
          <cell r="E116" t="str">
            <v>PSDA di Surabaya</v>
          </cell>
          <cell r="F116" t="str">
            <v>Pesawahan</v>
          </cell>
          <cell r="G116" t="str">
            <v>Porong</v>
          </cell>
          <cell r="H116" t="str">
            <v>Sidoarjo</v>
          </cell>
          <cell r="I116" t="str">
            <v>'112.6488888</v>
          </cell>
          <cell r="J116" t="str">
            <v>'-7.5127778</v>
          </cell>
          <cell r="K116" t="str">
            <v>-</v>
          </cell>
          <cell r="L116" t="str">
            <v>Brantas</v>
          </cell>
          <cell r="M116" t="str">
            <v>PHB</v>
          </cell>
          <cell r="N116" t="str">
            <v>-</v>
          </cell>
          <cell r="O116" t="str">
            <v>-</v>
          </cell>
          <cell r="P116" t="str">
            <v>-</v>
          </cell>
        </row>
        <row r="117">
          <cell r="B117">
            <v>350215006</v>
          </cell>
          <cell r="C117" t="str">
            <v>Cepiples</v>
          </cell>
          <cell r="D117" t="str">
            <v>-</v>
          </cell>
          <cell r="E117" t="str">
            <v>PSDA di Surabaya</v>
          </cell>
          <cell r="F117" t="str">
            <v>Singogalih</v>
          </cell>
          <cell r="G117" t="str">
            <v>Tarik</v>
          </cell>
          <cell r="H117" t="str">
            <v>Sidoarjo</v>
          </cell>
          <cell r="I117" t="str">
            <v>'112.5088888</v>
          </cell>
          <cell r="J117" t="str">
            <v>'-7.4636111</v>
          </cell>
          <cell r="K117" t="str">
            <v>-</v>
          </cell>
          <cell r="L117" t="str">
            <v>Brantas</v>
          </cell>
          <cell r="M117" t="str">
            <v>PHB</v>
          </cell>
          <cell r="N117" t="str">
            <v>-</v>
          </cell>
          <cell r="O117" t="str">
            <v>-</v>
          </cell>
          <cell r="P117" t="str">
            <v>-</v>
          </cell>
        </row>
        <row r="118">
          <cell r="B118">
            <v>350215007</v>
          </cell>
          <cell r="C118" t="str">
            <v>Durung Beduk</v>
          </cell>
          <cell r="D118" t="str">
            <v>-</v>
          </cell>
          <cell r="E118" t="str">
            <v>PSDA di Surabaya</v>
          </cell>
          <cell r="F118" t="str">
            <v>Grogol</v>
          </cell>
          <cell r="G118" t="str">
            <v>Tulangan</v>
          </cell>
          <cell r="H118" t="str">
            <v>Sidoarjo</v>
          </cell>
          <cell r="I118" t="str">
            <v>'112.66000</v>
          </cell>
          <cell r="J118" t="str">
            <v>'-7.4677778</v>
          </cell>
          <cell r="K118" t="str">
            <v>-</v>
          </cell>
          <cell r="L118" t="str">
            <v>Brantas</v>
          </cell>
          <cell r="M118" t="str">
            <v>PHB</v>
          </cell>
          <cell r="N118" t="str">
            <v>-</v>
          </cell>
          <cell r="O118" t="str">
            <v>-</v>
          </cell>
          <cell r="P118" t="str">
            <v>-</v>
          </cell>
        </row>
        <row r="119">
          <cell r="B119">
            <v>350215008</v>
          </cell>
          <cell r="C119" t="str">
            <v>Gedangrowo</v>
          </cell>
          <cell r="D119" t="str">
            <v>-</v>
          </cell>
          <cell r="E119" t="str">
            <v>PSDA di Surabaya</v>
          </cell>
          <cell r="F119" t="str">
            <v>Gedangrowo</v>
          </cell>
          <cell r="G119" t="str">
            <v>Prambon</v>
          </cell>
          <cell r="H119" t="str">
            <v>Sidoarjo</v>
          </cell>
          <cell r="I119" t="str">
            <v>'112.57500</v>
          </cell>
          <cell r="J119" t="str">
            <v>'-7.4797222</v>
          </cell>
          <cell r="K119" t="str">
            <v>-</v>
          </cell>
          <cell r="L119" t="str">
            <v>Brantas</v>
          </cell>
          <cell r="M119" t="str">
            <v>PHB</v>
          </cell>
          <cell r="N119" t="str">
            <v>-</v>
          </cell>
          <cell r="O119" t="str">
            <v>-</v>
          </cell>
          <cell r="P119" t="str">
            <v>-</v>
          </cell>
        </row>
        <row r="120">
          <cell r="B120">
            <v>350215009</v>
          </cell>
          <cell r="C120" t="str">
            <v>Karangnongko</v>
          </cell>
          <cell r="D120" t="str">
            <v>-</v>
          </cell>
          <cell r="E120" t="str">
            <v>PSDA di Surabaya</v>
          </cell>
          <cell r="F120" t="str">
            <v>Pekarungan</v>
          </cell>
          <cell r="G120" t="str">
            <v>Sukodono</v>
          </cell>
          <cell r="H120" t="str">
            <v>Sidoarjo</v>
          </cell>
          <cell r="I120" t="str">
            <v>'112.671111</v>
          </cell>
          <cell r="J120" t="str">
            <v>'-7.4055556</v>
          </cell>
          <cell r="K120" t="str">
            <v>-</v>
          </cell>
          <cell r="L120" t="str">
            <v>Brantas</v>
          </cell>
          <cell r="M120" t="str">
            <v>PHB</v>
          </cell>
          <cell r="N120" t="str">
            <v>-</v>
          </cell>
          <cell r="O120" t="str">
            <v>-</v>
          </cell>
          <cell r="P120" t="str">
            <v>-</v>
          </cell>
        </row>
        <row r="121">
          <cell r="B121">
            <v>350215010</v>
          </cell>
          <cell r="C121" t="str">
            <v>Kedung Cangkring</v>
          </cell>
          <cell r="D121" t="str">
            <v>-</v>
          </cell>
          <cell r="E121" t="str">
            <v>PSDA di Surabaya</v>
          </cell>
          <cell r="F121" t="str">
            <v>Trompoasri</v>
          </cell>
          <cell r="G121" t="str">
            <v>Jabon</v>
          </cell>
          <cell r="H121" t="str">
            <v>Sidoarjo</v>
          </cell>
          <cell r="I121" t="str">
            <v>'112.71000</v>
          </cell>
          <cell r="J121" t="str">
            <v>'-7.5480556</v>
          </cell>
          <cell r="K121" t="str">
            <v>-</v>
          </cell>
          <cell r="L121" t="str">
            <v>Brantas</v>
          </cell>
          <cell r="M121" t="str">
            <v>PHB</v>
          </cell>
          <cell r="N121" t="str">
            <v>-</v>
          </cell>
          <cell r="O121" t="str">
            <v>-</v>
          </cell>
          <cell r="P121" t="str">
            <v>-</v>
          </cell>
        </row>
        <row r="122">
          <cell r="B122">
            <v>350215011</v>
          </cell>
          <cell r="C122" t="str">
            <v>Kedung Ploso - Luwung</v>
          </cell>
          <cell r="D122" t="str">
            <v>-</v>
          </cell>
          <cell r="E122" t="str">
            <v>PSDA di Surabaya</v>
          </cell>
          <cell r="F122" t="str">
            <v>Lengkong</v>
          </cell>
          <cell r="G122" t="str">
            <v>Mojoanyar</v>
          </cell>
          <cell r="H122" t="str">
            <v>Mojokerto</v>
          </cell>
          <cell r="I122" t="str">
            <v>'112.506666</v>
          </cell>
          <cell r="J122" t="str">
            <v>'-7.4344444</v>
          </cell>
          <cell r="K122" t="str">
            <v>-</v>
          </cell>
          <cell r="L122" t="str">
            <v>Brantas</v>
          </cell>
          <cell r="M122" t="str">
            <v>PHB</v>
          </cell>
          <cell r="N122" t="str">
            <v>-</v>
          </cell>
          <cell r="O122" t="str">
            <v>-</v>
          </cell>
          <cell r="P122" t="str">
            <v>-</v>
          </cell>
        </row>
        <row r="123">
          <cell r="B123">
            <v>350215012</v>
          </cell>
          <cell r="C123" t="str">
            <v>Kemlaten</v>
          </cell>
          <cell r="D123" t="str">
            <v>-</v>
          </cell>
          <cell r="E123" t="str">
            <v>PSDA di Surabaya</v>
          </cell>
          <cell r="F123" t="str">
            <v>Mliriprowo</v>
          </cell>
          <cell r="G123" t="str">
            <v>Tarik</v>
          </cell>
          <cell r="H123" t="str">
            <v>Sidoarjo</v>
          </cell>
          <cell r="I123" t="str">
            <v>'112.469722</v>
          </cell>
          <cell r="J123" t="str">
            <v>'-7.4433333</v>
          </cell>
          <cell r="K123" t="str">
            <v>-</v>
          </cell>
          <cell r="L123" t="str">
            <v>Brantas</v>
          </cell>
          <cell r="M123" t="str">
            <v>PHB</v>
          </cell>
          <cell r="N123" t="str">
            <v>-</v>
          </cell>
          <cell r="O123" t="str">
            <v>-</v>
          </cell>
          <cell r="P123" t="str">
            <v>-</v>
          </cell>
        </row>
        <row r="124">
          <cell r="B124">
            <v>350215013</v>
          </cell>
          <cell r="C124" t="str">
            <v>Ketawang</v>
          </cell>
          <cell r="D124" t="str">
            <v>-</v>
          </cell>
          <cell r="E124" t="str">
            <v>PSDA di Surabaya</v>
          </cell>
          <cell r="F124" t="str">
            <v>Ngaresrejo</v>
          </cell>
          <cell r="G124" t="str">
            <v>Sukodono</v>
          </cell>
          <cell r="H124" t="str">
            <v>Sidoarjo</v>
          </cell>
          <cell r="I124" t="str">
            <v>'112.63555</v>
          </cell>
          <cell r="J124" t="str">
            <v>'-7.395000</v>
          </cell>
          <cell r="K124" t="str">
            <v>-</v>
          </cell>
          <cell r="L124" t="str">
            <v>Brantas</v>
          </cell>
          <cell r="M124" t="str">
            <v>PHB</v>
          </cell>
          <cell r="N124" t="str">
            <v>-</v>
          </cell>
          <cell r="O124" t="str">
            <v>-</v>
          </cell>
          <cell r="P124" t="str">
            <v>-</v>
          </cell>
        </row>
        <row r="125">
          <cell r="B125">
            <v>350215014</v>
          </cell>
          <cell r="C125" t="str">
            <v>Ketegan</v>
          </cell>
          <cell r="D125" t="str">
            <v>-</v>
          </cell>
          <cell r="E125" t="str">
            <v>PSDA di Surabaya</v>
          </cell>
          <cell r="F125" t="str">
            <v>Bebekan</v>
          </cell>
          <cell r="G125" t="str">
            <v>Taman</v>
          </cell>
          <cell r="H125" t="str">
            <v>Sidoarjo</v>
          </cell>
          <cell r="I125" t="str">
            <v>'112.703083</v>
          </cell>
          <cell r="J125" t="str">
            <v>'-7.3491667</v>
          </cell>
          <cell r="K125" t="str">
            <v>-</v>
          </cell>
          <cell r="L125" t="str">
            <v>Brantas</v>
          </cell>
          <cell r="M125" t="str">
            <v>PHB</v>
          </cell>
          <cell r="N125" t="str">
            <v>-</v>
          </cell>
          <cell r="O125" t="str">
            <v>-</v>
          </cell>
          <cell r="P125" t="str">
            <v>-</v>
          </cell>
        </row>
        <row r="126">
          <cell r="B126">
            <v>350215015</v>
          </cell>
          <cell r="C126" t="str">
            <v>Ketintang</v>
          </cell>
          <cell r="D126" t="str">
            <v>-</v>
          </cell>
          <cell r="E126" t="str">
            <v>PSDA di Surabaya</v>
          </cell>
          <cell r="F126" t="str">
            <v>Jimbaranwetan</v>
          </cell>
          <cell r="G126" t="str">
            <v>Wonoayu</v>
          </cell>
          <cell r="H126" t="str">
            <v>Sidoarjo</v>
          </cell>
          <cell r="I126" t="str">
            <v>'112.633333</v>
          </cell>
          <cell r="J126" t="str">
            <v>'-7.4405556</v>
          </cell>
          <cell r="K126" t="str">
            <v>-</v>
          </cell>
          <cell r="L126" t="str">
            <v>Brantas</v>
          </cell>
          <cell r="M126" t="str">
            <v>PHB</v>
          </cell>
          <cell r="N126" t="str">
            <v>-</v>
          </cell>
          <cell r="O126" t="str">
            <v>-</v>
          </cell>
          <cell r="P126" t="str">
            <v>-</v>
          </cell>
        </row>
        <row r="127">
          <cell r="B127">
            <v>350215016</v>
          </cell>
          <cell r="C127" t="str">
            <v>Klagen</v>
          </cell>
          <cell r="D127" t="str">
            <v>-</v>
          </cell>
          <cell r="E127" t="str">
            <v>PSDA di Surabaya</v>
          </cell>
          <cell r="F127" t="str">
            <v>Kebonagung</v>
          </cell>
          <cell r="G127" t="str">
            <v>Sukodono</v>
          </cell>
          <cell r="H127" t="str">
            <v>Sidoarjo</v>
          </cell>
          <cell r="I127" t="str">
            <v>'112.676388</v>
          </cell>
          <cell r="J127" t="str">
            <v>'-7.4216667</v>
          </cell>
          <cell r="K127" t="str">
            <v>-</v>
          </cell>
          <cell r="L127" t="str">
            <v>Brantas</v>
          </cell>
          <cell r="M127" t="str">
            <v>PHB</v>
          </cell>
          <cell r="N127" t="str">
            <v>-</v>
          </cell>
          <cell r="O127" t="str">
            <v>-</v>
          </cell>
          <cell r="P127" t="str">
            <v>-</v>
          </cell>
        </row>
        <row r="128">
          <cell r="B128">
            <v>350215017</v>
          </cell>
          <cell r="C128" t="str">
            <v>Kludan</v>
          </cell>
          <cell r="D128" t="str">
            <v>-</v>
          </cell>
          <cell r="E128" t="str">
            <v>PSDA di Surabaya</v>
          </cell>
          <cell r="F128" t="str">
            <v>Ketegan</v>
          </cell>
          <cell r="G128" t="str">
            <v>Tanggulangin</v>
          </cell>
          <cell r="H128" t="str">
            <v>Sidoarjo</v>
          </cell>
          <cell r="I128" t="str">
            <v>'112.6961111</v>
          </cell>
          <cell r="J128" t="str">
            <v>'-7.4977778</v>
          </cell>
          <cell r="K128" t="str">
            <v>-</v>
          </cell>
          <cell r="L128" t="str">
            <v>Brantas</v>
          </cell>
          <cell r="M128" t="str">
            <v>PHB</v>
          </cell>
          <cell r="N128" t="str">
            <v>-</v>
          </cell>
          <cell r="O128" t="str">
            <v>-</v>
          </cell>
          <cell r="P128" t="str">
            <v>-</v>
          </cell>
        </row>
        <row r="129">
          <cell r="B129">
            <v>350215018</v>
          </cell>
          <cell r="C129" t="str">
            <v>Krembung</v>
          </cell>
          <cell r="D129" t="str">
            <v>-</v>
          </cell>
          <cell r="E129" t="str">
            <v>PSDA di Surabaya</v>
          </cell>
          <cell r="F129" t="str">
            <v>Krembung</v>
          </cell>
          <cell r="G129" t="str">
            <v>Krembung</v>
          </cell>
          <cell r="H129" t="str">
            <v>Sidoarjo</v>
          </cell>
          <cell r="I129" t="str">
            <v>'112.614444</v>
          </cell>
          <cell r="J129" t="str">
            <v>'-7.5105556</v>
          </cell>
          <cell r="K129" t="str">
            <v>-</v>
          </cell>
          <cell r="L129" t="str">
            <v>Brantas</v>
          </cell>
          <cell r="M129" t="str">
            <v>PHB</v>
          </cell>
          <cell r="N129" t="str">
            <v>-</v>
          </cell>
          <cell r="O129" t="str">
            <v>-</v>
          </cell>
          <cell r="P129" t="str">
            <v>-</v>
          </cell>
        </row>
        <row r="130">
          <cell r="B130">
            <v>350215019</v>
          </cell>
          <cell r="C130" t="str">
            <v>Krian</v>
          </cell>
          <cell r="D130" t="str">
            <v>-</v>
          </cell>
          <cell r="E130" t="str">
            <v>PSDA di Surabaya</v>
          </cell>
          <cell r="F130" t="str">
            <v>Katerungan</v>
          </cell>
          <cell r="G130" t="str">
            <v>Krian</v>
          </cell>
          <cell r="H130" t="str">
            <v>Sidoarjo</v>
          </cell>
          <cell r="I130" t="str">
            <v>'112.578888</v>
          </cell>
          <cell r="J130" t="str">
            <v>'-7.4080556</v>
          </cell>
          <cell r="K130" t="str">
            <v>-</v>
          </cell>
          <cell r="L130" t="str">
            <v>Brantas</v>
          </cell>
          <cell r="M130" t="str">
            <v>PHB</v>
          </cell>
          <cell r="N130" t="str">
            <v>-</v>
          </cell>
          <cell r="O130" t="str">
            <v>-</v>
          </cell>
          <cell r="P130" t="str">
            <v>-</v>
          </cell>
        </row>
        <row r="131">
          <cell r="B131">
            <v>350215020</v>
          </cell>
          <cell r="C131" t="str">
            <v>Lengkong</v>
          </cell>
          <cell r="D131" t="str">
            <v>-</v>
          </cell>
          <cell r="E131" t="str">
            <v>PSDA di Surabaya</v>
          </cell>
          <cell r="F131" t="str">
            <v>Mliriprowo</v>
          </cell>
          <cell r="G131" t="str">
            <v>Tarik</v>
          </cell>
          <cell r="H131" t="str">
            <v>Sidoarjo</v>
          </cell>
          <cell r="I131" t="str">
            <v>'112.461959</v>
          </cell>
          <cell r="J131" t="str">
            <v>'-7.444545</v>
          </cell>
          <cell r="K131" t="str">
            <v>-</v>
          </cell>
          <cell r="L131" t="str">
            <v>Brantas</v>
          </cell>
          <cell r="M131" t="str">
            <v>PHB</v>
          </cell>
          <cell r="N131" t="str">
            <v>-</v>
          </cell>
          <cell r="O131" t="str">
            <v>-</v>
          </cell>
          <cell r="P131" t="str">
            <v>-</v>
          </cell>
        </row>
        <row r="132">
          <cell r="B132">
            <v>350215021</v>
          </cell>
          <cell r="C132" t="str">
            <v>Pertapaan (Pelayaran)</v>
          </cell>
          <cell r="D132" t="str">
            <v>-</v>
          </cell>
          <cell r="E132" t="str">
            <v>PSDA di Surabaya</v>
          </cell>
          <cell r="F132" t="str">
            <v>Pelayaran</v>
          </cell>
          <cell r="G132" t="str">
            <v>Balongbendo</v>
          </cell>
          <cell r="H132" t="str">
            <v>Sidoarjo</v>
          </cell>
          <cell r="I132" t="str">
            <v>'112.620659</v>
          </cell>
          <cell r="J132" t="str">
            <v>'-7.369787</v>
          </cell>
          <cell r="K132" t="str">
            <v>-</v>
          </cell>
          <cell r="L132" t="str">
            <v>Brantas</v>
          </cell>
          <cell r="M132" t="str">
            <v>PHB</v>
          </cell>
          <cell r="N132" t="str">
            <v>-</v>
          </cell>
          <cell r="O132" t="str">
            <v>-</v>
          </cell>
          <cell r="P132" t="str">
            <v>-</v>
          </cell>
        </row>
        <row r="133">
          <cell r="B133">
            <v>350215022</v>
          </cell>
          <cell r="C133" t="str">
            <v>Ponokawan</v>
          </cell>
          <cell r="D133" t="str">
            <v>-</v>
          </cell>
          <cell r="E133" t="str">
            <v>PSDA di Surabaya</v>
          </cell>
          <cell r="F133" t="str">
            <v>Watugolong</v>
          </cell>
          <cell r="G133" t="str">
            <v>Krian</v>
          </cell>
          <cell r="H133" t="str">
            <v>Sidoarjo</v>
          </cell>
          <cell r="I133" t="str">
            <v>'112.593888</v>
          </cell>
          <cell r="J133" t="str">
            <v>'-7.3977778</v>
          </cell>
          <cell r="K133" t="str">
            <v>-</v>
          </cell>
          <cell r="L133" t="str">
            <v>Brantas</v>
          </cell>
          <cell r="M133" t="str">
            <v>PHB</v>
          </cell>
          <cell r="N133" t="str">
            <v>-</v>
          </cell>
          <cell r="O133" t="str">
            <v>-</v>
          </cell>
          <cell r="P133" t="str">
            <v>-</v>
          </cell>
        </row>
        <row r="134">
          <cell r="B134">
            <v>350215023</v>
          </cell>
          <cell r="C134" t="str">
            <v>Porong</v>
          </cell>
          <cell r="D134" t="str">
            <v>-</v>
          </cell>
          <cell r="E134" t="str">
            <v>PSDA di Surabaya</v>
          </cell>
          <cell r="F134" t="str">
            <v>Pejarakan</v>
          </cell>
          <cell r="G134" t="str">
            <v>Jabon</v>
          </cell>
          <cell r="H134" t="str">
            <v>Sidoarjo</v>
          </cell>
          <cell r="I134" t="str">
            <v>'112.69805</v>
          </cell>
          <cell r="J134" t="str">
            <v>'-7.54500</v>
          </cell>
          <cell r="K134" t="str">
            <v>-</v>
          </cell>
          <cell r="L134" t="str">
            <v>Brantas</v>
          </cell>
          <cell r="M134" t="str">
            <v>PHB</v>
          </cell>
          <cell r="N134" t="str">
            <v>-</v>
          </cell>
          <cell r="O134" t="str">
            <v>-</v>
          </cell>
          <cell r="P134" t="str">
            <v>-</v>
          </cell>
        </row>
        <row r="135">
          <cell r="B135">
            <v>350215024</v>
          </cell>
          <cell r="C135" t="str">
            <v>Prambon</v>
          </cell>
          <cell r="D135" t="str">
            <v>-</v>
          </cell>
          <cell r="E135" t="str">
            <v>PSDA di Surabaya</v>
          </cell>
          <cell r="F135" t="str">
            <v>Prambon</v>
          </cell>
          <cell r="G135" t="str">
            <v>Prambon</v>
          </cell>
          <cell r="H135" t="str">
            <v>Sidoarjo</v>
          </cell>
          <cell r="I135" t="str">
            <v>'112.560555</v>
          </cell>
          <cell r="J135" t="str">
            <v>'-7.4733333</v>
          </cell>
          <cell r="K135" t="str">
            <v>-</v>
          </cell>
          <cell r="L135" t="str">
            <v>Brantas</v>
          </cell>
          <cell r="M135" t="str">
            <v>PHB</v>
          </cell>
          <cell r="N135" t="str">
            <v>-</v>
          </cell>
          <cell r="O135" t="str">
            <v>-</v>
          </cell>
          <cell r="P135" t="str">
            <v>-</v>
          </cell>
        </row>
        <row r="136">
          <cell r="B136">
            <v>350215025</v>
          </cell>
          <cell r="C136" t="str">
            <v>Putat</v>
          </cell>
          <cell r="D136" t="str">
            <v>-</v>
          </cell>
          <cell r="E136" t="str">
            <v>PSDA di Surabaya</v>
          </cell>
          <cell r="F136" t="str">
            <v>Gempolong</v>
          </cell>
          <cell r="G136" t="str">
            <v>Tanggulangin</v>
          </cell>
          <cell r="H136" t="str">
            <v>Sidoarjo</v>
          </cell>
          <cell r="I136" t="str">
            <v>'112.724722</v>
          </cell>
          <cell r="J136" t="str">
            <v>'-7.5061111</v>
          </cell>
          <cell r="K136" t="str">
            <v>-</v>
          </cell>
          <cell r="L136" t="str">
            <v>Brantas</v>
          </cell>
          <cell r="M136" t="str">
            <v>PHB</v>
          </cell>
          <cell r="N136" t="str">
            <v>-</v>
          </cell>
          <cell r="O136" t="str">
            <v>-</v>
          </cell>
          <cell r="P136" t="str">
            <v>-</v>
          </cell>
        </row>
        <row r="137">
          <cell r="B137">
            <v>350215026</v>
          </cell>
          <cell r="C137" t="str">
            <v>Sedati</v>
          </cell>
          <cell r="D137" t="str">
            <v>-</v>
          </cell>
          <cell r="E137" t="str">
            <v>PSDA di Surabaya</v>
          </cell>
          <cell r="F137" t="str">
            <v>Pulungan</v>
          </cell>
          <cell r="G137" t="str">
            <v>Sedati</v>
          </cell>
          <cell r="H137" t="str">
            <v>Sidoarjo</v>
          </cell>
          <cell r="I137" t="str">
            <v>'112.76722</v>
          </cell>
          <cell r="J137" t="str">
            <v>'-7.3936111</v>
          </cell>
          <cell r="K137" t="str">
            <v>-</v>
          </cell>
          <cell r="L137" t="str">
            <v>Brantas</v>
          </cell>
          <cell r="M137" t="str">
            <v>PHB</v>
          </cell>
          <cell r="N137" t="str">
            <v>-</v>
          </cell>
          <cell r="O137" t="str">
            <v>-</v>
          </cell>
          <cell r="P137" t="str">
            <v>-</v>
          </cell>
        </row>
        <row r="138">
          <cell r="B138">
            <v>350215027</v>
          </cell>
          <cell r="C138" t="str">
            <v>Sidoardo</v>
          </cell>
          <cell r="D138" t="str">
            <v>-</v>
          </cell>
          <cell r="E138" t="str">
            <v>PSDA di Surabaya</v>
          </cell>
          <cell r="F138" t="str">
            <v>Pucang</v>
          </cell>
          <cell r="G138" t="str">
            <v>Sidoarjo</v>
          </cell>
          <cell r="H138" t="str">
            <v>Sidoarjo</v>
          </cell>
          <cell r="I138" t="str">
            <v>'112.720583</v>
          </cell>
          <cell r="J138" t="str">
            <v>'-7.4461111</v>
          </cell>
          <cell r="K138" t="str">
            <v>-</v>
          </cell>
          <cell r="L138" t="str">
            <v>Brantas</v>
          </cell>
          <cell r="M138" t="str">
            <v>PHB</v>
          </cell>
          <cell r="N138" t="str">
            <v>-</v>
          </cell>
          <cell r="O138" t="str">
            <v>-</v>
          </cell>
          <cell r="P138" t="str">
            <v>-</v>
          </cell>
        </row>
        <row r="139">
          <cell r="B139">
            <v>350215028</v>
          </cell>
          <cell r="C139" t="str">
            <v>Seruni</v>
          </cell>
          <cell r="D139" t="str">
            <v>-</v>
          </cell>
          <cell r="E139" t="str">
            <v>PSDA di Surabaya</v>
          </cell>
          <cell r="F139" t="str">
            <v>Keboananom</v>
          </cell>
          <cell r="G139" t="str">
            <v>Gedangan</v>
          </cell>
          <cell r="H139" t="str">
            <v>Sidoarjo</v>
          </cell>
          <cell r="I139" t="str">
            <v>'112.710555</v>
          </cell>
          <cell r="J139" t="str">
            <v>'-7.3972222</v>
          </cell>
          <cell r="K139" t="str">
            <v>-</v>
          </cell>
          <cell r="L139" t="str">
            <v>Brantas</v>
          </cell>
          <cell r="M139" t="str">
            <v>PHB</v>
          </cell>
          <cell r="N139" t="str">
            <v>-</v>
          </cell>
          <cell r="O139" t="str">
            <v>-</v>
          </cell>
          <cell r="P139" t="str">
            <v>-</v>
          </cell>
        </row>
        <row r="140">
          <cell r="B140">
            <v>350215029</v>
          </cell>
          <cell r="C140" t="str">
            <v>Sumput</v>
          </cell>
          <cell r="D140" t="str">
            <v>-</v>
          </cell>
          <cell r="E140" t="str">
            <v>PSDA di Surabaya</v>
          </cell>
          <cell r="F140" t="str">
            <v>Urangagungjedong</v>
          </cell>
          <cell r="G140" t="str">
            <v>Sidoarjo</v>
          </cell>
          <cell r="H140" t="str">
            <v>Sidoarjo</v>
          </cell>
          <cell r="I140" t="str">
            <v>'112.683055</v>
          </cell>
          <cell r="J140" t="str">
            <v>'-7.4377778</v>
          </cell>
          <cell r="K140" t="str">
            <v>-</v>
          </cell>
          <cell r="L140" t="str">
            <v>Brantas</v>
          </cell>
          <cell r="M140" t="str">
            <v>PHB</v>
          </cell>
          <cell r="N140" t="str">
            <v>-</v>
          </cell>
          <cell r="O140" t="str">
            <v>-</v>
          </cell>
          <cell r="P140" t="str">
            <v>-</v>
          </cell>
        </row>
        <row r="141">
          <cell r="B141">
            <v>350215030</v>
          </cell>
          <cell r="C141" t="str">
            <v>Watutulis</v>
          </cell>
          <cell r="D141" t="str">
            <v>-</v>
          </cell>
          <cell r="E141" t="str">
            <v>PSDA di Surabaya</v>
          </cell>
          <cell r="F141" t="str">
            <v>Watutulis</v>
          </cell>
          <cell r="G141" t="str">
            <v>Prambon</v>
          </cell>
          <cell r="H141" t="str">
            <v>Sidoarjo</v>
          </cell>
          <cell r="I141" t="str">
            <v>'112.573055</v>
          </cell>
          <cell r="J141" t="str">
            <v>'-7.4427778</v>
          </cell>
          <cell r="K141" t="str">
            <v>-</v>
          </cell>
          <cell r="L141" t="str">
            <v>Brantas</v>
          </cell>
          <cell r="M141" t="str">
            <v>PHB</v>
          </cell>
          <cell r="N141" t="str">
            <v>-</v>
          </cell>
          <cell r="O141" t="str">
            <v>-</v>
          </cell>
          <cell r="P141" t="str">
            <v>-</v>
          </cell>
        </row>
        <row r="142">
          <cell r="B142">
            <v>350216001</v>
          </cell>
          <cell r="C142" t="str">
            <v>Cakarayam</v>
          </cell>
          <cell r="D142" t="str">
            <v>-</v>
          </cell>
          <cell r="E142" t="str">
            <v>PSDA di Surabaya</v>
          </cell>
          <cell r="F142" t="str">
            <v>Dinoyo</v>
          </cell>
          <cell r="G142" t="str">
            <v>Jatirejo</v>
          </cell>
          <cell r="H142" t="str">
            <v>Mojokerto</v>
          </cell>
          <cell r="I142" t="str">
            <v>'112.4278416</v>
          </cell>
          <cell r="J142" t="str">
            <v>'-7.5915806</v>
          </cell>
          <cell r="K142" t="str">
            <v>-</v>
          </cell>
          <cell r="L142" t="str">
            <v>Brantas</v>
          </cell>
          <cell r="M142" t="str">
            <v>PHB</v>
          </cell>
          <cell r="N142" t="str">
            <v>-</v>
          </cell>
          <cell r="O142" t="str">
            <v>-</v>
          </cell>
          <cell r="P142" t="str">
            <v>-</v>
          </cell>
        </row>
        <row r="143">
          <cell r="B143">
            <v>350216002</v>
          </cell>
          <cell r="C143" t="str">
            <v>Gedeg</v>
          </cell>
          <cell r="D143" t="str">
            <v>-</v>
          </cell>
          <cell r="E143" t="str">
            <v>PSDA di Surabaya</v>
          </cell>
          <cell r="F143" t="str">
            <v>Gedeg</v>
          </cell>
          <cell r="G143" t="str">
            <v>Gedeg</v>
          </cell>
          <cell r="H143" t="str">
            <v>Mojokerto</v>
          </cell>
          <cell r="I143" t="str">
            <v>'112.3928083</v>
          </cell>
          <cell r="J143" t="str">
            <v>'-7.4562972</v>
          </cell>
          <cell r="K143" t="str">
            <v>-</v>
          </cell>
          <cell r="L143" t="str">
            <v>Brantas</v>
          </cell>
          <cell r="M143" t="str">
            <v>PHB</v>
          </cell>
          <cell r="N143" t="str">
            <v>-</v>
          </cell>
          <cell r="O143" t="str">
            <v>-</v>
          </cell>
          <cell r="P143" t="str">
            <v>-</v>
          </cell>
        </row>
        <row r="144">
          <cell r="B144">
            <v>350216003</v>
          </cell>
          <cell r="C144" t="str">
            <v>Janjing</v>
          </cell>
          <cell r="D144" t="str">
            <v>-</v>
          </cell>
          <cell r="E144" t="str">
            <v>PSDA di Surabaya</v>
          </cell>
          <cell r="F144" t="str">
            <v>Kesiman</v>
          </cell>
          <cell r="G144" t="str">
            <v>Trawas</v>
          </cell>
          <cell r="H144" t="str">
            <v>Mojokerto</v>
          </cell>
          <cell r="I144" t="str">
            <v>'112.5820611</v>
          </cell>
          <cell r="J144" t="str">
            <v>'-7.5946444</v>
          </cell>
          <cell r="K144" t="str">
            <v>-</v>
          </cell>
          <cell r="L144" t="str">
            <v>Brantas</v>
          </cell>
          <cell r="M144" t="str">
            <v>PHB</v>
          </cell>
          <cell r="N144" t="str">
            <v>-</v>
          </cell>
          <cell r="O144" t="str">
            <v>-</v>
          </cell>
          <cell r="P144" t="str">
            <v>-</v>
          </cell>
        </row>
        <row r="145">
          <cell r="B145">
            <v>350216004</v>
          </cell>
          <cell r="C145" t="str">
            <v>Kasihan</v>
          </cell>
          <cell r="D145" t="str">
            <v>-</v>
          </cell>
          <cell r="E145" t="str">
            <v>PSDA di Surabaya</v>
          </cell>
          <cell r="F145" t="str">
            <v>Domas</v>
          </cell>
          <cell r="G145" t="str">
            <v>Trowulan</v>
          </cell>
          <cell r="H145" t="str">
            <v>Mojokerto</v>
          </cell>
          <cell r="I145" t="str">
            <v>'112.4143055</v>
          </cell>
          <cell r="J145" t="str">
            <v>'-7.5620194</v>
          </cell>
          <cell r="K145" t="str">
            <v>-</v>
          </cell>
          <cell r="L145" t="str">
            <v>Brantas</v>
          </cell>
          <cell r="M145" t="str">
            <v>PHB</v>
          </cell>
          <cell r="N145" t="str">
            <v>-</v>
          </cell>
          <cell r="O145" t="str">
            <v>-</v>
          </cell>
          <cell r="P145" t="str">
            <v>-</v>
          </cell>
        </row>
        <row r="146">
          <cell r="B146">
            <v>350216005</v>
          </cell>
          <cell r="C146" t="str">
            <v>Ketangi</v>
          </cell>
          <cell r="D146" t="str">
            <v>-</v>
          </cell>
          <cell r="E146" t="str">
            <v>PSDA di Surabaya</v>
          </cell>
          <cell r="F146" t="str">
            <v>Ngembeh</v>
          </cell>
          <cell r="G146" t="str">
            <v>Dlanggu</v>
          </cell>
          <cell r="H146" t="str">
            <v>Mojokerto</v>
          </cell>
          <cell r="I146" t="str">
            <v>'112.4932777</v>
          </cell>
          <cell r="J146" t="str">
            <v>'-7.5663611</v>
          </cell>
          <cell r="K146" t="str">
            <v>-</v>
          </cell>
          <cell r="L146" t="str">
            <v>Brantas</v>
          </cell>
          <cell r="M146" t="str">
            <v>PHB</v>
          </cell>
          <cell r="N146" t="str">
            <v>-</v>
          </cell>
          <cell r="O146" t="str">
            <v>-</v>
          </cell>
          <cell r="P146" t="str">
            <v>-</v>
          </cell>
        </row>
        <row r="147">
          <cell r="B147">
            <v>350216006</v>
          </cell>
          <cell r="C147" t="str">
            <v>Klegen</v>
          </cell>
          <cell r="D147" t="str">
            <v>-</v>
          </cell>
          <cell r="E147" t="str">
            <v>PSDA di Surabaya</v>
          </cell>
          <cell r="F147" t="str">
            <v>Sumbersono</v>
          </cell>
          <cell r="G147" t="str">
            <v>Dlanggu</v>
          </cell>
          <cell r="H147" t="str">
            <v>Mojokerto</v>
          </cell>
          <cell r="I147" t="str">
            <v>'112.4708944</v>
          </cell>
          <cell r="J147" t="str">
            <v>'-7.6002917</v>
          </cell>
          <cell r="K147" t="str">
            <v>-</v>
          </cell>
          <cell r="L147" t="str">
            <v>Brantas</v>
          </cell>
          <cell r="M147" t="str">
            <v>PHB</v>
          </cell>
          <cell r="N147" t="str">
            <v>-</v>
          </cell>
          <cell r="O147" t="str">
            <v>-</v>
          </cell>
          <cell r="P147" t="str">
            <v>-</v>
          </cell>
        </row>
        <row r="148">
          <cell r="B148">
            <v>350216007</v>
          </cell>
          <cell r="C148" t="str">
            <v>Mojosari</v>
          </cell>
          <cell r="D148" t="str">
            <v>-</v>
          </cell>
          <cell r="E148" t="str">
            <v>PSDA di Surabaya</v>
          </cell>
          <cell r="F148" t="str">
            <v>Seduri</v>
          </cell>
          <cell r="G148" t="str">
            <v>Mojosari</v>
          </cell>
          <cell r="H148" t="str">
            <v>Mojokerto</v>
          </cell>
          <cell r="I148" t="str">
            <v>'112.556944</v>
          </cell>
          <cell r="J148" t="str">
            <v>'-7.5154028</v>
          </cell>
          <cell r="K148" t="str">
            <v>-</v>
          </cell>
          <cell r="L148" t="str">
            <v>Brantas</v>
          </cell>
          <cell r="M148" t="str">
            <v>PHB</v>
          </cell>
          <cell r="N148" t="str">
            <v>-</v>
          </cell>
          <cell r="O148" t="str">
            <v>-</v>
          </cell>
          <cell r="P148" t="str">
            <v>-</v>
          </cell>
        </row>
        <row r="149">
          <cell r="B149">
            <v>350216008</v>
          </cell>
          <cell r="C149" t="str">
            <v>Pacet</v>
          </cell>
          <cell r="D149" t="str">
            <v>-</v>
          </cell>
          <cell r="E149" t="str">
            <v>PSDA di Surabaya</v>
          </cell>
          <cell r="F149" t="str">
            <v>Pacet</v>
          </cell>
          <cell r="G149" t="str">
            <v>Pacet</v>
          </cell>
          <cell r="H149" t="str">
            <v>Mojokerto</v>
          </cell>
          <cell r="I149" t="str">
            <v>'112.5312638</v>
          </cell>
          <cell r="J149" t="str">
            <v>'-7.6619778</v>
          </cell>
          <cell r="K149" t="str">
            <v>-</v>
          </cell>
          <cell r="L149" t="str">
            <v>Brantas</v>
          </cell>
          <cell r="M149" t="str">
            <v>PHB</v>
          </cell>
          <cell r="N149" t="str">
            <v>-</v>
          </cell>
          <cell r="O149" t="str">
            <v>-</v>
          </cell>
          <cell r="P149" t="str">
            <v>-</v>
          </cell>
        </row>
        <row r="150">
          <cell r="B150">
            <v>350216009</v>
          </cell>
          <cell r="C150" t="str">
            <v>Pandan</v>
          </cell>
          <cell r="D150" t="str">
            <v>-</v>
          </cell>
          <cell r="E150" t="str">
            <v>PSDA di Surabaya</v>
          </cell>
          <cell r="F150" t="str">
            <v>Pandanarum</v>
          </cell>
          <cell r="G150" t="str">
            <v>Pacet</v>
          </cell>
          <cell r="H150" t="str">
            <v>Mojokerto</v>
          </cell>
          <cell r="I150" t="str">
            <v>'112.53225</v>
          </cell>
          <cell r="J150" t="str">
            <v>'-7.6085833</v>
          </cell>
          <cell r="K150" t="str">
            <v>-</v>
          </cell>
          <cell r="L150" t="str">
            <v>Brantas</v>
          </cell>
          <cell r="M150" t="str">
            <v>PHB</v>
          </cell>
          <cell r="N150" t="str">
            <v>-</v>
          </cell>
          <cell r="O150" t="str">
            <v>-</v>
          </cell>
          <cell r="P150" t="str">
            <v>-</v>
          </cell>
        </row>
        <row r="151">
          <cell r="B151">
            <v>350216010</v>
          </cell>
          <cell r="C151" t="str">
            <v>Pandansili</v>
          </cell>
          <cell r="D151" t="str">
            <v>-</v>
          </cell>
          <cell r="E151" t="str">
            <v>PSDA di Surabaya</v>
          </cell>
          <cell r="F151" t="str">
            <v>Wonorejo</v>
          </cell>
          <cell r="G151" t="str">
            <v>Trowulan</v>
          </cell>
          <cell r="H151" t="str">
            <v>Mojokerto</v>
          </cell>
          <cell r="I151" t="str">
            <v>'112.3879</v>
          </cell>
          <cell r="J151" t="str">
            <v>'-7.5364611</v>
          </cell>
          <cell r="K151" t="str">
            <v>-</v>
          </cell>
          <cell r="L151" t="str">
            <v>Brantas</v>
          </cell>
          <cell r="M151" t="str">
            <v>PHB</v>
          </cell>
          <cell r="N151" t="str">
            <v>-</v>
          </cell>
          <cell r="O151" t="str">
            <v>-</v>
          </cell>
          <cell r="P151" t="str">
            <v>-</v>
          </cell>
        </row>
        <row r="152">
          <cell r="B152">
            <v>350216011</v>
          </cell>
          <cell r="C152" t="str">
            <v>Pasinan</v>
          </cell>
          <cell r="D152" t="str">
            <v>-</v>
          </cell>
          <cell r="E152" t="str">
            <v>PSDA di Surabaya</v>
          </cell>
          <cell r="F152" t="str">
            <v>Pasiran</v>
          </cell>
          <cell r="G152" t="str">
            <v>Bangsal</v>
          </cell>
          <cell r="H152" t="str">
            <v>Mojokerto</v>
          </cell>
          <cell r="I152" t="str">
            <v>'112.450555</v>
          </cell>
          <cell r="J152" t="str">
            <v>'-7.4930556</v>
          </cell>
          <cell r="K152" t="str">
            <v>-</v>
          </cell>
          <cell r="L152" t="str">
            <v>Brantas</v>
          </cell>
          <cell r="M152" t="str">
            <v>PHB</v>
          </cell>
          <cell r="N152" t="str">
            <v>-</v>
          </cell>
          <cell r="O152" t="str">
            <v>-</v>
          </cell>
          <cell r="P152" t="str">
            <v>-</v>
          </cell>
        </row>
        <row r="153">
          <cell r="B153">
            <v>350216012</v>
          </cell>
          <cell r="C153" t="str">
            <v>Pudaksari</v>
          </cell>
          <cell r="D153" t="str">
            <v>-</v>
          </cell>
          <cell r="E153" t="str">
            <v>PSDA di Surabaya</v>
          </cell>
          <cell r="F153" t="str">
            <v>Puloniti</v>
          </cell>
          <cell r="G153" t="str">
            <v>Bangsal</v>
          </cell>
          <cell r="H153" t="str">
            <v>Mojokerto</v>
          </cell>
          <cell r="I153" t="str">
            <v>'112.4868</v>
          </cell>
          <cell r="J153" t="str">
            <v>'-7.5035389</v>
          </cell>
          <cell r="K153" t="str">
            <v>-</v>
          </cell>
          <cell r="L153" t="str">
            <v>Brantas</v>
          </cell>
          <cell r="M153" t="str">
            <v>PHB</v>
          </cell>
          <cell r="N153" t="str">
            <v>-</v>
          </cell>
          <cell r="O153" t="str">
            <v>-</v>
          </cell>
          <cell r="P153" t="str">
            <v>-</v>
          </cell>
        </row>
        <row r="154">
          <cell r="B154">
            <v>350216013</v>
          </cell>
          <cell r="C154" t="str">
            <v>Pugeran</v>
          </cell>
          <cell r="D154" t="str">
            <v>-</v>
          </cell>
          <cell r="E154" t="str">
            <v>PSDA di Surabaya</v>
          </cell>
          <cell r="F154" t="str">
            <v>Padi</v>
          </cell>
          <cell r="G154" t="str">
            <v>Gondang</v>
          </cell>
          <cell r="H154" t="str">
            <v>Mojokerto</v>
          </cell>
          <cell r="I154" t="str">
            <v>'112.5040361</v>
          </cell>
          <cell r="J154" t="str">
            <v>'-7.6238944</v>
          </cell>
          <cell r="K154" t="str">
            <v>-</v>
          </cell>
          <cell r="L154" t="str">
            <v>Brantas</v>
          </cell>
          <cell r="M154" t="str">
            <v>PHB</v>
          </cell>
          <cell r="N154" t="str">
            <v>-</v>
          </cell>
          <cell r="O154" t="str">
            <v>-</v>
          </cell>
          <cell r="P154" t="str">
            <v>-</v>
          </cell>
        </row>
        <row r="155">
          <cell r="B155">
            <v>350216014</v>
          </cell>
          <cell r="C155" t="str">
            <v>Sambiroto</v>
          </cell>
          <cell r="D155" t="str">
            <v>-</v>
          </cell>
          <cell r="E155" t="str">
            <v>PSDA di Surabaya</v>
          </cell>
          <cell r="F155" t="str">
            <v>Gemekan</v>
          </cell>
          <cell r="G155" t="str">
            <v>Sooko</v>
          </cell>
          <cell r="H155" t="str">
            <v>Mojokerto</v>
          </cell>
          <cell r="I155" t="str">
            <v>'112.4021611</v>
          </cell>
          <cell r="J155" t="str">
            <v>'-7.5288333</v>
          </cell>
          <cell r="K155" t="str">
            <v>-</v>
          </cell>
          <cell r="L155" t="str">
            <v>Brantas</v>
          </cell>
          <cell r="M155" t="str">
            <v>PHB</v>
          </cell>
          <cell r="N155" t="str">
            <v>-</v>
          </cell>
          <cell r="O155" t="str">
            <v>-</v>
          </cell>
          <cell r="P155" t="str">
            <v>-</v>
          </cell>
        </row>
        <row r="156">
          <cell r="B156">
            <v>350216015</v>
          </cell>
          <cell r="C156" t="str">
            <v>Sumber Sooko</v>
          </cell>
          <cell r="D156" t="str">
            <v>-</v>
          </cell>
          <cell r="E156" t="str">
            <v>PSDA di Surabaya</v>
          </cell>
          <cell r="F156" t="str">
            <v>Beloh</v>
          </cell>
          <cell r="G156" t="str">
            <v>Trowulan</v>
          </cell>
          <cell r="H156" t="str">
            <v>Mojokerto</v>
          </cell>
          <cell r="I156" t="str">
            <v>'112.3820944</v>
          </cell>
          <cell r="J156" t="str">
            <v>'-7.5560528</v>
          </cell>
          <cell r="K156" t="str">
            <v>-</v>
          </cell>
          <cell r="L156" t="str">
            <v>Brantas</v>
          </cell>
          <cell r="M156" t="str">
            <v>PHB</v>
          </cell>
          <cell r="N156" t="str">
            <v>-</v>
          </cell>
          <cell r="O156" t="str">
            <v>-</v>
          </cell>
          <cell r="P156" t="str">
            <v>-</v>
          </cell>
        </row>
        <row r="157">
          <cell r="B157">
            <v>350216016</v>
          </cell>
          <cell r="C157" t="str">
            <v>Tampung</v>
          </cell>
          <cell r="D157" t="str">
            <v>-</v>
          </cell>
          <cell r="E157" t="str">
            <v>PSDA di Surabaya</v>
          </cell>
          <cell r="F157" t="str">
            <v>Tampungrejo</v>
          </cell>
          <cell r="G157" t="str">
            <v>Puri</v>
          </cell>
          <cell r="H157" t="str">
            <v>Mojokerto</v>
          </cell>
          <cell r="I157" t="str">
            <v>'112.4356388</v>
          </cell>
          <cell r="J157" t="str">
            <v>'-7.5660278</v>
          </cell>
          <cell r="K157" t="str">
            <v>-</v>
          </cell>
          <cell r="L157" t="str">
            <v>Brantas</v>
          </cell>
          <cell r="M157" t="str">
            <v>PHB</v>
          </cell>
          <cell r="N157" t="str">
            <v>-</v>
          </cell>
          <cell r="O157" t="str">
            <v>-</v>
          </cell>
          <cell r="P157" t="str">
            <v>-</v>
          </cell>
        </row>
        <row r="158">
          <cell r="B158">
            <v>350216017</v>
          </cell>
          <cell r="C158" t="str">
            <v>Tangunan</v>
          </cell>
          <cell r="D158" t="str">
            <v>-</v>
          </cell>
          <cell r="E158" t="str">
            <v>PSDA di Surabaya</v>
          </cell>
          <cell r="F158" t="str">
            <v>Tangunan</v>
          </cell>
          <cell r="G158" t="str">
            <v>Puri</v>
          </cell>
          <cell r="H158" t="str">
            <v>Mojokerto</v>
          </cell>
          <cell r="I158" t="str">
            <v>'112.464294</v>
          </cell>
          <cell r="J158" t="str">
            <v>'-7.5432417</v>
          </cell>
          <cell r="K158" t="str">
            <v>-</v>
          </cell>
          <cell r="L158" t="str">
            <v>Brantas</v>
          </cell>
          <cell r="M158" t="str">
            <v>PHB</v>
          </cell>
          <cell r="N158" t="str">
            <v>-</v>
          </cell>
          <cell r="O158" t="str">
            <v>-</v>
          </cell>
          <cell r="P158" t="str">
            <v>-</v>
          </cell>
        </row>
        <row r="159">
          <cell r="B159">
            <v>350216018</v>
          </cell>
          <cell r="C159" t="str">
            <v>Terusan</v>
          </cell>
          <cell r="D159" t="str">
            <v>-</v>
          </cell>
          <cell r="E159" t="str">
            <v>PSDA di Surabaya</v>
          </cell>
          <cell r="F159" t="str">
            <v>Magersari</v>
          </cell>
          <cell r="G159" t="str">
            <v>Magersari</v>
          </cell>
          <cell r="H159" t="str">
            <v>Kota Mojokerto</v>
          </cell>
          <cell r="I159" t="str">
            <v>'112.4323111</v>
          </cell>
          <cell r="J159" t="str">
            <v>'-7.46095</v>
          </cell>
          <cell r="K159" t="str">
            <v>-</v>
          </cell>
          <cell r="L159" t="str">
            <v>Brantas</v>
          </cell>
          <cell r="M159" t="str">
            <v>PHB</v>
          </cell>
          <cell r="N159" t="str">
            <v>-</v>
          </cell>
          <cell r="O159" t="str">
            <v>-</v>
          </cell>
          <cell r="P159" t="str">
            <v>-</v>
          </cell>
        </row>
        <row r="160">
          <cell r="B160">
            <v>350216019</v>
          </cell>
          <cell r="C160" t="str">
            <v>Trawas</v>
          </cell>
          <cell r="D160" t="str">
            <v>-</v>
          </cell>
          <cell r="E160" t="str">
            <v>PSDA di Surabaya</v>
          </cell>
          <cell r="F160" t="str">
            <v>Trawas</v>
          </cell>
          <cell r="G160" t="str">
            <v>Trawas</v>
          </cell>
          <cell r="H160" t="str">
            <v>Mojokerto</v>
          </cell>
          <cell r="I160" t="str">
            <v>'112.591522</v>
          </cell>
          <cell r="J160" t="str">
            <v>'-7.6580972</v>
          </cell>
          <cell r="K160" t="str">
            <v>-</v>
          </cell>
          <cell r="L160" t="str">
            <v>Brantas</v>
          </cell>
          <cell r="M160" t="str">
            <v>PHB</v>
          </cell>
          <cell r="N160" t="str">
            <v>-</v>
          </cell>
          <cell r="O160" t="str">
            <v>-</v>
          </cell>
          <cell r="P160" t="str">
            <v>-</v>
          </cell>
        </row>
        <row r="161">
          <cell r="B161">
            <v>350216020</v>
          </cell>
          <cell r="C161" t="str">
            <v>Trowulan</v>
          </cell>
          <cell r="D161" t="str">
            <v>-</v>
          </cell>
          <cell r="E161" t="str">
            <v>PSDA di Surabaya</v>
          </cell>
          <cell r="F161" t="str">
            <v>Trowulan</v>
          </cell>
          <cell r="G161" t="str">
            <v>Trowulan</v>
          </cell>
          <cell r="H161" t="str">
            <v>Mojokerto</v>
          </cell>
          <cell r="I161" t="str">
            <v>'112.39733055</v>
          </cell>
          <cell r="J161" t="str">
            <v>'-7.5586583</v>
          </cell>
          <cell r="K161" t="str">
            <v>-</v>
          </cell>
          <cell r="L161" t="str">
            <v>Brantas</v>
          </cell>
          <cell r="M161" t="str">
            <v>PHB</v>
          </cell>
          <cell r="N161" t="str">
            <v>-</v>
          </cell>
          <cell r="O161" t="str">
            <v>-</v>
          </cell>
          <cell r="P161" t="str">
            <v>-</v>
          </cell>
        </row>
        <row r="162">
          <cell r="B162">
            <v>350216021</v>
          </cell>
          <cell r="C162" t="str">
            <v>Wates</v>
          </cell>
          <cell r="D162" t="str">
            <v>-</v>
          </cell>
          <cell r="E162" t="str">
            <v>PSDA di Surabaya</v>
          </cell>
          <cell r="F162" t="str">
            <v>Centong</v>
          </cell>
          <cell r="G162" t="str">
            <v>Gondang</v>
          </cell>
          <cell r="H162" t="str">
            <v>Mojokerto</v>
          </cell>
          <cell r="I162" t="str">
            <v>'112.4323277</v>
          </cell>
          <cell r="J162" t="str">
            <v>'-7.4116694</v>
          </cell>
          <cell r="K162" t="str">
            <v>-</v>
          </cell>
          <cell r="L162" t="str">
            <v>Brantas</v>
          </cell>
          <cell r="M162" t="str">
            <v>PHB</v>
          </cell>
          <cell r="N162" t="str">
            <v>-</v>
          </cell>
          <cell r="O162" t="str">
            <v>-</v>
          </cell>
          <cell r="P162" t="str">
            <v>-</v>
          </cell>
        </row>
        <row r="163">
          <cell r="B163">
            <v>350216022</v>
          </cell>
          <cell r="C163" t="str">
            <v>Mernung</v>
          </cell>
          <cell r="D163" t="str">
            <v>-</v>
          </cell>
          <cell r="E163" t="str">
            <v>PSDA di Surabaya</v>
          </cell>
          <cell r="F163" t="str">
            <v>Sumbernongko</v>
          </cell>
          <cell r="G163" t="str">
            <v>Ngusikan</v>
          </cell>
          <cell r="H163" t="str">
            <v>Jombang</v>
          </cell>
          <cell r="I163" t="str">
            <v>'112.3271472</v>
          </cell>
          <cell r="J163" t="str">
            <v>'-7.4260361</v>
          </cell>
          <cell r="K163" t="str">
            <v>-</v>
          </cell>
          <cell r="L163" t="str">
            <v>Brantas</v>
          </cell>
          <cell r="M163" t="str">
            <v>PHB</v>
          </cell>
          <cell r="N163" t="str">
            <v>-</v>
          </cell>
          <cell r="O163" t="str">
            <v>-</v>
          </cell>
          <cell r="P163" t="str">
            <v>-</v>
          </cell>
        </row>
        <row r="164">
          <cell r="B164">
            <v>350216023</v>
          </cell>
          <cell r="C164" t="str">
            <v>Manting</v>
          </cell>
          <cell r="D164" t="str">
            <v>-</v>
          </cell>
          <cell r="E164" t="str">
            <v>PSDA di Surabaya</v>
          </cell>
          <cell r="F164" t="str">
            <v>Bleberan</v>
          </cell>
          <cell r="G164" t="str">
            <v>Jatirejo</v>
          </cell>
          <cell r="H164" t="str">
            <v>Mojokerto</v>
          </cell>
          <cell r="I164" t="str">
            <v>'112.4409166</v>
          </cell>
          <cell r="J164" t="str">
            <v>'-7.6305611</v>
          </cell>
          <cell r="K164" t="str">
            <v>-</v>
          </cell>
          <cell r="L164" t="str">
            <v>Brantas</v>
          </cell>
          <cell r="M164" t="str">
            <v>PHB</v>
          </cell>
          <cell r="N164" t="str">
            <v>-</v>
          </cell>
          <cell r="O164" t="str">
            <v>-</v>
          </cell>
          <cell r="P164" t="str">
            <v>-</v>
          </cell>
        </row>
        <row r="165">
          <cell r="B165">
            <v>350216024</v>
          </cell>
          <cell r="C165" t="str">
            <v>Padusan</v>
          </cell>
          <cell r="D165" t="str">
            <v>-</v>
          </cell>
          <cell r="E165" t="str">
            <v>PSDA di Surabaya</v>
          </cell>
          <cell r="F165" t="str">
            <v>Padusan</v>
          </cell>
          <cell r="G165" t="str">
            <v>Pacet</v>
          </cell>
          <cell r="H165" t="str">
            <v>Mojokerto</v>
          </cell>
          <cell r="I165" t="str">
            <v>'112.54206944</v>
          </cell>
          <cell r="J165" t="str">
            <v>'-7.6815028</v>
          </cell>
          <cell r="K165" t="str">
            <v>-</v>
          </cell>
          <cell r="L165" t="str">
            <v>Brantas</v>
          </cell>
          <cell r="M165" t="str">
            <v>PHB</v>
          </cell>
          <cell r="N165" t="str">
            <v>-</v>
          </cell>
          <cell r="O165" t="str">
            <v>-</v>
          </cell>
          <cell r="P165" t="str">
            <v>-</v>
          </cell>
        </row>
        <row r="166">
          <cell r="B166">
            <v>350216025</v>
          </cell>
          <cell r="C166" t="str">
            <v>Sukosari</v>
          </cell>
          <cell r="D166" t="str">
            <v>-</v>
          </cell>
          <cell r="E166" t="str">
            <v>PSDA di Surabaya</v>
          </cell>
          <cell r="F166" t="str">
            <v>Sukosari</v>
          </cell>
          <cell r="G166" t="str">
            <v>Trawas</v>
          </cell>
          <cell r="H166" t="str">
            <v>Mojokerto</v>
          </cell>
          <cell r="I166" t="str">
            <v>'112.577688</v>
          </cell>
          <cell r="J166" t="str">
            <v>'-7.6451944</v>
          </cell>
          <cell r="K166" t="str">
            <v>-</v>
          </cell>
          <cell r="L166" t="str">
            <v>Brantas</v>
          </cell>
          <cell r="M166" t="str">
            <v>PHB</v>
          </cell>
          <cell r="N166" t="str">
            <v>-</v>
          </cell>
          <cell r="O166" t="str">
            <v>-</v>
          </cell>
          <cell r="P166" t="str">
            <v>-</v>
          </cell>
        </row>
        <row r="167">
          <cell r="B167">
            <v>350216026</v>
          </cell>
          <cell r="C167" t="str">
            <v>Simongagrok</v>
          </cell>
          <cell r="D167" t="str">
            <v>-</v>
          </cell>
          <cell r="E167" t="str">
            <v>PSDA di Surabaya</v>
          </cell>
          <cell r="F167" t="str">
            <v>Simongagrok</v>
          </cell>
          <cell r="G167" t="str">
            <v>Dawarblandong</v>
          </cell>
          <cell r="H167" t="str">
            <v>Mojokerto</v>
          </cell>
          <cell r="I167" t="str">
            <v>'112.54028</v>
          </cell>
          <cell r="J167" t="str">
            <v>'-7.50694</v>
          </cell>
          <cell r="K167" t="str">
            <v>-</v>
          </cell>
          <cell r="L167" t="str">
            <v>Brantas</v>
          </cell>
          <cell r="M167" t="str">
            <v>PHB</v>
          </cell>
          <cell r="N167" t="str">
            <v>-</v>
          </cell>
          <cell r="O167" t="str">
            <v>-</v>
          </cell>
          <cell r="P167" t="str">
            <v>-</v>
          </cell>
        </row>
        <row r="168">
          <cell r="B168">
            <v>350278001</v>
          </cell>
          <cell r="C168" t="str">
            <v>Gubeng</v>
          </cell>
          <cell r="D168" t="str">
            <v>-</v>
          </cell>
          <cell r="E168" t="str">
            <v>PSDA di Surabaya</v>
          </cell>
          <cell r="F168" t="str">
            <v>Ketabang</v>
          </cell>
          <cell r="G168" t="str">
            <v>Genteng</v>
          </cell>
          <cell r="H168" t="str">
            <v>Kota Surabaya</v>
          </cell>
          <cell r="I168" t="str">
            <v>'112.750150</v>
          </cell>
          <cell r="J168" t="str">
            <v>'-7.26740088</v>
          </cell>
          <cell r="K168" t="str">
            <v>-</v>
          </cell>
          <cell r="L168" t="str">
            <v>Brantas</v>
          </cell>
          <cell r="M168" t="str">
            <v>PHB</v>
          </cell>
          <cell r="N168" t="str">
            <v>-</v>
          </cell>
          <cell r="O168" t="str">
            <v>-</v>
          </cell>
          <cell r="P168" t="str">
            <v>-</v>
          </cell>
        </row>
        <row r="169">
          <cell r="B169">
            <v>350278002</v>
          </cell>
          <cell r="C169" t="str">
            <v>Gunungsari</v>
          </cell>
          <cell r="D169" t="str">
            <v>-</v>
          </cell>
          <cell r="E169" t="str">
            <v>PSDA di Surabaya</v>
          </cell>
          <cell r="F169" t="str">
            <v>Gunung Sari</v>
          </cell>
          <cell r="G169" t="str">
            <v>Dukuhpakis</v>
          </cell>
          <cell r="H169" t="str">
            <v>Kota Surabaya</v>
          </cell>
          <cell r="I169" t="str">
            <v>'112.71721944</v>
          </cell>
          <cell r="J169" t="str">
            <v>'-7.3050556</v>
          </cell>
          <cell r="K169" t="str">
            <v>-</v>
          </cell>
          <cell r="L169" t="str">
            <v>Brantas</v>
          </cell>
          <cell r="M169" t="str">
            <v>PHB</v>
          </cell>
          <cell r="N169" t="str">
            <v>-</v>
          </cell>
          <cell r="O169" t="str">
            <v>-</v>
          </cell>
          <cell r="P169" t="str">
            <v>-</v>
          </cell>
        </row>
        <row r="170">
          <cell r="B170">
            <v>350278003</v>
          </cell>
          <cell r="C170" t="str">
            <v>Kandangan</v>
          </cell>
          <cell r="D170" t="str">
            <v>-</v>
          </cell>
          <cell r="E170" t="str">
            <v>PSDA di Surabaya</v>
          </cell>
          <cell r="F170" t="str">
            <v>Kandangan</v>
          </cell>
          <cell r="G170" t="str">
            <v>Benowo</v>
          </cell>
          <cell r="H170" t="str">
            <v>Kota Surabaya</v>
          </cell>
          <cell r="I170" t="str">
            <v>'112.655000</v>
          </cell>
          <cell r="J170" t="str">
            <v>'-7.2533333</v>
          </cell>
          <cell r="K170" t="str">
            <v>-</v>
          </cell>
          <cell r="L170" t="str">
            <v>Brantas</v>
          </cell>
          <cell r="M170" t="str">
            <v>PHB</v>
          </cell>
          <cell r="N170" t="str">
            <v>-</v>
          </cell>
          <cell r="O170" t="str">
            <v>-</v>
          </cell>
          <cell r="P170" t="str">
            <v>-</v>
          </cell>
        </row>
        <row r="171">
          <cell r="B171">
            <v>350278004</v>
          </cell>
          <cell r="C171" t="str">
            <v>Kebonagung</v>
          </cell>
          <cell r="D171" t="str">
            <v>-</v>
          </cell>
          <cell r="E171" t="str">
            <v>PSDA di Surabaya</v>
          </cell>
          <cell r="F171" t="str">
            <v>Kebonsari</v>
          </cell>
          <cell r="G171" t="str">
            <v>Jambangan</v>
          </cell>
          <cell r="H171" t="str">
            <v>Kota Surabaya</v>
          </cell>
          <cell r="I171" t="str">
            <v>'112.710833</v>
          </cell>
          <cell r="J171" t="str">
            <v>'-7.327500</v>
          </cell>
          <cell r="K171" t="str">
            <v>-</v>
          </cell>
          <cell r="L171" t="str">
            <v>Brantas</v>
          </cell>
          <cell r="M171" t="str">
            <v>PHB</v>
          </cell>
          <cell r="N171" t="str">
            <v>-</v>
          </cell>
          <cell r="O171" t="str">
            <v>-</v>
          </cell>
          <cell r="P171" t="str">
            <v>-</v>
          </cell>
        </row>
        <row r="172">
          <cell r="B172">
            <v>350278005</v>
          </cell>
          <cell r="C172" t="str">
            <v>Keputih</v>
          </cell>
          <cell r="D172" t="str">
            <v>-</v>
          </cell>
          <cell r="E172" t="str">
            <v>PSDA di Surabaya</v>
          </cell>
          <cell r="F172" t="str">
            <v>Keputih</v>
          </cell>
          <cell r="G172" t="str">
            <v>Sukolilo</v>
          </cell>
          <cell r="H172" t="str">
            <v>Kota Surabaya</v>
          </cell>
          <cell r="I172" t="str">
            <v>'112.8025</v>
          </cell>
          <cell r="J172" t="str">
            <v>'-7.28500</v>
          </cell>
          <cell r="K172" t="str">
            <v>-</v>
          </cell>
          <cell r="L172" t="str">
            <v>Brantas</v>
          </cell>
          <cell r="M172" t="str">
            <v>PHB</v>
          </cell>
          <cell r="N172" t="str">
            <v>-</v>
          </cell>
          <cell r="O172" t="str">
            <v>-</v>
          </cell>
          <cell r="P172" t="str">
            <v>-</v>
          </cell>
        </row>
        <row r="173">
          <cell r="B173">
            <v>350278006</v>
          </cell>
          <cell r="C173" t="str">
            <v>Larangan SBY</v>
          </cell>
          <cell r="D173" t="str">
            <v>-</v>
          </cell>
          <cell r="E173" t="str">
            <v>PSDA di Surabaya</v>
          </cell>
          <cell r="F173" t="str">
            <v>Sukolilo</v>
          </cell>
          <cell r="G173" t="str">
            <v>Sukolilo</v>
          </cell>
          <cell r="H173" t="str">
            <v>Kota Surabaya</v>
          </cell>
          <cell r="I173" t="str">
            <v>'112.798611</v>
          </cell>
          <cell r="J173" t="str">
            <v>'-7.2436111</v>
          </cell>
          <cell r="K173" t="str">
            <v>-</v>
          </cell>
          <cell r="L173" t="str">
            <v>Brantas</v>
          </cell>
          <cell r="M173" t="str">
            <v>PHB</v>
          </cell>
          <cell r="N173" t="str">
            <v>-</v>
          </cell>
          <cell r="O173" t="str">
            <v>-</v>
          </cell>
          <cell r="P173" t="str">
            <v>-</v>
          </cell>
        </row>
        <row r="174">
          <cell r="B174">
            <v>350278007</v>
          </cell>
          <cell r="C174" t="str">
            <v>Perak</v>
          </cell>
          <cell r="D174" t="str">
            <v>-</v>
          </cell>
          <cell r="E174" t="str">
            <v>PSDA di Surabaya</v>
          </cell>
          <cell r="F174" t="str">
            <v>Tanjung Perak</v>
          </cell>
          <cell r="G174" t="str">
            <v>Krembangan</v>
          </cell>
          <cell r="H174" t="str">
            <v>Kota Surabaya</v>
          </cell>
          <cell r="I174" t="str">
            <v>'112.7238888</v>
          </cell>
          <cell r="J174" t="str">
            <v>'-7.22361111</v>
          </cell>
          <cell r="K174" t="str">
            <v>-</v>
          </cell>
          <cell r="L174" t="str">
            <v>Brantas</v>
          </cell>
          <cell r="M174" t="str">
            <v>PHB</v>
          </cell>
          <cell r="N174" t="str">
            <v>-</v>
          </cell>
          <cell r="O174" t="str">
            <v>-</v>
          </cell>
          <cell r="P174" t="str">
            <v>-</v>
          </cell>
        </row>
        <row r="175">
          <cell r="B175">
            <v>350278008</v>
          </cell>
          <cell r="C175" t="str">
            <v>Simo_SBY</v>
          </cell>
          <cell r="D175" t="str">
            <v>-</v>
          </cell>
          <cell r="E175" t="str">
            <v>PSDA di Surabaya</v>
          </cell>
          <cell r="F175" t="str">
            <v>Simomulyo</v>
          </cell>
          <cell r="G175" t="str">
            <v>Sukomanunggal</v>
          </cell>
          <cell r="H175" t="str">
            <v>Kota Surabaya</v>
          </cell>
          <cell r="I175" t="str">
            <v>'112.676944</v>
          </cell>
          <cell r="J175" t="str">
            <v>'-7.2583333</v>
          </cell>
          <cell r="K175" t="str">
            <v>-</v>
          </cell>
          <cell r="L175" t="str">
            <v>Brantas</v>
          </cell>
          <cell r="M175" t="str">
            <v>PHB</v>
          </cell>
          <cell r="N175" t="str">
            <v>-</v>
          </cell>
          <cell r="O175" t="str">
            <v>-</v>
          </cell>
          <cell r="P175" t="str">
            <v>-</v>
          </cell>
        </row>
        <row r="176">
          <cell r="B176">
            <v>350278009</v>
          </cell>
          <cell r="C176" t="str">
            <v>Wonokromo</v>
          </cell>
          <cell r="D176" t="str">
            <v>-</v>
          </cell>
          <cell r="E176" t="str">
            <v>PSDA di Surabaya</v>
          </cell>
          <cell r="F176" t="str">
            <v>Ngagel</v>
          </cell>
          <cell r="G176" t="str">
            <v>Wonokromo</v>
          </cell>
          <cell r="H176" t="str">
            <v>Kota Surabaya</v>
          </cell>
          <cell r="I176" t="str">
            <v>'112.7394167</v>
          </cell>
          <cell r="J176" t="str">
            <v>'-7.3000278</v>
          </cell>
          <cell r="K176" t="str">
            <v>-</v>
          </cell>
          <cell r="L176" t="str">
            <v>Brantas</v>
          </cell>
          <cell r="M176" t="str">
            <v>PHB</v>
          </cell>
          <cell r="N176" t="str">
            <v>-</v>
          </cell>
          <cell r="O176" t="str">
            <v>-</v>
          </cell>
          <cell r="P176" t="str">
            <v>-</v>
          </cell>
        </row>
        <row r="177">
          <cell r="B177">
            <v>350278010</v>
          </cell>
          <cell r="C177" t="str">
            <v>Wonorejo SBY</v>
          </cell>
          <cell r="D177" t="str">
            <v>-</v>
          </cell>
          <cell r="E177" t="str">
            <v>PSDA di Surabaya</v>
          </cell>
          <cell r="F177" t="str">
            <v>Wonorejo</v>
          </cell>
          <cell r="G177" t="str">
            <v>Rungkut</v>
          </cell>
          <cell r="H177" t="str">
            <v>Kota Surabaya</v>
          </cell>
          <cell r="I177" t="str">
            <v>'112.79722222</v>
          </cell>
          <cell r="J177" t="str">
            <v>'-7.3080556</v>
          </cell>
          <cell r="K177" t="str">
            <v>-</v>
          </cell>
          <cell r="L177" t="str">
            <v>Brantas</v>
          </cell>
          <cell r="M177" t="str">
            <v>PHB</v>
          </cell>
          <cell r="N177" t="str">
            <v>-</v>
          </cell>
          <cell r="O177" t="str">
            <v>-</v>
          </cell>
          <cell r="P177" t="str">
            <v>-</v>
          </cell>
        </row>
        <row r="178">
          <cell r="B178">
            <v>350278011</v>
          </cell>
          <cell r="C178" t="str">
            <v>Kedungcowek</v>
          </cell>
          <cell r="D178" t="str">
            <v>-</v>
          </cell>
          <cell r="E178" t="str">
            <v>PSDA di Surabaya</v>
          </cell>
          <cell r="F178" t="str">
            <v>Gading</v>
          </cell>
          <cell r="G178" t="str">
            <v>Tambaksari</v>
          </cell>
          <cell r="H178" t="str">
            <v>Kota Surabaya</v>
          </cell>
          <cell r="I178" t="str">
            <v>'112.768888</v>
          </cell>
          <cell r="J178" t="str">
            <v>'-7.242500</v>
          </cell>
          <cell r="K178" t="str">
            <v>-</v>
          </cell>
          <cell r="L178" t="str">
            <v>Brantas</v>
          </cell>
          <cell r="M178" t="str">
            <v>PHB</v>
          </cell>
          <cell r="N178" t="str">
            <v>-</v>
          </cell>
          <cell r="O178" t="str">
            <v>-</v>
          </cell>
          <cell r="P178" t="str">
            <v>-</v>
          </cell>
        </row>
        <row r="179">
          <cell r="B179">
            <v>350307001</v>
          </cell>
          <cell r="C179" t="str">
            <v>Lawang</v>
          </cell>
          <cell r="D179" t="str">
            <v>-</v>
          </cell>
          <cell r="E179" t="str">
            <v>PSDA di Pasuruan</v>
          </cell>
          <cell r="F179" t="str">
            <v>Lawang</v>
          </cell>
          <cell r="G179" t="str">
            <v>Lawang</v>
          </cell>
          <cell r="H179" t="str">
            <v>Malang</v>
          </cell>
          <cell r="I179" t="str">
            <v>'112.69763</v>
          </cell>
          <cell r="J179" t="str">
            <v>'-7.83280</v>
          </cell>
          <cell r="K179" t="str">
            <v>-</v>
          </cell>
          <cell r="L179" t="str">
            <v>Welang Rejoso</v>
          </cell>
          <cell r="M179" t="str">
            <v>PHB</v>
          </cell>
          <cell r="N179" t="str">
            <v>-</v>
          </cell>
          <cell r="O179" t="str">
            <v>-</v>
          </cell>
          <cell r="P179" t="str">
            <v>-</v>
          </cell>
        </row>
        <row r="180">
          <cell r="B180">
            <v>350313001</v>
          </cell>
          <cell r="C180" t="str">
            <v>Lumbang Prob.</v>
          </cell>
          <cell r="D180" t="str">
            <v>-</v>
          </cell>
          <cell r="E180" t="str">
            <v>PSDA di Pasuruan</v>
          </cell>
          <cell r="F180" t="str">
            <v>Lumbang</v>
          </cell>
          <cell r="G180" t="str">
            <v>Lumbang</v>
          </cell>
          <cell r="H180" t="str">
            <v>Probolinggo</v>
          </cell>
          <cell r="I180" t="str">
            <v>'113.0662758</v>
          </cell>
          <cell r="J180" t="str">
            <v>'-7.822561</v>
          </cell>
          <cell r="K180" t="str">
            <v>-</v>
          </cell>
          <cell r="L180" t="str">
            <v>Welang Rejoso</v>
          </cell>
          <cell r="M180" t="str">
            <v>PHB</v>
          </cell>
          <cell r="N180" t="str">
            <v>-</v>
          </cell>
          <cell r="O180" t="str">
            <v>-</v>
          </cell>
          <cell r="P180" t="str">
            <v>-</v>
          </cell>
        </row>
        <row r="181">
          <cell r="B181">
            <v>350313002</v>
          </cell>
          <cell r="C181" t="str">
            <v>Muneng</v>
          </cell>
          <cell r="D181" t="str">
            <v>-</v>
          </cell>
          <cell r="E181" t="str">
            <v>PSDA di Pasuruan</v>
          </cell>
          <cell r="F181" t="str">
            <v>Muneng</v>
          </cell>
          <cell r="G181" t="str">
            <v>Sumberasih</v>
          </cell>
          <cell r="H181" t="str">
            <v>Probolinggo</v>
          </cell>
          <cell r="I181" t="str">
            <v>'113.16350</v>
          </cell>
          <cell r="J181" t="str">
            <v>'-7.79136</v>
          </cell>
          <cell r="K181" t="str">
            <v>-</v>
          </cell>
          <cell r="L181" t="str">
            <v>Welang Rejoso</v>
          </cell>
          <cell r="M181" t="str">
            <v>PHB</v>
          </cell>
          <cell r="N181" t="str">
            <v>-</v>
          </cell>
          <cell r="O181" t="str">
            <v>-</v>
          </cell>
          <cell r="P181" t="str">
            <v>-</v>
          </cell>
        </row>
        <row r="182">
          <cell r="B182">
            <v>350313003</v>
          </cell>
          <cell r="C182" t="str">
            <v>Patalan</v>
          </cell>
          <cell r="D182" t="str">
            <v>-</v>
          </cell>
          <cell r="E182" t="str">
            <v>PSDA di Pasuruan</v>
          </cell>
          <cell r="F182" t="str">
            <v>Patalan</v>
          </cell>
          <cell r="G182" t="str">
            <v>Wonorejo</v>
          </cell>
          <cell r="H182" t="str">
            <v>Probolinggo</v>
          </cell>
          <cell r="I182" t="str">
            <v>'113.14366</v>
          </cell>
          <cell r="J182" t="str">
            <v>'-7.83984</v>
          </cell>
          <cell r="K182" t="str">
            <v>-</v>
          </cell>
          <cell r="L182" t="str">
            <v>Welang Rejoso</v>
          </cell>
          <cell r="M182" t="str">
            <v>PHB</v>
          </cell>
          <cell r="N182" t="str">
            <v>-</v>
          </cell>
          <cell r="O182" t="str">
            <v>-</v>
          </cell>
          <cell r="P182" t="str">
            <v>-</v>
          </cell>
        </row>
        <row r="183">
          <cell r="B183">
            <v>350313004</v>
          </cell>
          <cell r="C183" t="str">
            <v>Bayeman</v>
          </cell>
          <cell r="D183" t="str">
            <v>-</v>
          </cell>
          <cell r="E183" t="str">
            <v>PSDA di Pasuruan</v>
          </cell>
          <cell r="F183" t="str">
            <v>Bayeman</v>
          </cell>
          <cell r="G183" t="str">
            <v>Wonorejo</v>
          </cell>
          <cell r="H183" t="str">
            <v>Probolinggo</v>
          </cell>
          <cell r="I183" t="str">
            <v>'113.11996</v>
          </cell>
          <cell r="J183" t="str">
            <v>'-7.73795</v>
          </cell>
          <cell r="K183" t="str">
            <v>-</v>
          </cell>
          <cell r="L183" t="str">
            <v>Welang Rejoso</v>
          </cell>
          <cell r="M183" t="str">
            <v>PHB</v>
          </cell>
          <cell r="N183" t="str">
            <v>-</v>
          </cell>
          <cell r="O183" t="str">
            <v>-</v>
          </cell>
          <cell r="P183" t="str">
            <v>-</v>
          </cell>
        </row>
        <row r="184">
          <cell r="B184">
            <v>350313005</v>
          </cell>
          <cell r="C184" t="str">
            <v>Boto</v>
          </cell>
          <cell r="D184" t="str">
            <v>-</v>
          </cell>
          <cell r="E184" t="str">
            <v>PSDA di Pasuruan</v>
          </cell>
          <cell r="F184" t="str">
            <v>Boto</v>
          </cell>
          <cell r="G184" t="str">
            <v>Lumbang</v>
          </cell>
          <cell r="H184" t="str">
            <v>Probolinggo</v>
          </cell>
          <cell r="I184" t="str">
            <v>'113.11378</v>
          </cell>
          <cell r="J184" t="str">
            <v>'-7.84854</v>
          </cell>
          <cell r="K184" t="str">
            <v>-</v>
          </cell>
          <cell r="L184" t="str">
            <v>Welang Rejoso</v>
          </cell>
          <cell r="M184" t="str">
            <v>PHB</v>
          </cell>
          <cell r="N184" t="str">
            <v>-</v>
          </cell>
          <cell r="O184" t="str">
            <v>-</v>
          </cell>
          <cell r="P184" t="str">
            <v>-</v>
          </cell>
        </row>
        <row r="185">
          <cell r="B185">
            <v>350313006</v>
          </cell>
          <cell r="C185" t="str">
            <v>Krasak</v>
          </cell>
          <cell r="D185" t="str">
            <v>-</v>
          </cell>
          <cell r="E185" t="str">
            <v>PSDA di Pasuruan</v>
          </cell>
          <cell r="F185" t="str">
            <v>Pohsangit Ngisor</v>
          </cell>
          <cell r="G185" t="str">
            <v>Wonomerto</v>
          </cell>
          <cell r="H185" t="str">
            <v>Probolinggo</v>
          </cell>
          <cell r="I185" t="str">
            <v>'113.16309</v>
          </cell>
          <cell r="J185" t="str">
            <v>'-7.82603</v>
          </cell>
          <cell r="K185" t="str">
            <v>-</v>
          </cell>
          <cell r="L185" t="str">
            <v>Welang Rejoso</v>
          </cell>
          <cell r="M185" t="str">
            <v>PHB</v>
          </cell>
          <cell r="N185" t="str">
            <v>-</v>
          </cell>
          <cell r="O185" t="str">
            <v>-</v>
          </cell>
          <cell r="P185" t="str">
            <v>-</v>
          </cell>
        </row>
        <row r="186">
          <cell r="B186">
            <v>350313007</v>
          </cell>
          <cell r="C186" t="str">
            <v>Jetak</v>
          </cell>
          <cell r="D186" t="str">
            <v>-</v>
          </cell>
          <cell r="E186" t="str">
            <v>PSDA di Pasuruan</v>
          </cell>
          <cell r="F186" t="str">
            <v>Jetak</v>
          </cell>
          <cell r="G186" t="str">
            <v>Sukapura</v>
          </cell>
          <cell r="H186" t="str">
            <v>Probolinggo</v>
          </cell>
          <cell r="I186" t="str">
            <v>'112.987897</v>
          </cell>
          <cell r="J186" t="str">
            <v>'-7.9159685</v>
          </cell>
          <cell r="K186" t="str">
            <v>-</v>
          </cell>
          <cell r="L186" t="str">
            <v>Welang Rejoso</v>
          </cell>
          <cell r="M186" t="str">
            <v>PHB</v>
          </cell>
          <cell r="N186" t="str">
            <v>-</v>
          </cell>
          <cell r="O186" t="str">
            <v>-</v>
          </cell>
          <cell r="P186" t="str">
            <v>-</v>
          </cell>
        </row>
        <row r="187">
          <cell r="B187">
            <v>350313008</v>
          </cell>
          <cell r="C187" t="str">
            <v>Gemito / Tukul</v>
          </cell>
          <cell r="D187" t="str">
            <v>-</v>
          </cell>
          <cell r="E187" t="str">
            <v>PSDA di Pasuruan</v>
          </cell>
          <cell r="F187" t="str">
            <v>Tukul</v>
          </cell>
          <cell r="G187" t="str">
            <v>Sumber</v>
          </cell>
          <cell r="H187" t="str">
            <v>Probolinggo</v>
          </cell>
          <cell r="I187" t="str">
            <v>'113.10989</v>
          </cell>
          <cell r="J187" t="str">
            <v>'-7.92018</v>
          </cell>
          <cell r="K187" t="str">
            <v>-</v>
          </cell>
          <cell r="L187" t="str">
            <v>Welang Rejoso</v>
          </cell>
          <cell r="M187" t="str">
            <v>PHB</v>
          </cell>
          <cell r="N187" t="str">
            <v>-</v>
          </cell>
          <cell r="O187" t="str">
            <v>-</v>
          </cell>
          <cell r="P187" t="str">
            <v>-</v>
          </cell>
        </row>
        <row r="188">
          <cell r="B188">
            <v>350313009</v>
          </cell>
          <cell r="C188" t="str">
            <v>Nogorejo</v>
          </cell>
          <cell r="D188" t="str">
            <v>-</v>
          </cell>
          <cell r="E188" t="str">
            <v>PSDA di Pasuruan</v>
          </cell>
          <cell r="F188" t="str">
            <v>Negororejo</v>
          </cell>
          <cell r="G188" t="str">
            <v>Lumbang</v>
          </cell>
          <cell r="H188" t="str">
            <v>Probolinggo</v>
          </cell>
          <cell r="I188" t="str">
            <v>'113.03853</v>
          </cell>
          <cell r="J188" t="str">
            <v>'-7.82819</v>
          </cell>
          <cell r="K188" t="str">
            <v>-</v>
          </cell>
          <cell r="L188" t="str">
            <v>Welang Rejoso</v>
          </cell>
          <cell r="M188" t="str">
            <v>PHB</v>
          </cell>
          <cell r="N188" t="str">
            <v>-</v>
          </cell>
          <cell r="O188" t="str">
            <v>-</v>
          </cell>
          <cell r="P188" t="str">
            <v>-</v>
          </cell>
        </row>
        <row r="189">
          <cell r="B189">
            <v>350313010</v>
          </cell>
          <cell r="C189" t="str">
            <v>Legundi Bantaran</v>
          </cell>
          <cell r="D189" t="str">
            <v>-</v>
          </cell>
          <cell r="E189" t="str">
            <v>PSDA di Pasuruan</v>
          </cell>
          <cell r="F189" t="str">
            <v>Legundi</v>
          </cell>
          <cell r="G189" t="str">
            <v>Bantaran</v>
          </cell>
          <cell r="H189" t="str">
            <v>Probolinggo</v>
          </cell>
          <cell r="I189" t="str">
            <v>'113.15577</v>
          </cell>
          <cell r="J189" t="str">
            <v>'-7.86577</v>
          </cell>
          <cell r="K189" t="str">
            <v>-</v>
          </cell>
          <cell r="L189" t="str">
            <v>Welang Rejoso</v>
          </cell>
          <cell r="M189" t="str">
            <v>PHB</v>
          </cell>
          <cell r="N189" t="str">
            <v>-</v>
          </cell>
          <cell r="O189" t="str">
            <v>-</v>
          </cell>
          <cell r="P189" t="str">
            <v>-</v>
          </cell>
        </row>
        <row r="190">
          <cell r="B190">
            <v>350313011</v>
          </cell>
          <cell r="C190" t="str">
            <v>Dringu Kalirejo</v>
          </cell>
          <cell r="D190" t="str">
            <v>-</v>
          </cell>
          <cell r="E190" t="str">
            <v>PSDA di Pasuruan</v>
          </cell>
          <cell r="F190" t="str">
            <v>Kalirejo</v>
          </cell>
          <cell r="G190" t="str">
            <v>Dringu</v>
          </cell>
          <cell r="H190" t="str">
            <v>Probolinggo</v>
          </cell>
          <cell r="I190" t="str">
            <v>'113.23981</v>
          </cell>
          <cell r="J190" t="str">
            <v>'-7.77570</v>
          </cell>
          <cell r="K190" t="str">
            <v>-</v>
          </cell>
          <cell r="L190" t="str">
            <v>Welang Rejoso</v>
          </cell>
          <cell r="M190" t="str">
            <v>PHB</v>
          </cell>
          <cell r="N190" t="str">
            <v>-</v>
          </cell>
          <cell r="O190" t="str">
            <v>-</v>
          </cell>
          <cell r="P190" t="str">
            <v>-</v>
          </cell>
        </row>
        <row r="191">
          <cell r="B191">
            <v>350313012</v>
          </cell>
          <cell r="C191" t="str">
            <v>Leces</v>
          </cell>
          <cell r="D191" t="str">
            <v>-</v>
          </cell>
          <cell r="E191" t="str">
            <v>PSDA di Pasuruan</v>
          </cell>
          <cell r="F191" t="str">
            <v>Leces</v>
          </cell>
          <cell r="G191" t="str">
            <v>Leces</v>
          </cell>
          <cell r="H191" t="str">
            <v>Probolinggo</v>
          </cell>
          <cell r="I191" t="str">
            <v>'113.23207</v>
          </cell>
          <cell r="J191" t="str">
            <v>'-7.85458</v>
          </cell>
          <cell r="K191" t="str">
            <v>-</v>
          </cell>
          <cell r="L191" t="str">
            <v>Welang Rejoso</v>
          </cell>
          <cell r="M191" t="str">
            <v>PHB</v>
          </cell>
          <cell r="N191" t="str">
            <v>-</v>
          </cell>
          <cell r="O191" t="str">
            <v>-</v>
          </cell>
          <cell r="P191" t="str">
            <v>-</v>
          </cell>
        </row>
        <row r="192">
          <cell r="B192">
            <v>350313013</v>
          </cell>
          <cell r="C192" t="str">
            <v>Tegal Siwalan</v>
          </cell>
          <cell r="D192" t="str">
            <v>-</v>
          </cell>
          <cell r="E192" t="str">
            <v>PSDA di Pasuruan</v>
          </cell>
          <cell r="F192" t="str">
            <v>Tegal Siwalan</v>
          </cell>
          <cell r="G192" t="str">
            <v>Leces</v>
          </cell>
          <cell r="H192" t="str">
            <v>Probolinggo</v>
          </cell>
          <cell r="I192" t="str">
            <v>'113.25395</v>
          </cell>
          <cell r="J192" t="str">
            <v>'-7.87675</v>
          </cell>
          <cell r="K192" t="str">
            <v>-</v>
          </cell>
          <cell r="L192" t="str">
            <v>Welang Rejoso</v>
          </cell>
          <cell r="M192" t="str">
            <v>PHB</v>
          </cell>
          <cell r="N192" t="str">
            <v>-</v>
          </cell>
          <cell r="O192" t="str">
            <v>-</v>
          </cell>
          <cell r="P192" t="str">
            <v>-</v>
          </cell>
        </row>
        <row r="193">
          <cell r="B193">
            <v>350313014</v>
          </cell>
          <cell r="C193" t="str">
            <v>Ronggo Tali</v>
          </cell>
          <cell r="D193" t="str">
            <v>-</v>
          </cell>
          <cell r="E193" t="str">
            <v>PSDA di Pasuruan</v>
          </cell>
          <cell r="F193" t="str">
            <v>Kedawung</v>
          </cell>
          <cell r="G193" t="str">
            <v>Kuripan</v>
          </cell>
          <cell r="H193" t="str">
            <v>Probolinggo</v>
          </cell>
          <cell r="I193" t="str">
            <v>'113.12646</v>
          </cell>
          <cell r="J193" t="str">
            <v>'-7.88599</v>
          </cell>
          <cell r="K193" t="str">
            <v>-</v>
          </cell>
          <cell r="L193" t="str">
            <v>Welang Rejoso</v>
          </cell>
          <cell r="M193" t="str">
            <v>PHB</v>
          </cell>
          <cell r="N193" t="str">
            <v>-</v>
          </cell>
          <cell r="O193" t="str">
            <v>-</v>
          </cell>
          <cell r="P193" t="str">
            <v>-</v>
          </cell>
        </row>
        <row r="194">
          <cell r="B194">
            <v>350313015</v>
          </cell>
          <cell r="C194" t="str">
            <v>Jorongan</v>
          </cell>
          <cell r="D194" t="str">
            <v>-</v>
          </cell>
          <cell r="E194" t="str">
            <v>PSDA di Pasuruan</v>
          </cell>
          <cell r="F194" t="str">
            <v>Jorongan</v>
          </cell>
          <cell r="G194" t="str">
            <v>Leces</v>
          </cell>
          <cell r="H194" t="str">
            <v>Probolinggo</v>
          </cell>
          <cell r="I194" t="str">
            <v>'113.22603</v>
          </cell>
          <cell r="J194" t="str">
            <v>'-7.81387</v>
          </cell>
          <cell r="K194" t="str">
            <v>-</v>
          </cell>
          <cell r="L194" t="str">
            <v>Welang Rejoso</v>
          </cell>
          <cell r="M194" t="str">
            <v>PHB</v>
          </cell>
          <cell r="N194" t="str">
            <v>-</v>
          </cell>
          <cell r="O194" t="str">
            <v>-</v>
          </cell>
          <cell r="P194" t="str">
            <v>-</v>
          </cell>
        </row>
        <row r="195">
          <cell r="B195">
            <v>350313016</v>
          </cell>
          <cell r="C195" t="str">
            <v>Sumberbulu</v>
          </cell>
          <cell r="D195" t="str">
            <v>-</v>
          </cell>
          <cell r="E195" t="str">
            <v>PSDA di Pasuruan</v>
          </cell>
          <cell r="F195" t="str">
            <v>Sumberbulu</v>
          </cell>
          <cell r="G195" t="str">
            <v>Tegalsiwalan</v>
          </cell>
          <cell r="H195" t="str">
            <v>Probolinggo</v>
          </cell>
          <cell r="I195" t="str">
            <v>'113.24198</v>
          </cell>
          <cell r="J195" t="str">
            <v>'-7.82808</v>
          </cell>
          <cell r="K195" t="str">
            <v>-</v>
          </cell>
          <cell r="L195" t="str">
            <v>Welang Rejoso</v>
          </cell>
          <cell r="M195" t="str">
            <v>PHB</v>
          </cell>
          <cell r="N195" t="str">
            <v>-</v>
          </cell>
          <cell r="O195" t="str">
            <v>-</v>
          </cell>
          <cell r="P195" t="str">
            <v>-</v>
          </cell>
        </row>
        <row r="196">
          <cell r="B196">
            <v>350313017</v>
          </cell>
          <cell r="C196" t="str">
            <v>Sumber Tukul</v>
          </cell>
          <cell r="D196" t="str">
            <v>-</v>
          </cell>
          <cell r="E196" t="str">
            <v>PSDA di Pasuruan</v>
          </cell>
          <cell r="F196" t="str">
            <v>Tukul</v>
          </cell>
          <cell r="G196" t="str">
            <v>Sumber</v>
          </cell>
          <cell r="H196" t="str">
            <v>Probolinggo</v>
          </cell>
          <cell r="I196" t="str">
            <v>'113.12676</v>
          </cell>
          <cell r="J196" t="str">
            <v>'-7.90423</v>
          </cell>
          <cell r="K196" t="str">
            <v>-</v>
          </cell>
          <cell r="L196" t="str">
            <v>Welang Rejoso</v>
          </cell>
          <cell r="M196" t="str">
            <v>PHB</v>
          </cell>
          <cell r="N196" t="str">
            <v>-</v>
          </cell>
          <cell r="O196" t="str">
            <v>-</v>
          </cell>
          <cell r="P196" t="str">
            <v>-</v>
          </cell>
        </row>
        <row r="197">
          <cell r="B197">
            <v>350313018</v>
          </cell>
          <cell r="C197" t="str">
            <v>Jabung</v>
          </cell>
          <cell r="D197" t="str">
            <v>-</v>
          </cell>
          <cell r="E197" t="str">
            <v>PSDA di Pasuruan</v>
          </cell>
          <cell r="F197" t="str">
            <v>Jabungsisir</v>
          </cell>
          <cell r="G197" t="str">
            <v>Paiton</v>
          </cell>
          <cell r="H197" t="str">
            <v>Probolinggo</v>
          </cell>
          <cell r="I197" t="str">
            <v>'113.468194</v>
          </cell>
          <cell r="J197" t="str">
            <v>'-7.732389</v>
          </cell>
          <cell r="K197" t="str">
            <v>-</v>
          </cell>
          <cell r="L197" t="str">
            <v>Pekalen Sampean</v>
          </cell>
          <cell r="M197" t="str">
            <v>PHB</v>
          </cell>
          <cell r="N197" t="str">
            <v>-</v>
          </cell>
          <cell r="O197" t="str">
            <v>-</v>
          </cell>
          <cell r="P197" t="str">
            <v>-</v>
          </cell>
        </row>
        <row r="198">
          <cell r="B198">
            <v>350313019</v>
          </cell>
          <cell r="C198" t="str">
            <v>Paiton</v>
          </cell>
          <cell r="D198" t="str">
            <v>-</v>
          </cell>
          <cell r="E198" t="str">
            <v>PSDA di Pasuruan</v>
          </cell>
          <cell r="F198" t="str">
            <v>Sukodadi</v>
          </cell>
          <cell r="G198" t="str">
            <v>Paiton</v>
          </cell>
          <cell r="H198" t="str">
            <v>Probolinggo</v>
          </cell>
          <cell r="I198" t="str">
            <v>'113.508954</v>
          </cell>
          <cell r="J198" t="str">
            <v>'-7.718818</v>
          </cell>
          <cell r="K198" t="str">
            <v>-</v>
          </cell>
          <cell r="L198" t="str">
            <v>Pekalen Sampean</v>
          </cell>
          <cell r="M198" t="str">
            <v>PHB</v>
          </cell>
          <cell r="N198" t="str">
            <v>-</v>
          </cell>
          <cell r="O198" t="str">
            <v>-</v>
          </cell>
          <cell r="P198" t="str">
            <v>-</v>
          </cell>
        </row>
        <row r="199">
          <cell r="B199">
            <v>350313020</v>
          </cell>
          <cell r="C199" t="str">
            <v>Glagah</v>
          </cell>
          <cell r="D199" t="str">
            <v>-</v>
          </cell>
          <cell r="E199" t="str">
            <v>PSDA di Pasuruan</v>
          </cell>
          <cell r="F199" t="str">
            <v>Glagah</v>
          </cell>
          <cell r="G199" t="str">
            <v>Pakuniran</v>
          </cell>
          <cell r="H199" t="str">
            <v>Probolinggo</v>
          </cell>
          <cell r="I199" t="str">
            <v>'113.50783</v>
          </cell>
          <cell r="J199" t="str">
            <v>'-7.77030</v>
          </cell>
          <cell r="K199" t="str">
            <v>-</v>
          </cell>
          <cell r="L199" t="str">
            <v>Pekalen Sampean</v>
          </cell>
          <cell r="M199" t="str">
            <v>PHB</v>
          </cell>
          <cell r="N199" t="str">
            <v>-</v>
          </cell>
          <cell r="O199" t="str">
            <v>-</v>
          </cell>
          <cell r="P199" t="str">
            <v>-</v>
          </cell>
        </row>
        <row r="200">
          <cell r="B200">
            <v>350313021</v>
          </cell>
          <cell r="C200" t="str">
            <v>Kota Anyar</v>
          </cell>
          <cell r="D200" t="str">
            <v>-</v>
          </cell>
          <cell r="E200" t="str">
            <v>PSDA di Pasuruan</v>
          </cell>
          <cell r="F200" t="str">
            <v>Kotaanyar</v>
          </cell>
          <cell r="G200" t="str">
            <v>Kotaanyar</v>
          </cell>
          <cell r="H200" t="str">
            <v>Probolinggo</v>
          </cell>
          <cell r="I200" t="str">
            <v>'113.53467</v>
          </cell>
          <cell r="J200" t="str">
            <v>'-7.74714</v>
          </cell>
          <cell r="K200" t="str">
            <v>-</v>
          </cell>
          <cell r="L200" t="str">
            <v>Pekalen Sampean</v>
          </cell>
          <cell r="M200" t="str">
            <v>PHB</v>
          </cell>
          <cell r="N200" t="str">
            <v>-</v>
          </cell>
          <cell r="O200" t="str">
            <v>-</v>
          </cell>
          <cell r="P200" t="str">
            <v>-</v>
          </cell>
        </row>
        <row r="201">
          <cell r="B201">
            <v>350313022</v>
          </cell>
          <cell r="C201" t="str">
            <v>Asem Jajar</v>
          </cell>
          <cell r="D201" t="str">
            <v>-</v>
          </cell>
          <cell r="E201" t="str">
            <v>PSDA di Pasuruan</v>
          </cell>
          <cell r="F201" t="str">
            <v>Sidomulyo</v>
          </cell>
          <cell r="G201" t="str">
            <v>Pakuniran</v>
          </cell>
          <cell r="H201" t="str">
            <v>Probolinggo</v>
          </cell>
          <cell r="I201" t="str">
            <v>'113.55719</v>
          </cell>
          <cell r="J201" t="str">
            <v>'-7.78018</v>
          </cell>
          <cell r="K201" t="str">
            <v>-</v>
          </cell>
          <cell r="L201" t="str">
            <v>Pekalen Sampean</v>
          </cell>
          <cell r="M201" t="str">
            <v>PHB</v>
          </cell>
          <cell r="N201" t="str">
            <v>-</v>
          </cell>
          <cell r="O201" t="str">
            <v>-</v>
          </cell>
          <cell r="P201" t="str">
            <v>-</v>
          </cell>
        </row>
        <row r="202">
          <cell r="B202">
            <v>350313023</v>
          </cell>
          <cell r="C202" t="str">
            <v>Kali Dandan</v>
          </cell>
          <cell r="D202" t="str">
            <v>-</v>
          </cell>
          <cell r="E202" t="str">
            <v>PSDA di Pasuruan</v>
          </cell>
          <cell r="F202" t="str">
            <v>Kalidandan</v>
          </cell>
          <cell r="G202" t="str">
            <v>Pakuniran</v>
          </cell>
          <cell r="H202" t="str">
            <v>Probolinggo</v>
          </cell>
          <cell r="I202" t="str">
            <v>'113.57054</v>
          </cell>
          <cell r="J202" t="str">
            <v>'-7.79465</v>
          </cell>
          <cell r="K202" t="str">
            <v>-</v>
          </cell>
          <cell r="L202" t="str">
            <v>Pekalen Sampean</v>
          </cell>
          <cell r="M202" t="str">
            <v>PHB</v>
          </cell>
          <cell r="N202" t="str">
            <v>-</v>
          </cell>
          <cell r="O202" t="str">
            <v>-</v>
          </cell>
          <cell r="P202" t="str">
            <v>-</v>
          </cell>
        </row>
        <row r="203">
          <cell r="B203">
            <v>350313024</v>
          </cell>
          <cell r="C203" t="str">
            <v>Gunggungan Kidul</v>
          </cell>
          <cell r="D203" t="str">
            <v>-</v>
          </cell>
          <cell r="E203" t="str">
            <v>PSDA di Pasuruan</v>
          </cell>
          <cell r="F203" t="str">
            <v>Gunggungan Kidul</v>
          </cell>
          <cell r="G203" t="str">
            <v>Pakuniran</v>
          </cell>
          <cell r="H203" t="str">
            <v>Probolinggo</v>
          </cell>
          <cell r="I203" t="str">
            <v>'113.50961</v>
          </cell>
          <cell r="J203" t="str">
            <v>'-7.83050</v>
          </cell>
          <cell r="K203" t="str">
            <v>-</v>
          </cell>
          <cell r="L203" t="str">
            <v>Pekalen Sampean</v>
          </cell>
          <cell r="M203" t="str">
            <v>PHB</v>
          </cell>
          <cell r="N203" t="str">
            <v>-</v>
          </cell>
          <cell r="O203" t="str">
            <v>-</v>
          </cell>
          <cell r="P203" t="str">
            <v>-</v>
          </cell>
        </row>
        <row r="204">
          <cell r="B204">
            <v>350313025</v>
          </cell>
          <cell r="C204" t="str">
            <v>Pakuniran</v>
          </cell>
          <cell r="D204" t="str">
            <v>-</v>
          </cell>
          <cell r="E204" t="str">
            <v>PSDA di Pasuruan</v>
          </cell>
          <cell r="F204" t="str">
            <v>Sogaan</v>
          </cell>
          <cell r="G204" t="str">
            <v>Pakuniran</v>
          </cell>
          <cell r="H204" t="str">
            <v>Probolinggo</v>
          </cell>
          <cell r="I204" t="str">
            <v>'113.50722</v>
          </cell>
          <cell r="J204" t="str">
            <v>'-7.80708</v>
          </cell>
          <cell r="K204" t="str">
            <v>-</v>
          </cell>
          <cell r="L204" t="str">
            <v>Pekalen Sampean</v>
          </cell>
          <cell r="M204" t="str">
            <v>PHB</v>
          </cell>
          <cell r="N204" t="str">
            <v>-</v>
          </cell>
          <cell r="O204" t="str">
            <v>-</v>
          </cell>
          <cell r="P204" t="str">
            <v>-</v>
          </cell>
        </row>
        <row r="205">
          <cell r="B205">
            <v>350313026</v>
          </cell>
          <cell r="C205" t="str">
            <v>Kedung Sumur</v>
          </cell>
          <cell r="D205" t="str">
            <v>-</v>
          </cell>
          <cell r="E205" t="str">
            <v>PSDA di Pasuruan</v>
          </cell>
          <cell r="F205" t="str">
            <v>Kedungsumur</v>
          </cell>
          <cell r="G205" t="str">
            <v>Pakuniran</v>
          </cell>
          <cell r="H205" t="str">
            <v>Probolinggo</v>
          </cell>
          <cell r="I205" t="str">
            <v>'113.51833</v>
          </cell>
          <cell r="J205" t="str">
            <v>'-7.85421</v>
          </cell>
          <cell r="K205" t="str">
            <v>-</v>
          </cell>
          <cell r="L205" t="str">
            <v>Pekalen Sampean</v>
          </cell>
          <cell r="M205" t="str">
            <v>PHB</v>
          </cell>
          <cell r="N205" t="str">
            <v>-</v>
          </cell>
          <cell r="O205" t="str">
            <v>-</v>
          </cell>
          <cell r="P205" t="str">
            <v>-</v>
          </cell>
        </row>
        <row r="206">
          <cell r="B206">
            <v>350313027</v>
          </cell>
          <cell r="C206" t="str">
            <v>Batur</v>
          </cell>
          <cell r="D206" t="str">
            <v>-</v>
          </cell>
          <cell r="E206" t="str">
            <v>PSDA di Pasuruan</v>
          </cell>
          <cell r="F206" t="str">
            <v>Batur</v>
          </cell>
          <cell r="G206" t="str">
            <v>Gading</v>
          </cell>
          <cell r="H206" t="str">
            <v>Probolinggo</v>
          </cell>
          <cell r="I206" t="str">
            <v>'113.50832</v>
          </cell>
          <cell r="J206" t="str">
            <v>'-7.85731</v>
          </cell>
          <cell r="K206" t="str">
            <v>-</v>
          </cell>
          <cell r="L206" t="str">
            <v>Pekalen Sampean</v>
          </cell>
          <cell r="M206" t="str">
            <v>PHB</v>
          </cell>
          <cell r="N206" t="str">
            <v>-</v>
          </cell>
          <cell r="O206" t="str">
            <v>-</v>
          </cell>
          <cell r="P206" t="str">
            <v>-</v>
          </cell>
        </row>
        <row r="207">
          <cell r="B207">
            <v>350313028</v>
          </cell>
          <cell r="C207" t="str">
            <v>Arah Makam</v>
          </cell>
          <cell r="D207" t="str">
            <v>-</v>
          </cell>
          <cell r="E207" t="str">
            <v>PSDA di Pasuruan</v>
          </cell>
          <cell r="F207" t="str">
            <v>Sentul</v>
          </cell>
          <cell r="G207" t="str">
            <v>Gading</v>
          </cell>
          <cell r="H207" t="str">
            <v>Probolinggo</v>
          </cell>
          <cell r="I207" t="str">
            <v>'113.49107</v>
          </cell>
          <cell r="J207" t="str">
            <v>'-7.84504</v>
          </cell>
          <cell r="K207" t="str">
            <v>-</v>
          </cell>
          <cell r="L207" t="str">
            <v>Pekalen Sampean</v>
          </cell>
          <cell r="M207" t="str">
            <v>PHB</v>
          </cell>
          <cell r="N207" t="str">
            <v>-</v>
          </cell>
          <cell r="O207" t="str">
            <v>-</v>
          </cell>
          <cell r="P207" t="str">
            <v>-</v>
          </cell>
        </row>
        <row r="208">
          <cell r="B208">
            <v>350313029</v>
          </cell>
          <cell r="C208" t="str">
            <v>Bago</v>
          </cell>
          <cell r="D208" t="str">
            <v>-</v>
          </cell>
          <cell r="E208" t="str">
            <v>PSDA di Pasuruan</v>
          </cell>
          <cell r="F208" t="str">
            <v>Kecik</v>
          </cell>
          <cell r="G208" t="str">
            <v>Besuk</v>
          </cell>
          <cell r="H208" t="str">
            <v>Probolinggo</v>
          </cell>
          <cell r="I208" t="str">
            <v>'113.49561</v>
          </cell>
          <cell r="J208" t="str">
            <v>'-7.82258</v>
          </cell>
          <cell r="K208" t="str">
            <v>-</v>
          </cell>
          <cell r="L208" t="str">
            <v>Pekalen Sampean</v>
          </cell>
          <cell r="M208" t="str">
            <v>PHB</v>
          </cell>
          <cell r="N208" t="str">
            <v>-</v>
          </cell>
          <cell r="O208" t="str">
            <v>-</v>
          </cell>
          <cell r="P208" t="str">
            <v>-</v>
          </cell>
        </row>
        <row r="209">
          <cell r="B209">
            <v>350313030</v>
          </cell>
          <cell r="C209" t="str">
            <v>Besuk</v>
          </cell>
          <cell r="D209" t="str">
            <v>-</v>
          </cell>
          <cell r="E209" t="str">
            <v>PSDA di Pasuruan</v>
          </cell>
          <cell r="F209" t="str">
            <v>Besukagung</v>
          </cell>
          <cell r="G209" t="str">
            <v>Besuk</v>
          </cell>
          <cell r="H209" t="str">
            <v>Probolinggo</v>
          </cell>
          <cell r="I209" t="str">
            <v>'113.46810</v>
          </cell>
          <cell r="J209" t="str">
            <v>'-7.78228</v>
          </cell>
          <cell r="K209" t="str">
            <v>-</v>
          </cell>
          <cell r="L209" t="str">
            <v>Pekalen Sampean</v>
          </cell>
          <cell r="M209" t="str">
            <v>PHB</v>
          </cell>
          <cell r="N209" t="str">
            <v>-</v>
          </cell>
          <cell r="O209" t="str">
            <v>-</v>
          </cell>
          <cell r="P209" t="str">
            <v>-</v>
          </cell>
        </row>
        <row r="210">
          <cell r="B210">
            <v>350313031</v>
          </cell>
          <cell r="C210" t="str">
            <v>Kandang Jati</v>
          </cell>
          <cell r="D210" t="str">
            <v>-</v>
          </cell>
          <cell r="E210" t="str">
            <v>PSDA di Pasuruan</v>
          </cell>
          <cell r="F210" t="str">
            <v>Kandang Jati</v>
          </cell>
          <cell r="G210" t="str">
            <v>Kraksaan</v>
          </cell>
          <cell r="H210" t="str">
            <v>Probolinggo</v>
          </cell>
          <cell r="I210" t="str">
            <v>'113.45174</v>
          </cell>
          <cell r="J210" t="str">
            <v>'-7.76495</v>
          </cell>
          <cell r="K210" t="str">
            <v>-</v>
          </cell>
          <cell r="L210" t="str">
            <v>Pekalen Sampean</v>
          </cell>
          <cell r="M210" t="str">
            <v>PHB</v>
          </cell>
          <cell r="N210" t="str">
            <v>-</v>
          </cell>
          <cell r="O210" t="str">
            <v>-</v>
          </cell>
          <cell r="P210" t="str">
            <v>-</v>
          </cell>
        </row>
        <row r="211">
          <cell r="B211">
            <v>350313032</v>
          </cell>
          <cell r="C211" t="str">
            <v>Kraksaan</v>
          </cell>
          <cell r="D211" t="str">
            <v>-</v>
          </cell>
          <cell r="E211" t="str">
            <v>PSDA di Pasuruan</v>
          </cell>
          <cell r="F211" t="str">
            <v>Patokan</v>
          </cell>
          <cell r="G211" t="str">
            <v>Kraksaan</v>
          </cell>
          <cell r="H211" t="str">
            <v>Probolinggo</v>
          </cell>
          <cell r="I211" t="str">
            <v>'113.41093</v>
          </cell>
          <cell r="J211" t="str">
            <v>'-7.76106</v>
          </cell>
          <cell r="K211" t="str">
            <v>-</v>
          </cell>
          <cell r="L211" t="str">
            <v>Pekalen Sampean</v>
          </cell>
          <cell r="M211" t="str">
            <v>PHB</v>
          </cell>
          <cell r="N211" t="str">
            <v>-</v>
          </cell>
          <cell r="O211" t="str">
            <v>-</v>
          </cell>
          <cell r="P211" t="str">
            <v>-</v>
          </cell>
        </row>
        <row r="212">
          <cell r="B212">
            <v>350313033</v>
          </cell>
          <cell r="C212" t="str">
            <v>Krejengan</v>
          </cell>
          <cell r="D212" t="str">
            <v>-</v>
          </cell>
          <cell r="E212" t="str">
            <v>PSDA di Pasuruan</v>
          </cell>
          <cell r="F212" t="str">
            <v>Krejengan</v>
          </cell>
          <cell r="G212" t="str">
            <v>Krejengan</v>
          </cell>
          <cell r="H212" t="str">
            <v>Probolinggo</v>
          </cell>
          <cell r="I212" t="str">
            <v>'113.40682</v>
          </cell>
          <cell r="J212" t="str">
            <v>'-7.79662</v>
          </cell>
          <cell r="K212" t="str">
            <v>-</v>
          </cell>
          <cell r="L212" t="str">
            <v>Pekalen Sampean</v>
          </cell>
          <cell r="M212" t="str">
            <v>PHB</v>
          </cell>
          <cell r="N212" t="str">
            <v>-</v>
          </cell>
          <cell r="O212" t="str">
            <v>-</v>
          </cell>
          <cell r="P212" t="str">
            <v>-</v>
          </cell>
        </row>
        <row r="213">
          <cell r="B213">
            <v>350313034</v>
          </cell>
          <cell r="C213" t="str">
            <v>Katimoho</v>
          </cell>
          <cell r="D213" t="str">
            <v>-</v>
          </cell>
          <cell r="E213" t="str">
            <v>PSDA di Pasuruan</v>
          </cell>
          <cell r="F213" t="str">
            <v>Krejengan</v>
          </cell>
          <cell r="G213" t="str">
            <v>Krejengan</v>
          </cell>
          <cell r="H213" t="str">
            <v>Probolinggo</v>
          </cell>
          <cell r="I213" t="str">
            <v>'113.40958</v>
          </cell>
          <cell r="J213" t="str">
            <v>'-7.79063</v>
          </cell>
          <cell r="K213" t="str">
            <v>-</v>
          </cell>
          <cell r="L213" t="str">
            <v>Pekalen Sampean</v>
          </cell>
          <cell r="M213" t="str">
            <v>PHB</v>
          </cell>
          <cell r="N213" t="str">
            <v>-</v>
          </cell>
          <cell r="O213" t="str">
            <v>-</v>
          </cell>
          <cell r="P213" t="str">
            <v>-</v>
          </cell>
        </row>
        <row r="214">
          <cell r="B214">
            <v>350313035</v>
          </cell>
          <cell r="C214" t="str">
            <v>Kedung Caluk</v>
          </cell>
          <cell r="D214" t="str">
            <v>-</v>
          </cell>
          <cell r="E214" t="str">
            <v>PSDA di Pasuruan</v>
          </cell>
          <cell r="F214" t="str">
            <v>Kedungcaluk</v>
          </cell>
          <cell r="G214" t="str">
            <v>Krejengan</v>
          </cell>
          <cell r="H214" t="str">
            <v>Probolinggo</v>
          </cell>
          <cell r="I214" t="str">
            <v>'113.43687</v>
          </cell>
          <cell r="J214" t="str">
            <v>'-7.80219</v>
          </cell>
          <cell r="K214" t="str">
            <v>-</v>
          </cell>
          <cell r="L214" t="str">
            <v>Pekalen Sampean</v>
          </cell>
          <cell r="M214" t="str">
            <v>PHB</v>
          </cell>
          <cell r="N214" t="str">
            <v>-</v>
          </cell>
          <cell r="O214" t="str">
            <v>-</v>
          </cell>
          <cell r="P214" t="str">
            <v>-</v>
          </cell>
        </row>
        <row r="215">
          <cell r="B215">
            <v>350313036</v>
          </cell>
          <cell r="C215" t="str">
            <v>Sumber Bendo</v>
          </cell>
          <cell r="D215" t="str">
            <v>-</v>
          </cell>
          <cell r="E215" t="str">
            <v>PSDA di Pasuruan</v>
          </cell>
          <cell r="F215" t="str">
            <v>Wangkal</v>
          </cell>
          <cell r="G215" t="str">
            <v>Gading</v>
          </cell>
          <cell r="H215" t="str">
            <v>Probolinggo</v>
          </cell>
          <cell r="I215" t="str">
            <v>'113.43655</v>
          </cell>
          <cell r="J215" t="str">
            <v>'-7.82306</v>
          </cell>
          <cell r="K215" t="str">
            <v>-</v>
          </cell>
          <cell r="L215" t="str">
            <v>Pekalen Sampean</v>
          </cell>
          <cell r="M215" t="str">
            <v>PHB</v>
          </cell>
          <cell r="N215" t="str">
            <v>-</v>
          </cell>
          <cell r="O215" t="str">
            <v>-</v>
          </cell>
          <cell r="P215" t="str">
            <v>-</v>
          </cell>
        </row>
        <row r="216">
          <cell r="B216">
            <v>350313037</v>
          </cell>
          <cell r="C216" t="str">
            <v>Klampokan</v>
          </cell>
          <cell r="D216" t="str">
            <v>-</v>
          </cell>
          <cell r="E216" t="str">
            <v>PSDA di Pasuruan</v>
          </cell>
          <cell r="F216" t="str">
            <v>Klampokan</v>
          </cell>
          <cell r="G216" t="str">
            <v>Besuk</v>
          </cell>
          <cell r="H216" t="str">
            <v>Probolinggo</v>
          </cell>
          <cell r="I216" t="str">
            <v>'113.47540</v>
          </cell>
          <cell r="J216" t="str">
            <v>'-7.81482</v>
          </cell>
          <cell r="K216" t="str">
            <v>-</v>
          </cell>
          <cell r="L216" t="str">
            <v>Pekalen Sampean</v>
          </cell>
          <cell r="M216" t="str">
            <v>PHB</v>
          </cell>
          <cell r="N216" t="str">
            <v>-</v>
          </cell>
          <cell r="O216" t="str">
            <v>-</v>
          </cell>
          <cell r="P216" t="str">
            <v>-</v>
          </cell>
        </row>
        <row r="217">
          <cell r="B217">
            <v>350313038</v>
          </cell>
          <cell r="C217" t="str">
            <v>Ramah Bawah</v>
          </cell>
          <cell r="D217" t="str">
            <v>-</v>
          </cell>
          <cell r="E217" t="str">
            <v>PSDA di Pasuruan</v>
          </cell>
          <cell r="F217" t="str">
            <v>Kertosono</v>
          </cell>
          <cell r="G217" t="str">
            <v>Gading</v>
          </cell>
          <cell r="H217" t="str">
            <v>Probolinggo</v>
          </cell>
          <cell r="I217" t="str">
            <v>'113.47556</v>
          </cell>
          <cell r="J217" t="str">
            <v>'-7.84070</v>
          </cell>
          <cell r="K217" t="str">
            <v>-</v>
          </cell>
          <cell r="L217" t="str">
            <v>Pekalen Sampean</v>
          </cell>
          <cell r="M217" t="str">
            <v>PHB</v>
          </cell>
          <cell r="N217" t="str">
            <v>-</v>
          </cell>
          <cell r="O217" t="str">
            <v>-</v>
          </cell>
          <cell r="P217" t="str">
            <v>-</v>
          </cell>
        </row>
        <row r="218">
          <cell r="B218">
            <v>350313039</v>
          </cell>
          <cell r="C218" t="str">
            <v>Wangkal</v>
          </cell>
          <cell r="D218" t="str">
            <v>-</v>
          </cell>
          <cell r="E218" t="str">
            <v>PSDA di Pasuruan</v>
          </cell>
          <cell r="F218" t="str">
            <v>Wangkal</v>
          </cell>
          <cell r="G218" t="str">
            <v>Wangkal</v>
          </cell>
          <cell r="H218" t="str">
            <v>Probolinggo</v>
          </cell>
          <cell r="I218" t="str">
            <v>'113.43776</v>
          </cell>
          <cell r="J218" t="str">
            <v>'-7.84532</v>
          </cell>
          <cell r="K218" t="str">
            <v>-</v>
          </cell>
          <cell r="L218" t="str">
            <v>Pekalen Sampean</v>
          </cell>
          <cell r="M218" t="str">
            <v>PHB</v>
          </cell>
          <cell r="N218" t="str">
            <v>-</v>
          </cell>
          <cell r="O218" t="str">
            <v>-</v>
          </cell>
          <cell r="P218" t="str">
            <v>-</v>
          </cell>
        </row>
        <row r="219">
          <cell r="B219">
            <v>350313040</v>
          </cell>
          <cell r="C219" t="str">
            <v>Jurang Jero</v>
          </cell>
          <cell r="D219" t="str">
            <v>-</v>
          </cell>
          <cell r="E219" t="str">
            <v>PSDA di Pasuruan</v>
          </cell>
          <cell r="F219" t="str">
            <v>Jurangjero</v>
          </cell>
          <cell r="G219" t="str">
            <v>Gading</v>
          </cell>
          <cell r="H219" t="str">
            <v>Probolinggo</v>
          </cell>
          <cell r="I219" t="str">
            <v>'113.40030</v>
          </cell>
          <cell r="J219" t="str">
            <v>'-7.86201</v>
          </cell>
          <cell r="K219" t="str">
            <v>-</v>
          </cell>
          <cell r="L219" t="str">
            <v>Pekalen Sampean</v>
          </cell>
          <cell r="M219" t="str">
            <v>PHB</v>
          </cell>
          <cell r="N219" t="str">
            <v>-</v>
          </cell>
          <cell r="O219" t="str">
            <v>-</v>
          </cell>
          <cell r="P219" t="str">
            <v>-</v>
          </cell>
        </row>
        <row r="220">
          <cell r="B220">
            <v>350313041</v>
          </cell>
          <cell r="C220" t="str">
            <v>Bremi</v>
          </cell>
          <cell r="D220" t="str">
            <v>-</v>
          </cell>
          <cell r="E220" t="str">
            <v>PSDA di Pasuruan</v>
          </cell>
          <cell r="F220" t="str">
            <v>Bermi</v>
          </cell>
          <cell r="G220" t="str">
            <v>Krucil</v>
          </cell>
          <cell r="H220" t="str">
            <v>Probolinggo</v>
          </cell>
          <cell r="I220" t="str">
            <v>'113.48899</v>
          </cell>
          <cell r="J220" t="str">
            <v>'-7.95707</v>
          </cell>
          <cell r="K220" t="str">
            <v>-</v>
          </cell>
          <cell r="L220" t="str">
            <v>Pekalen Sampean</v>
          </cell>
          <cell r="M220" t="str">
            <v>PHB</v>
          </cell>
          <cell r="N220" t="str">
            <v>-</v>
          </cell>
          <cell r="O220" t="str">
            <v>-</v>
          </cell>
          <cell r="P220" t="str">
            <v>-</v>
          </cell>
        </row>
        <row r="221">
          <cell r="B221">
            <v>350313042</v>
          </cell>
          <cell r="C221" t="str">
            <v>Krucil</v>
          </cell>
          <cell r="D221" t="str">
            <v>-</v>
          </cell>
          <cell r="E221" t="str">
            <v>PSDA di Pasuruan</v>
          </cell>
          <cell r="F221" t="str">
            <v>Krucil</v>
          </cell>
          <cell r="G221" t="str">
            <v>Krucil</v>
          </cell>
          <cell r="H221" t="str">
            <v>Probolinggo</v>
          </cell>
          <cell r="I221" t="str">
            <v>'113.48019</v>
          </cell>
          <cell r="J221" t="str">
            <v>'-7.94993</v>
          </cell>
          <cell r="K221" t="str">
            <v>-</v>
          </cell>
          <cell r="L221" t="str">
            <v>Pekalen Sampean</v>
          </cell>
          <cell r="M221" t="str">
            <v>PHB</v>
          </cell>
          <cell r="N221" t="str">
            <v>-</v>
          </cell>
          <cell r="O221" t="str">
            <v>-</v>
          </cell>
          <cell r="P221" t="str">
            <v>-</v>
          </cell>
        </row>
        <row r="222">
          <cell r="B222">
            <v>350313043</v>
          </cell>
          <cell r="C222" t="str">
            <v>Pandanlaras</v>
          </cell>
          <cell r="D222" t="str">
            <v>-</v>
          </cell>
          <cell r="E222" t="str">
            <v>PSDA di Pasuruan</v>
          </cell>
          <cell r="F222" t="str">
            <v>Watu</v>
          </cell>
          <cell r="G222" t="str">
            <v>Krucil</v>
          </cell>
          <cell r="H222" t="str">
            <v>Probolinggo</v>
          </cell>
          <cell r="I222" t="str">
            <v>'113.48861</v>
          </cell>
          <cell r="J222" t="str">
            <v>'-7.92102</v>
          </cell>
          <cell r="K222" t="str">
            <v>-</v>
          </cell>
          <cell r="L222" t="str">
            <v>Pekalen Sampean</v>
          </cell>
          <cell r="M222" t="str">
            <v>PHB</v>
          </cell>
          <cell r="N222" t="str">
            <v>-</v>
          </cell>
          <cell r="O222" t="str">
            <v>-</v>
          </cell>
          <cell r="P222" t="str">
            <v>-</v>
          </cell>
        </row>
        <row r="223">
          <cell r="B223">
            <v>350313044</v>
          </cell>
          <cell r="C223" t="str">
            <v>Kertosuko</v>
          </cell>
          <cell r="D223" t="str">
            <v>-</v>
          </cell>
          <cell r="E223" t="str">
            <v>PSDA di Pasuruan</v>
          </cell>
          <cell r="F223" t="str">
            <v>Kertosuko</v>
          </cell>
          <cell r="G223" t="str">
            <v>Krucil</v>
          </cell>
          <cell r="H223" t="str">
            <v>Probolinggo</v>
          </cell>
          <cell r="I223" t="str">
            <v>'113.44011</v>
          </cell>
          <cell r="J223" t="str">
            <v>'-7.94225</v>
          </cell>
          <cell r="K223" t="str">
            <v>-</v>
          </cell>
          <cell r="L223" t="str">
            <v>Pekalen Sampean</v>
          </cell>
          <cell r="M223" t="str">
            <v>PHB</v>
          </cell>
          <cell r="N223" t="str">
            <v>-</v>
          </cell>
          <cell r="O223" t="str">
            <v>-</v>
          </cell>
          <cell r="P223" t="str">
            <v>-</v>
          </cell>
        </row>
        <row r="224">
          <cell r="B224">
            <v>350313045</v>
          </cell>
          <cell r="C224" t="str">
            <v>Segaran</v>
          </cell>
          <cell r="D224" t="str">
            <v>-</v>
          </cell>
          <cell r="E224" t="str">
            <v>PSDA di Pasuruan</v>
          </cell>
          <cell r="F224" t="str">
            <v>Segaran</v>
          </cell>
          <cell r="G224" t="str">
            <v>Tiris</v>
          </cell>
          <cell r="H224" t="str">
            <v>Probolinggo</v>
          </cell>
          <cell r="I224" t="str">
            <v>'113.39958</v>
          </cell>
          <cell r="J224" t="str">
            <v>'-7.95157</v>
          </cell>
          <cell r="K224" t="str">
            <v>-</v>
          </cell>
          <cell r="L224" t="str">
            <v>Pekalen Sampean</v>
          </cell>
          <cell r="M224" t="str">
            <v>PHB</v>
          </cell>
          <cell r="N224" t="str">
            <v>-</v>
          </cell>
          <cell r="O224" t="str">
            <v>-</v>
          </cell>
          <cell r="P224" t="str">
            <v>-</v>
          </cell>
        </row>
        <row r="225">
          <cell r="B225">
            <v>350313046</v>
          </cell>
          <cell r="C225" t="str">
            <v>Tiris</v>
          </cell>
          <cell r="D225" t="str">
            <v>-</v>
          </cell>
          <cell r="E225" t="str">
            <v>PSDA di Pasuruan</v>
          </cell>
          <cell r="F225" t="str">
            <v>Tiris</v>
          </cell>
          <cell r="G225" t="str">
            <v>Tiris</v>
          </cell>
          <cell r="H225" t="str">
            <v>Probolinggo</v>
          </cell>
          <cell r="I225" t="str">
            <v>'113.40122</v>
          </cell>
          <cell r="J225" t="str">
            <v>'-7.96303</v>
          </cell>
          <cell r="K225" t="str">
            <v>-</v>
          </cell>
          <cell r="L225" t="str">
            <v>Pekalen Sampean</v>
          </cell>
          <cell r="M225" t="str">
            <v>PHB</v>
          </cell>
          <cell r="N225" t="str">
            <v>-</v>
          </cell>
          <cell r="O225" t="str">
            <v>-</v>
          </cell>
          <cell r="P225" t="str">
            <v>-</v>
          </cell>
        </row>
        <row r="226">
          <cell r="B226">
            <v>350313047</v>
          </cell>
          <cell r="C226" t="str">
            <v>Pajarakan</v>
          </cell>
          <cell r="D226" t="str">
            <v>-</v>
          </cell>
          <cell r="E226" t="str">
            <v>PSDA di Pasuruan</v>
          </cell>
          <cell r="F226" t="str">
            <v>Pejarakan</v>
          </cell>
          <cell r="G226" t="str">
            <v>Pejarakan</v>
          </cell>
          <cell r="H226" t="str">
            <v>Probolinggo</v>
          </cell>
          <cell r="I226" t="str">
            <v>'113.3803879</v>
          </cell>
          <cell r="J226" t="str">
            <v>'-7.780439903</v>
          </cell>
          <cell r="K226" t="str">
            <v>-</v>
          </cell>
          <cell r="L226" t="str">
            <v>Pekalen Sampean</v>
          </cell>
          <cell r="M226" t="str">
            <v>PHB</v>
          </cell>
          <cell r="N226" t="str">
            <v>-</v>
          </cell>
          <cell r="O226" t="str">
            <v>-</v>
          </cell>
          <cell r="P226" t="str">
            <v>-</v>
          </cell>
        </row>
        <row r="227">
          <cell r="B227">
            <v>350313048</v>
          </cell>
          <cell r="C227" t="str">
            <v>Jati Ampuh</v>
          </cell>
          <cell r="D227" t="str">
            <v>-</v>
          </cell>
          <cell r="E227" t="str">
            <v>PSDA di Pasuruan</v>
          </cell>
          <cell r="F227" t="str">
            <v>Selogudik</v>
          </cell>
          <cell r="G227" t="str">
            <v>Pejarakan</v>
          </cell>
          <cell r="H227" t="str">
            <v>Probolinggo</v>
          </cell>
          <cell r="I227" t="str">
            <v>'113.38132</v>
          </cell>
          <cell r="J227" t="str">
            <v>'-7.82032</v>
          </cell>
          <cell r="K227" t="str">
            <v>-</v>
          </cell>
          <cell r="L227" t="str">
            <v>Pekalen Sampean</v>
          </cell>
          <cell r="M227" t="str">
            <v>PHB</v>
          </cell>
          <cell r="N227" t="str">
            <v>-</v>
          </cell>
          <cell r="O227" t="str">
            <v>-</v>
          </cell>
          <cell r="P227" t="str">
            <v>-</v>
          </cell>
        </row>
        <row r="228">
          <cell r="B228">
            <v>350313049</v>
          </cell>
          <cell r="C228" t="str">
            <v>Condong</v>
          </cell>
          <cell r="D228" t="str">
            <v>-</v>
          </cell>
          <cell r="E228" t="str">
            <v>PSDA di Pasuruan</v>
          </cell>
          <cell r="F228" t="str">
            <v>Brabe</v>
          </cell>
          <cell r="G228" t="str">
            <v>Maron</v>
          </cell>
          <cell r="H228" t="str">
            <v>Probolinggo</v>
          </cell>
          <cell r="I228" t="str">
            <v>'113.36984</v>
          </cell>
          <cell r="J228" t="str">
            <v>'-7.87103</v>
          </cell>
          <cell r="K228" t="str">
            <v>-</v>
          </cell>
          <cell r="L228" t="str">
            <v>Pekalen Sampean</v>
          </cell>
          <cell r="M228" t="str">
            <v>PHB</v>
          </cell>
          <cell r="N228" t="str">
            <v>-</v>
          </cell>
          <cell r="O228" t="str">
            <v>-</v>
          </cell>
          <cell r="P228" t="str">
            <v>-</v>
          </cell>
        </row>
        <row r="229">
          <cell r="B229">
            <v>350313050</v>
          </cell>
          <cell r="C229" t="str">
            <v>Pekalen</v>
          </cell>
          <cell r="D229" t="str">
            <v>-</v>
          </cell>
          <cell r="E229" t="str">
            <v>PSDA di Pasuruan</v>
          </cell>
          <cell r="F229" t="str">
            <v>Maron</v>
          </cell>
          <cell r="G229" t="str">
            <v>Maron</v>
          </cell>
          <cell r="H229" t="str">
            <v>Probolinggo</v>
          </cell>
          <cell r="I229" t="str">
            <v>'113.36521</v>
          </cell>
          <cell r="J229" t="str">
            <v>'-7.86467</v>
          </cell>
          <cell r="K229" t="str">
            <v>-</v>
          </cell>
          <cell r="L229" t="str">
            <v>Pekalen Sampean</v>
          </cell>
          <cell r="M229" t="str">
            <v>PHB</v>
          </cell>
          <cell r="N229" t="str">
            <v>-</v>
          </cell>
          <cell r="O229" t="str">
            <v>-</v>
          </cell>
          <cell r="P229" t="str">
            <v>-</v>
          </cell>
        </row>
        <row r="230">
          <cell r="B230">
            <v>350313051</v>
          </cell>
          <cell r="C230" t="str">
            <v>Adiboyo</v>
          </cell>
          <cell r="D230" t="str">
            <v>-</v>
          </cell>
          <cell r="E230" t="str">
            <v>PSDA di Pasuruan</v>
          </cell>
          <cell r="F230" t="str">
            <v>Jatiadi</v>
          </cell>
          <cell r="G230" t="str">
            <v>Gending</v>
          </cell>
          <cell r="H230" t="str">
            <v>Probolinggo</v>
          </cell>
          <cell r="I230" t="str">
            <v>'113.35772</v>
          </cell>
          <cell r="J230" t="str">
            <v>'-7.78756</v>
          </cell>
          <cell r="K230" t="str">
            <v>-</v>
          </cell>
          <cell r="L230" t="str">
            <v>Welang Rejoso</v>
          </cell>
          <cell r="M230" t="str">
            <v>PHB</v>
          </cell>
          <cell r="N230" t="str">
            <v>-</v>
          </cell>
          <cell r="O230" t="str">
            <v>-</v>
          </cell>
          <cell r="P230" t="str">
            <v>-</v>
          </cell>
        </row>
        <row r="231">
          <cell r="B231">
            <v>350313052</v>
          </cell>
          <cell r="C231" t="str">
            <v>Gending</v>
          </cell>
          <cell r="D231" t="str">
            <v>-</v>
          </cell>
          <cell r="E231" t="str">
            <v>PSDA di Pasuruan</v>
          </cell>
          <cell r="F231" t="str">
            <v>Pajurangan</v>
          </cell>
          <cell r="G231" t="str">
            <v>Gending</v>
          </cell>
          <cell r="H231" t="str">
            <v>Probolinggo</v>
          </cell>
          <cell r="I231" t="str">
            <v>'113.30745</v>
          </cell>
          <cell r="J231" t="str">
            <v>'-7.79668</v>
          </cell>
          <cell r="K231" t="str">
            <v>-</v>
          </cell>
          <cell r="L231" t="str">
            <v>Welang Rejoso</v>
          </cell>
          <cell r="M231" t="str">
            <v>PHB</v>
          </cell>
          <cell r="N231" t="str">
            <v>-</v>
          </cell>
          <cell r="O231" t="str">
            <v>-</v>
          </cell>
          <cell r="P231" t="str">
            <v>-</v>
          </cell>
        </row>
        <row r="232">
          <cell r="B232">
            <v>350313053</v>
          </cell>
          <cell r="C232" t="str">
            <v>Banyu Anyar</v>
          </cell>
          <cell r="D232" t="str">
            <v>-</v>
          </cell>
          <cell r="E232" t="str">
            <v>PSDA di Pasuruan</v>
          </cell>
          <cell r="F232" t="str">
            <v>Banyu Anyar</v>
          </cell>
          <cell r="G232" t="str">
            <v>Banyuanyar</v>
          </cell>
          <cell r="H232" t="str">
            <v>Probolinggo</v>
          </cell>
          <cell r="I232" t="str">
            <v>'113.29500</v>
          </cell>
          <cell r="J232" t="str">
            <v>'-7.86071</v>
          </cell>
          <cell r="K232" t="str">
            <v>-</v>
          </cell>
          <cell r="L232" t="str">
            <v>Welang Rejoso</v>
          </cell>
          <cell r="M232" t="str">
            <v>PHB</v>
          </cell>
          <cell r="N232" t="str">
            <v>-</v>
          </cell>
          <cell r="O232" t="str">
            <v>-</v>
          </cell>
          <cell r="P232" t="str">
            <v>-</v>
          </cell>
        </row>
        <row r="233">
          <cell r="B233">
            <v>350314001</v>
          </cell>
          <cell r="C233" t="str">
            <v>Purwosari</v>
          </cell>
          <cell r="D233" t="str">
            <v>-</v>
          </cell>
          <cell r="E233" t="str">
            <v>PSDA di Pasuruan</v>
          </cell>
          <cell r="F233" t="str">
            <v>Tejowangi</v>
          </cell>
          <cell r="G233" t="str">
            <v>Purwosari</v>
          </cell>
          <cell r="H233" t="str">
            <v>Pasuruan</v>
          </cell>
          <cell r="I233" t="str">
            <v>'112.7410016</v>
          </cell>
          <cell r="J233" t="str">
            <v>'-7.7818047</v>
          </cell>
          <cell r="K233" t="str">
            <v>-</v>
          </cell>
          <cell r="L233" t="str">
            <v>Welang Rejoso</v>
          </cell>
          <cell r="M233" t="str">
            <v>PHB</v>
          </cell>
          <cell r="N233" t="str">
            <v>-</v>
          </cell>
          <cell r="O233" t="str">
            <v>-</v>
          </cell>
          <cell r="P233" t="str">
            <v>-</v>
          </cell>
        </row>
        <row r="234">
          <cell r="B234">
            <v>350314002</v>
          </cell>
          <cell r="C234" t="str">
            <v>Sengon Pager</v>
          </cell>
          <cell r="D234" t="str">
            <v>-</v>
          </cell>
          <cell r="E234" t="str">
            <v>PSDA di Pasuruan</v>
          </cell>
          <cell r="F234" t="str">
            <v>Sengonagung</v>
          </cell>
          <cell r="G234" t="str">
            <v>Purwosari</v>
          </cell>
          <cell r="H234" t="str">
            <v>Pasuruan</v>
          </cell>
          <cell r="I234" t="str">
            <v>'112.73070</v>
          </cell>
          <cell r="J234" t="str">
            <v>'-7.75405</v>
          </cell>
          <cell r="K234" t="str">
            <v>-</v>
          </cell>
          <cell r="L234" t="str">
            <v>Welang Rejoso</v>
          </cell>
          <cell r="M234" t="str">
            <v>PHB</v>
          </cell>
          <cell r="N234" t="str">
            <v>-</v>
          </cell>
          <cell r="O234" t="str">
            <v>-</v>
          </cell>
          <cell r="P234" t="str">
            <v>-</v>
          </cell>
        </row>
        <row r="235">
          <cell r="B235">
            <v>350314003</v>
          </cell>
          <cell r="C235" t="str">
            <v>Telebuk</v>
          </cell>
          <cell r="D235" t="str">
            <v>-</v>
          </cell>
          <cell r="E235" t="str">
            <v>PSDA di Pasuruan</v>
          </cell>
          <cell r="F235" t="str">
            <v>Lemahbang</v>
          </cell>
          <cell r="G235" t="str">
            <v>Sukorejo</v>
          </cell>
          <cell r="H235" t="str">
            <v>Pasuruan</v>
          </cell>
          <cell r="I235" t="str">
            <v>'112.72223</v>
          </cell>
          <cell r="J235" t="str">
            <v>'-7.69575</v>
          </cell>
          <cell r="K235" t="str">
            <v>-</v>
          </cell>
          <cell r="L235" t="str">
            <v>Welang Rejoso</v>
          </cell>
          <cell r="M235" t="str">
            <v>PHB</v>
          </cell>
          <cell r="N235" t="str">
            <v>-</v>
          </cell>
          <cell r="O235" t="str">
            <v>-</v>
          </cell>
          <cell r="P235" t="str">
            <v>-</v>
          </cell>
        </row>
        <row r="236">
          <cell r="B236">
            <v>350314004</v>
          </cell>
          <cell r="C236" t="str">
            <v>Selowongko</v>
          </cell>
          <cell r="D236" t="str">
            <v>-</v>
          </cell>
          <cell r="E236" t="str">
            <v>PSDA di Pasuruan</v>
          </cell>
          <cell r="F236" t="str">
            <v>Kedemungan</v>
          </cell>
          <cell r="G236" t="str">
            <v>Kejayan</v>
          </cell>
          <cell r="H236" t="str">
            <v>Pasuruan</v>
          </cell>
          <cell r="I236" t="str">
            <v>'112.78105</v>
          </cell>
          <cell r="J236" t="str">
            <v>'-7.77404</v>
          </cell>
          <cell r="K236" t="str">
            <v>-</v>
          </cell>
          <cell r="L236" t="str">
            <v>Welang Rejoso</v>
          </cell>
          <cell r="M236" t="str">
            <v>PHB</v>
          </cell>
          <cell r="N236" t="str">
            <v>-</v>
          </cell>
          <cell r="O236" t="str">
            <v>-</v>
          </cell>
          <cell r="P236" t="str">
            <v>-</v>
          </cell>
        </row>
        <row r="237">
          <cell r="B237">
            <v>350314005</v>
          </cell>
          <cell r="C237" t="str">
            <v>Wonorejo PAS</v>
          </cell>
          <cell r="D237" t="str">
            <v>-</v>
          </cell>
          <cell r="E237" t="str">
            <v>PSDA di Pasuruan</v>
          </cell>
          <cell r="F237" t="str">
            <v>Sambisirah</v>
          </cell>
          <cell r="G237" t="str">
            <v>Wonorejo</v>
          </cell>
          <cell r="H237" t="str">
            <v>Pasuruan</v>
          </cell>
          <cell r="I237" t="str">
            <v>'112.81734</v>
          </cell>
          <cell r="J237" t="str">
            <v>'-7.70928</v>
          </cell>
          <cell r="K237" t="str">
            <v>-</v>
          </cell>
          <cell r="L237" t="str">
            <v>Welang Rejoso</v>
          </cell>
          <cell r="M237" t="str">
            <v>PHB</v>
          </cell>
          <cell r="N237" t="str">
            <v>-</v>
          </cell>
          <cell r="O237" t="str">
            <v>-</v>
          </cell>
          <cell r="P237" t="str">
            <v>-</v>
          </cell>
        </row>
        <row r="238">
          <cell r="B238">
            <v>350314006</v>
          </cell>
          <cell r="C238" t="str">
            <v>Oro Oro Pule</v>
          </cell>
          <cell r="D238" t="str">
            <v>-</v>
          </cell>
          <cell r="E238" t="str">
            <v>PSDA di Pasuruan</v>
          </cell>
          <cell r="F238" t="str">
            <v>Pule</v>
          </cell>
          <cell r="G238" t="str">
            <v>Oro Oro Pule</v>
          </cell>
          <cell r="H238" t="str">
            <v>Pasuruan</v>
          </cell>
          <cell r="I238" t="str">
            <v>'112.83833</v>
          </cell>
          <cell r="J238" t="str">
            <v>'-7.74414</v>
          </cell>
          <cell r="K238" t="str">
            <v>-</v>
          </cell>
          <cell r="L238" t="str">
            <v>Welang Rejoso</v>
          </cell>
          <cell r="M238" t="str">
            <v>PHB</v>
          </cell>
          <cell r="N238" t="str">
            <v>-</v>
          </cell>
          <cell r="O238" t="str">
            <v>-</v>
          </cell>
          <cell r="P238" t="str">
            <v>-</v>
          </cell>
        </row>
        <row r="239">
          <cell r="B239">
            <v>350314007</v>
          </cell>
          <cell r="C239" t="str">
            <v>P3GI</v>
          </cell>
          <cell r="D239" t="str">
            <v>-</v>
          </cell>
          <cell r="E239" t="str">
            <v>PSDA di Pasuruan</v>
          </cell>
          <cell r="F239" t="str">
            <v>Pekuncen</v>
          </cell>
          <cell r="G239" t="str">
            <v>Panggungrejo</v>
          </cell>
          <cell r="H239" t="str">
            <v>Kota Pasuruan</v>
          </cell>
          <cell r="I239" t="str">
            <v>'112.90930000000</v>
          </cell>
          <cell r="J239" t="str">
            <v>'-7.64960000000</v>
          </cell>
          <cell r="K239" t="str">
            <v>-</v>
          </cell>
          <cell r="L239" t="str">
            <v>Welang Rejoso</v>
          </cell>
          <cell r="M239" t="str">
            <v>PHB</v>
          </cell>
          <cell r="N239" t="str">
            <v>-</v>
          </cell>
          <cell r="O239" t="str">
            <v>-</v>
          </cell>
          <cell r="P239" t="str">
            <v>-</v>
          </cell>
        </row>
        <row r="240">
          <cell r="B240">
            <v>350314008</v>
          </cell>
          <cell r="C240" t="str">
            <v>Puspo</v>
          </cell>
          <cell r="D240" t="str">
            <v>-</v>
          </cell>
          <cell r="E240" t="str">
            <v>PSDA di Pasuruan</v>
          </cell>
          <cell r="F240" t="str">
            <v>Puspo</v>
          </cell>
          <cell r="G240" t="str">
            <v>Puspo</v>
          </cell>
          <cell r="H240" t="str">
            <v>Pasuruan</v>
          </cell>
          <cell r="I240" t="str">
            <v>'112.86889</v>
          </cell>
          <cell r="J240" t="str">
            <v>'-7.83145</v>
          </cell>
          <cell r="K240" t="str">
            <v>-</v>
          </cell>
          <cell r="L240" t="str">
            <v>Welang Rejoso</v>
          </cell>
          <cell r="M240" t="str">
            <v>PHB</v>
          </cell>
          <cell r="N240" t="str">
            <v>-</v>
          </cell>
          <cell r="O240" t="str">
            <v>-</v>
          </cell>
          <cell r="P240" t="str">
            <v>-</v>
          </cell>
        </row>
        <row r="241">
          <cell r="B241">
            <v>350314009</v>
          </cell>
          <cell r="C241" t="str">
            <v>Tanggul</v>
          </cell>
          <cell r="D241" t="str">
            <v>-</v>
          </cell>
          <cell r="E241" t="str">
            <v>PSDA di Pasuruan</v>
          </cell>
          <cell r="F241" t="str">
            <v>Baujeng</v>
          </cell>
          <cell r="G241" t="str">
            <v>Beji</v>
          </cell>
          <cell r="H241" t="str">
            <v>Pasuruan</v>
          </cell>
          <cell r="I241" t="str">
            <v>'112.72546</v>
          </cell>
          <cell r="J241" t="str">
            <v>'-7.63083</v>
          </cell>
          <cell r="K241" t="str">
            <v>-</v>
          </cell>
          <cell r="L241" t="str">
            <v>Brantas</v>
          </cell>
          <cell r="M241" t="str">
            <v>PHB</v>
          </cell>
          <cell r="N241" t="str">
            <v>-</v>
          </cell>
          <cell r="O241" t="str">
            <v>-</v>
          </cell>
          <cell r="P241" t="str">
            <v>-</v>
          </cell>
        </row>
        <row r="242">
          <cell r="B242">
            <v>350314010</v>
          </cell>
          <cell r="C242" t="str">
            <v>Gempol</v>
          </cell>
          <cell r="D242" t="str">
            <v>-</v>
          </cell>
          <cell r="E242" t="str">
            <v>PSDA di Pasuruan</v>
          </cell>
          <cell r="F242" t="str">
            <v>Winong</v>
          </cell>
          <cell r="G242" t="str">
            <v>Gempol</v>
          </cell>
          <cell r="H242" t="str">
            <v>Pasuruan</v>
          </cell>
          <cell r="I242" t="str">
            <v>'112.70505</v>
          </cell>
          <cell r="J242" t="str">
            <v>'-7.58075</v>
          </cell>
          <cell r="K242" t="str">
            <v>-</v>
          </cell>
          <cell r="L242" t="str">
            <v>Brantas</v>
          </cell>
          <cell r="M242" t="str">
            <v>PHB</v>
          </cell>
          <cell r="N242" t="str">
            <v>-</v>
          </cell>
          <cell r="O242" t="str">
            <v>-</v>
          </cell>
          <cell r="P242" t="str">
            <v>-</v>
          </cell>
        </row>
        <row r="243">
          <cell r="B243">
            <v>350314011</v>
          </cell>
          <cell r="C243" t="str">
            <v>Banyulegi</v>
          </cell>
          <cell r="D243" t="str">
            <v>-</v>
          </cell>
          <cell r="E243" t="str">
            <v>PSDA di Pasuruan</v>
          </cell>
          <cell r="F243" t="str">
            <v>Gunung Gangsir</v>
          </cell>
          <cell r="G243" t="str">
            <v>Beji</v>
          </cell>
          <cell r="H243" t="str">
            <v>Pasuruan</v>
          </cell>
          <cell r="I243" t="str">
            <v>'112.72137</v>
          </cell>
          <cell r="J243" t="str">
            <v>'-7.58524</v>
          </cell>
          <cell r="K243" t="str">
            <v>-</v>
          </cell>
          <cell r="L243" t="str">
            <v>Brantas</v>
          </cell>
          <cell r="M243" t="str">
            <v>PHB</v>
          </cell>
          <cell r="N243" t="str">
            <v>-</v>
          </cell>
          <cell r="O243" t="str">
            <v>-</v>
          </cell>
          <cell r="P243" t="str">
            <v>-</v>
          </cell>
        </row>
        <row r="244">
          <cell r="B244">
            <v>350314012</v>
          </cell>
          <cell r="C244" t="str">
            <v>Bekacak</v>
          </cell>
          <cell r="D244" t="str">
            <v>-</v>
          </cell>
          <cell r="E244" t="str">
            <v>PSDA di Pasuruan</v>
          </cell>
          <cell r="F244" t="str">
            <v>Kolursari</v>
          </cell>
          <cell r="G244" t="str">
            <v>Bangil</v>
          </cell>
          <cell r="H244" t="str">
            <v>Pasuruan</v>
          </cell>
          <cell r="I244" t="str">
            <v>'112.77048</v>
          </cell>
          <cell r="J244" t="str">
            <v>'-7.61984</v>
          </cell>
          <cell r="K244" t="str">
            <v>-</v>
          </cell>
          <cell r="L244" t="str">
            <v>Brantas</v>
          </cell>
          <cell r="M244" t="str">
            <v>PHB</v>
          </cell>
          <cell r="N244" t="str">
            <v>-</v>
          </cell>
          <cell r="O244" t="str">
            <v>-</v>
          </cell>
          <cell r="P244" t="str">
            <v>-</v>
          </cell>
        </row>
        <row r="245">
          <cell r="B245">
            <v>350314013</v>
          </cell>
          <cell r="C245" t="str">
            <v>Badong</v>
          </cell>
          <cell r="D245" t="str">
            <v>-</v>
          </cell>
          <cell r="E245" t="str">
            <v>PSDA di Pasuruan</v>
          </cell>
          <cell r="F245" t="str">
            <v>Mojoparon</v>
          </cell>
          <cell r="G245" t="str">
            <v>Rembang</v>
          </cell>
          <cell r="H245" t="str">
            <v>Pasuruan</v>
          </cell>
          <cell r="I245" t="str">
            <v>'112.80796</v>
          </cell>
          <cell r="J245" t="str">
            <v>'-7.61362</v>
          </cell>
          <cell r="K245" t="str">
            <v>-</v>
          </cell>
          <cell r="L245" t="str">
            <v>Brantas</v>
          </cell>
          <cell r="M245" t="str">
            <v>PHB</v>
          </cell>
          <cell r="N245" t="str">
            <v>-</v>
          </cell>
          <cell r="O245" t="str">
            <v>-</v>
          </cell>
          <cell r="P245" t="str">
            <v>-</v>
          </cell>
        </row>
        <row r="246">
          <cell r="B246">
            <v>350314014</v>
          </cell>
          <cell r="C246" t="str">
            <v>Bangil</v>
          </cell>
          <cell r="D246" t="str">
            <v>-</v>
          </cell>
          <cell r="E246" t="str">
            <v>PSDA di Pasuruan</v>
          </cell>
          <cell r="F246" t="str">
            <v>Kiduldalem</v>
          </cell>
          <cell r="G246" t="str">
            <v>Bangil</v>
          </cell>
          <cell r="H246" t="str">
            <v>Pasuruan</v>
          </cell>
          <cell r="I246" t="str">
            <v>'112.78058</v>
          </cell>
          <cell r="J246" t="str">
            <v>'-7.60057</v>
          </cell>
          <cell r="K246" t="str">
            <v>-</v>
          </cell>
          <cell r="L246" t="str">
            <v>Brantas</v>
          </cell>
          <cell r="M246" t="str">
            <v>PHB</v>
          </cell>
          <cell r="N246" t="str">
            <v>-</v>
          </cell>
          <cell r="O246" t="str">
            <v>-</v>
          </cell>
          <cell r="P246" t="str">
            <v>-</v>
          </cell>
        </row>
        <row r="247">
          <cell r="B247">
            <v>350314015</v>
          </cell>
          <cell r="C247" t="str">
            <v>Kasri</v>
          </cell>
          <cell r="D247" t="str">
            <v>-</v>
          </cell>
          <cell r="E247" t="str">
            <v>PSDA di Pasuruan</v>
          </cell>
          <cell r="F247" t="str">
            <v>Petungasri</v>
          </cell>
          <cell r="G247" t="str">
            <v>Pandaan</v>
          </cell>
          <cell r="H247" t="str">
            <v>Pasuruan</v>
          </cell>
          <cell r="I247" t="str">
            <v>'112.68822</v>
          </cell>
          <cell r="J247" t="str">
            <v>'-7.65184</v>
          </cell>
          <cell r="K247" t="str">
            <v>-</v>
          </cell>
          <cell r="L247" t="str">
            <v>Brantas</v>
          </cell>
          <cell r="M247" t="str">
            <v>PHB</v>
          </cell>
          <cell r="N247" t="str">
            <v>-</v>
          </cell>
          <cell r="O247" t="str">
            <v>-</v>
          </cell>
          <cell r="P247" t="str">
            <v>-</v>
          </cell>
        </row>
        <row r="248">
          <cell r="B248">
            <v>350314016</v>
          </cell>
          <cell r="C248" t="str">
            <v>Winong</v>
          </cell>
          <cell r="D248" t="str">
            <v>-</v>
          </cell>
          <cell r="E248" t="str">
            <v>PSDA di Pasuruan</v>
          </cell>
          <cell r="F248" t="str">
            <v>Sumbergedang</v>
          </cell>
          <cell r="G248" t="str">
            <v>Pandaan</v>
          </cell>
          <cell r="H248" t="str">
            <v>Pasuruan</v>
          </cell>
          <cell r="I248" t="str">
            <v>'112.67466</v>
          </cell>
          <cell r="J248" t="str">
            <v>'-7.64509</v>
          </cell>
          <cell r="K248" t="str">
            <v>-</v>
          </cell>
          <cell r="L248" t="str">
            <v>Brantas</v>
          </cell>
          <cell r="M248" t="str">
            <v>PHB</v>
          </cell>
          <cell r="N248" t="str">
            <v>-</v>
          </cell>
          <cell r="O248" t="str">
            <v>-</v>
          </cell>
          <cell r="P248" t="str">
            <v>-</v>
          </cell>
        </row>
        <row r="249">
          <cell r="B249">
            <v>350314017</v>
          </cell>
          <cell r="C249" t="str">
            <v>Jawi</v>
          </cell>
          <cell r="D249" t="str">
            <v>-</v>
          </cell>
          <cell r="E249" t="str">
            <v>PSDA di Pasuruan</v>
          </cell>
          <cell r="F249" t="str">
            <v>Gambiran</v>
          </cell>
          <cell r="G249" t="str">
            <v>Prigen</v>
          </cell>
          <cell r="H249" t="str">
            <v>Pasuruan</v>
          </cell>
          <cell r="I249" t="str">
            <v>'112.65625</v>
          </cell>
          <cell r="J249" t="str">
            <v>'-7.67623</v>
          </cell>
          <cell r="K249" t="str">
            <v>-</v>
          </cell>
          <cell r="L249" t="str">
            <v>Brantas</v>
          </cell>
          <cell r="M249" t="str">
            <v>PHB</v>
          </cell>
          <cell r="N249" t="str">
            <v>-</v>
          </cell>
          <cell r="O249" t="str">
            <v>-</v>
          </cell>
          <cell r="P249" t="str">
            <v>-</v>
          </cell>
        </row>
        <row r="250">
          <cell r="B250">
            <v>350314018</v>
          </cell>
          <cell r="C250" t="str">
            <v>Prigen</v>
          </cell>
          <cell r="D250" t="str">
            <v>-</v>
          </cell>
          <cell r="E250" t="str">
            <v>PSDA di Pasuruan</v>
          </cell>
          <cell r="F250" t="str">
            <v>Prigen</v>
          </cell>
          <cell r="G250" t="str">
            <v>Prigen</v>
          </cell>
          <cell r="H250" t="str">
            <v>Pasuruan</v>
          </cell>
          <cell r="I250" t="str">
            <v>'112.63519</v>
          </cell>
          <cell r="J250" t="str">
            <v>'-7.68436</v>
          </cell>
          <cell r="K250" t="str">
            <v>-</v>
          </cell>
          <cell r="L250" t="str">
            <v>Brantas</v>
          </cell>
          <cell r="M250" t="str">
            <v>PHB</v>
          </cell>
          <cell r="N250" t="str">
            <v>-</v>
          </cell>
          <cell r="O250" t="str">
            <v>-</v>
          </cell>
          <cell r="P250" t="str">
            <v>-</v>
          </cell>
        </row>
        <row r="251">
          <cell r="B251">
            <v>350314019</v>
          </cell>
          <cell r="C251" t="str">
            <v>Bareng</v>
          </cell>
          <cell r="D251" t="str">
            <v>-</v>
          </cell>
          <cell r="E251" t="str">
            <v>PSDA di Pasuruan</v>
          </cell>
          <cell r="F251" t="str">
            <v>Tawangrejo</v>
          </cell>
          <cell r="G251" t="str">
            <v>Pandaan</v>
          </cell>
          <cell r="H251" t="str">
            <v>Pasuruan</v>
          </cell>
          <cell r="I251" t="str">
            <v>'112.68665</v>
          </cell>
          <cell r="J251" t="str">
            <v>'-7.63816</v>
          </cell>
          <cell r="K251" t="str">
            <v>-</v>
          </cell>
          <cell r="L251" t="str">
            <v>Brantas</v>
          </cell>
          <cell r="M251" t="str">
            <v>PHB</v>
          </cell>
          <cell r="N251" t="str">
            <v>-</v>
          </cell>
          <cell r="O251" t="str">
            <v>-</v>
          </cell>
          <cell r="P251" t="str">
            <v>-</v>
          </cell>
        </row>
        <row r="252">
          <cell r="B252">
            <v>350314020</v>
          </cell>
          <cell r="C252" t="str">
            <v>Kepulungan</v>
          </cell>
          <cell r="D252" t="str">
            <v>-</v>
          </cell>
          <cell r="E252" t="str">
            <v>PSDA di Pasuruan</v>
          </cell>
          <cell r="F252" t="str">
            <v>Kepulungan</v>
          </cell>
          <cell r="G252" t="str">
            <v>Gempol</v>
          </cell>
          <cell r="H252" t="str">
            <v>Pasuruan</v>
          </cell>
          <cell r="I252" t="str">
            <v>'112.68504</v>
          </cell>
          <cell r="J252" t="str">
            <v>'-7.61727</v>
          </cell>
          <cell r="K252" t="str">
            <v>-</v>
          </cell>
          <cell r="L252" t="str">
            <v>Brantas</v>
          </cell>
          <cell r="M252" t="str">
            <v>PHB</v>
          </cell>
          <cell r="N252" t="str">
            <v>-</v>
          </cell>
          <cell r="O252" t="str">
            <v>-</v>
          </cell>
          <cell r="P252" t="str">
            <v>-</v>
          </cell>
        </row>
        <row r="253">
          <cell r="B253">
            <v>350314021</v>
          </cell>
          <cell r="C253" t="str">
            <v>Jembrung</v>
          </cell>
          <cell r="D253" t="str">
            <v>-</v>
          </cell>
          <cell r="E253" t="str">
            <v>PSDA di Pasuruan</v>
          </cell>
          <cell r="F253" t="str">
            <v>Bulusari</v>
          </cell>
          <cell r="G253" t="str">
            <v>Gempol</v>
          </cell>
          <cell r="H253" t="str">
            <v>Pasuruan</v>
          </cell>
          <cell r="I253" t="str">
            <v>'112.68826</v>
          </cell>
          <cell r="J253" t="str">
            <v>'-7.59230</v>
          </cell>
          <cell r="K253" t="str">
            <v>-</v>
          </cell>
          <cell r="L253" t="str">
            <v>Brantas</v>
          </cell>
          <cell r="M253" t="str">
            <v>PHB</v>
          </cell>
          <cell r="N253" t="str">
            <v>-</v>
          </cell>
          <cell r="O253" t="str">
            <v>-</v>
          </cell>
          <cell r="P253" t="str">
            <v>-</v>
          </cell>
        </row>
        <row r="254">
          <cell r="B254">
            <v>350314022</v>
          </cell>
          <cell r="C254" t="str">
            <v>Randupitu</v>
          </cell>
          <cell r="D254" t="str">
            <v>-</v>
          </cell>
          <cell r="E254" t="str">
            <v>PSDA di Pasuruan</v>
          </cell>
          <cell r="F254" t="str">
            <v>Randupitu</v>
          </cell>
          <cell r="G254" t="str">
            <v>Gempol</v>
          </cell>
          <cell r="H254" t="str">
            <v>Pasuruan</v>
          </cell>
          <cell r="I254" t="str">
            <v>'112.70617</v>
          </cell>
          <cell r="J254" t="str">
            <v>'-7.62680</v>
          </cell>
          <cell r="K254" t="str">
            <v>-</v>
          </cell>
          <cell r="L254" t="str">
            <v>Brantas</v>
          </cell>
          <cell r="M254" t="str">
            <v>PHB</v>
          </cell>
          <cell r="N254" t="str">
            <v>-</v>
          </cell>
          <cell r="O254" t="str">
            <v>-</v>
          </cell>
          <cell r="P254" t="str">
            <v>-</v>
          </cell>
        </row>
        <row r="255">
          <cell r="B255">
            <v>350314023</v>
          </cell>
          <cell r="C255" t="str">
            <v>Wilo</v>
          </cell>
          <cell r="D255" t="str">
            <v>-</v>
          </cell>
          <cell r="E255" t="str">
            <v>PSDA di Pasuruan</v>
          </cell>
          <cell r="F255" t="str">
            <v>Tanjungarum</v>
          </cell>
          <cell r="G255" t="str">
            <v>Sukorejo</v>
          </cell>
          <cell r="H255" t="str">
            <v>Pasuruan</v>
          </cell>
          <cell r="I255" t="str">
            <v>'112.68948</v>
          </cell>
          <cell r="J255" t="str">
            <v>'-7.68106</v>
          </cell>
          <cell r="K255" t="str">
            <v>-</v>
          </cell>
          <cell r="L255" t="str">
            <v>Brantas</v>
          </cell>
          <cell r="M255" t="str">
            <v>PHB</v>
          </cell>
          <cell r="N255" t="str">
            <v>-</v>
          </cell>
          <cell r="O255" t="str">
            <v>-</v>
          </cell>
          <cell r="P255" t="str">
            <v>-</v>
          </cell>
        </row>
        <row r="256">
          <cell r="B256">
            <v>350314024</v>
          </cell>
          <cell r="C256" t="str">
            <v>Nguling</v>
          </cell>
          <cell r="D256" t="str">
            <v>-</v>
          </cell>
          <cell r="E256" t="str">
            <v>PSDA di Pasuruan</v>
          </cell>
          <cell r="F256" t="str">
            <v>Sedarum</v>
          </cell>
          <cell r="G256" t="str">
            <v>Nguling</v>
          </cell>
          <cell r="H256" t="str">
            <v>Pasuruan</v>
          </cell>
          <cell r="I256" t="str">
            <v>'113.07565</v>
          </cell>
          <cell r="J256" t="str">
            <v>'-7.71664</v>
          </cell>
          <cell r="K256" t="str">
            <v>-</v>
          </cell>
          <cell r="L256" t="str">
            <v>Welang Rejoso</v>
          </cell>
          <cell r="M256" t="str">
            <v>PHB</v>
          </cell>
          <cell r="N256" t="str">
            <v>-</v>
          </cell>
          <cell r="O256" t="str">
            <v>-</v>
          </cell>
          <cell r="P256" t="str">
            <v>-</v>
          </cell>
        </row>
        <row r="257">
          <cell r="B257">
            <v>350314025</v>
          </cell>
          <cell r="C257" t="str">
            <v>Ranu Grati</v>
          </cell>
          <cell r="D257" t="str">
            <v>-</v>
          </cell>
          <cell r="E257" t="str">
            <v>PSDA di Pasuruan</v>
          </cell>
          <cell r="F257" t="str">
            <v>Ranuklindungan</v>
          </cell>
          <cell r="G257" t="str">
            <v>Grati</v>
          </cell>
          <cell r="H257" t="str">
            <v>Pasuruan</v>
          </cell>
          <cell r="I257" t="str">
            <v>'113.011812</v>
          </cell>
          <cell r="J257" t="str">
            <v>'-7.720791</v>
          </cell>
          <cell r="K257" t="str">
            <v>-</v>
          </cell>
          <cell r="L257" t="str">
            <v>Welang Rejoso</v>
          </cell>
          <cell r="M257" t="str">
            <v>PHB</v>
          </cell>
          <cell r="N257" t="str">
            <v>-</v>
          </cell>
          <cell r="O257" t="str">
            <v>-</v>
          </cell>
          <cell r="P257" t="str">
            <v>-</v>
          </cell>
        </row>
        <row r="258">
          <cell r="B258">
            <v>350314026</v>
          </cell>
          <cell r="C258" t="str">
            <v>Panditan</v>
          </cell>
          <cell r="D258" t="str">
            <v>-</v>
          </cell>
          <cell r="E258" t="str">
            <v>PSDA di Pasuruan</v>
          </cell>
          <cell r="F258" t="str">
            <v>Panditan</v>
          </cell>
          <cell r="G258" t="str">
            <v>Lumbang</v>
          </cell>
          <cell r="H258" t="str">
            <v>Pasuruan</v>
          </cell>
          <cell r="I258" t="str">
            <v>'113.01010000000</v>
          </cell>
          <cell r="J258" t="str">
            <v>'-7.81400000000</v>
          </cell>
          <cell r="K258" t="str">
            <v>-</v>
          </cell>
          <cell r="L258" t="str">
            <v>Welang Rejoso</v>
          </cell>
          <cell r="M258" t="str">
            <v>PHB</v>
          </cell>
          <cell r="N258" t="str">
            <v>-</v>
          </cell>
          <cell r="O258" t="str">
            <v>-</v>
          </cell>
          <cell r="P258" t="str">
            <v>-</v>
          </cell>
        </row>
        <row r="259">
          <cell r="B259">
            <v>350314027</v>
          </cell>
          <cell r="C259" t="str">
            <v>Lumbang</v>
          </cell>
          <cell r="D259" t="str">
            <v>-</v>
          </cell>
          <cell r="E259" t="str">
            <v>PSDA di Pasuruan</v>
          </cell>
          <cell r="F259" t="str">
            <v>Cukur Guling</v>
          </cell>
          <cell r="G259" t="str">
            <v>Lumbang</v>
          </cell>
          <cell r="H259" t="str">
            <v>Pasuruan</v>
          </cell>
          <cell r="I259" t="str">
            <v>'112.9772823</v>
          </cell>
          <cell r="J259" t="str">
            <v>'-7.78740771</v>
          </cell>
          <cell r="K259" t="str">
            <v>-</v>
          </cell>
          <cell r="L259" t="str">
            <v>Welang Rejoso</v>
          </cell>
          <cell r="M259" t="str">
            <v>PHB</v>
          </cell>
          <cell r="N259" t="str">
            <v>-</v>
          </cell>
          <cell r="O259" t="str">
            <v>-</v>
          </cell>
          <cell r="P259" t="str">
            <v>-</v>
          </cell>
        </row>
        <row r="260">
          <cell r="B260">
            <v>350314028</v>
          </cell>
          <cell r="C260" t="str">
            <v>Kedawung</v>
          </cell>
          <cell r="D260" t="str">
            <v>-</v>
          </cell>
          <cell r="E260" t="str">
            <v>PSDA di Pasuruan</v>
          </cell>
          <cell r="F260" t="str">
            <v>Kedawung Wetan</v>
          </cell>
          <cell r="G260" t="str">
            <v>Grati</v>
          </cell>
          <cell r="H260" t="str">
            <v>Pasuruan</v>
          </cell>
          <cell r="I260" t="str">
            <v>'112.97665</v>
          </cell>
          <cell r="J260" t="str">
            <v>'-7.70316</v>
          </cell>
          <cell r="K260" t="str">
            <v>-</v>
          </cell>
          <cell r="L260" t="str">
            <v>Welang Rejoso</v>
          </cell>
          <cell r="M260" t="str">
            <v>PHB</v>
          </cell>
          <cell r="N260" t="str">
            <v>-</v>
          </cell>
          <cell r="O260" t="str">
            <v>-</v>
          </cell>
          <cell r="P260" t="str">
            <v>-</v>
          </cell>
        </row>
        <row r="261">
          <cell r="B261">
            <v>350314029</v>
          </cell>
          <cell r="C261" t="str">
            <v>Tutur</v>
          </cell>
          <cell r="D261" t="str">
            <v>-</v>
          </cell>
          <cell r="E261" t="str">
            <v>PSDA di Pasuruan</v>
          </cell>
          <cell r="F261" t="str">
            <v>Wonosari</v>
          </cell>
          <cell r="G261" t="str">
            <v>Tutur</v>
          </cell>
          <cell r="H261" t="str">
            <v>Pasuruan</v>
          </cell>
          <cell r="I261" t="str">
            <v>'112.812478</v>
          </cell>
          <cell r="J261" t="str">
            <v>'-7.88519</v>
          </cell>
          <cell r="K261" t="str">
            <v>-</v>
          </cell>
          <cell r="L261" t="str">
            <v>Welang Rejoso</v>
          </cell>
          <cell r="M261" t="str">
            <v>PHB</v>
          </cell>
          <cell r="N261" t="str">
            <v>-</v>
          </cell>
          <cell r="O261" t="str">
            <v>-</v>
          </cell>
          <cell r="P261" t="str">
            <v>-</v>
          </cell>
        </row>
        <row r="262">
          <cell r="B262">
            <v>350314030</v>
          </cell>
          <cell r="C262" t="str">
            <v>Gading</v>
          </cell>
          <cell r="D262" t="str">
            <v>-</v>
          </cell>
          <cell r="E262" t="str">
            <v>PSDA di Pasuruan</v>
          </cell>
          <cell r="F262" t="str">
            <v>Gading</v>
          </cell>
          <cell r="G262" t="str">
            <v>Winongan</v>
          </cell>
          <cell r="H262" t="str">
            <v>Pasuruan</v>
          </cell>
          <cell r="I262" t="str">
            <v>'112.947236</v>
          </cell>
          <cell r="J262" t="str">
            <v>'-7.7242701</v>
          </cell>
          <cell r="K262" t="str">
            <v>-</v>
          </cell>
          <cell r="L262" t="str">
            <v>Welang Rejoso</v>
          </cell>
          <cell r="M262" t="str">
            <v>PHB</v>
          </cell>
          <cell r="N262" t="str">
            <v>-</v>
          </cell>
          <cell r="O262" t="str">
            <v>-</v>
          </cell>
          <cell r="P262" t="str">
            <v>-</v>
          </cell>
        </row>
        <row r="263">
          <cell r="B263">
            <v>350314031</v>
          </cell>
          <cell r="C263" t="str">
            <v>Sidepan</v>
          </cell>
          <cell r="D263" t="str">
            <v>-</v>
          </cell>
          <cell r="E263" t="str">
            <v>PSDA di Pasuruan</v>
          </cell>
          <cell r="F263" t="str">
            <v>Sidepan</v>
          </cell>
          <cell r="G263" t="str">
            <v>Winongan</v>
          </cell>
          <cell r="H263" t="str">
            <v>Pasuruan</v>
          </cell>
          <cell r="I263" t="str">
            <v>'112.93446</v>
          </cell>
          <cell r="J263" t="str">
            <v>'-7.75724</v>
          </cell>
          <cell r="K263" t="str">
            <v>-</v>
          </cell>
          <cell r="L263" t="str">
            <v>Welang Rejoso</v>
          </cell>
          <cell r="M263" t="str">
            <v>PHB</v>
          </cell>
          <cell r="N263" t="str">
            <v>-</v>
          </cell>
          <cell r="O263" t="str">
            <v>-</v>
          </cell>
          <cell r="P263" t="str">
            <v>-</v>
          </cell>
        </row>
        <row r="264">
          <cell r="B264">
            <v>350314032</v>
          </cell>
          <cell r="C264" t="str">
            <v>Winongan</v>
          </cell>
          <cell r="D264" t="str">
            <v>-</v>
          </cell>
          <cell r="E264" t="str">
            <v>PSDA di Pasuruan</v>
          </cell>
          <cell r="F264" t="str">
            <v>Winongan</v>
          </cell>
          <cell r="G264" t="str">
            <v>Winongan</v>
          </cell>
          <cell r="H264" t="str">
            <v>Pasuruan</v>
          </cell>
          <cell r="I264" t="str">
            <v>'112.95793</v>
          </cell>
          <cell r="J264" t="str">
            <v>'-7.72719</v>
          </cell>
          <cell r="K264" t="str">
            <v>-</v>
          </cell>
          <cell r="L264" t="str">
            <v>Welang Rejoso</v>
          </cell>
          <cell r="M264" t="str">
            <v>PHB</v>
          </cell>
          <cell r="N264" t="str">
            <v>-</v>
          </cell>
          <cell r="O264" t="str">
            <v>-</v>
          </cell>
          <cell r="P264" t="str">
            <v>-</v>
          </cell>
        </row>
        <row r="265">
          <cell r="B265">
            <v>350314033</v>
          </cell>
          <cell r="C265" t="str">
            <v>Kawisrejo Pandanrejo</v>
          </cell>
          <cell r="D265" t="str">
            <v>-</v>
          </cell>
          <cell r="E265" t="str">
            <v>PSDA di Pasuruan</v>
          </cell>
          <cell r="F265" t="str">
            <v>Pandanrejo</v>
          </cell>
          <cell r="G265" t="str">
            <v>Rejoso</v>
          </cell>
          <cell r="H265" t="str">
            <v>Pasuruan</v>
          </cell>
          <cell r="I265" t="str">
            <v>'112.95255</v>
          </cell>
          <cell r="J265" t="str">
            <v>'-7.7043333</v>
          </cell>
          <cell r="K265" t="str">
            <v>-</v>
          </cell>
          <cell r="L265" t="str">
            <v>Welang Rejoso</v>
          </cell>
          <cell r="M265" t="str">
            <v>PHB</v>
          </cell>
          <cell r="N265" t="str">
            <v>-</v>
          </cell>
          <cell r="O265" t="str">
            <v>-</v>
          </cell>
          <cell r="P265" t="str">
            <v>-</v>
          </cell>
        </row>
        <row r="266">
          <cell r="B266">
            <v>350314034</v>
          </cell>
          <cell r="C266" t="str">
            <v>KWD Grati</v>
          </cell>
          <cell r="D266" t="str">
            <v>-</v>
          </cell>
          <cell r="E266" t="str">
            <v>PSDA di Pasuruan</v>
          </cell>
          <cell r="F266" t="str">
            <v>Ranuklindungan</v>
          </cell>
          <cell r="G266" t="str">
            <v>Grati</v>
          </cell>
          <cell r="H266" t="str">
            <v>Pasuruan</v>
          </cell>
          <cell r="I266" t="str">
            <v>'112.998805</v>
          </cell>
          <cell r="J266" t="str">
            <v>'-7.7119444</v>
          </cell>
          <cell r="K266" t="str">
            <v>-</v>
          </cell>
          <cell r="L266" t="str">
            <v>Welang Rejoso</v>
          </cell>
          <cell r="M266" t="str">
            <v>PHB</v>
          </cell>
          <cell r="N266" t="str">
            <v>-</v>
          </cell>
          <cell r="O266" t="str">
            <v>-</v>
          </cell>
          <cell r="P266" t="str">
            <v>-</v>
          </cell>
        </row>
        <row r="267">
          <cell r="B267">
            <v>350374001</v>
          </cell>
          <cell r="C267" t="str">
            <v>Wiroborang</v>
          </cell>
          <cell r="D267" t="str">
            <v>-</v>
          </cell>
          <cell r="E267" t="str">
            <v>PSDA di Pasuruan</v>
          </cell>
          <cell r="F267" t="str">
            <v>Wiroborang</v>
          </cell>
          <cell r="G267" t="str">
            <v>Mayangan</v>
          </cell>
          <cell r="H267" t="str">
            <v>Kota Probolinggo</v>
          </cell>
          <cell r="I267" t="str">
            <v>'113.23387</v>
          </cell>
          <cell r="J267" t="str">
            <v>'-7.76192</v>
          </cell>
          <cell r="K267" t="str">
            <v>-</v>
          </cell>
          <cell r="L267" t="str">
            <v>Welang Rejoso</v>
          </cell>
          <cell r="M267" t="str">
            <v>PHB</v>
          </cell>
          <cell r="N267" t="str">
            <v>-</v>
          </cell>
          <cell r="O267" t="str">
            <v>-</v>
          </cell>
          <cell r="P267" t="str">
            <v>-</v>
          </cell>
        </row>
        <row r="268">
          <cell r="B268">
            <v>350374002</v>
          </cell>
          <cell r="C268" t="str">
            <v>Kademangan</v>
          </cell>
          <cell r="D268" t="str">
            <v>-</v>
          </cell>
          <cell r="E268" t="str">
            <v>PSDA di Pasuruan</v>
          </cell>
          <cell r="F268" t="str">
            <v>Kademangan</v>
          </cell>
          <cell r="G268" t="str">
            <v>Kademangan</v>
          </cell>
          <cell r="H268" t="str">
            <v>Kota Probolinggo</v>
          </cell>
          <cell r="I268" t="str">
            <v>'113.18803</v>
          </cell>
          <cell r="J268" t="str">
            <v>'-7.77601</v>
          </cell>
          <cell r="K268" t="str">
            <v>-</v>
          </cell>
          <cell r="L268" t="str">
            <v>Welang Rejoso</v>
          </cell>
          <cell r="M268" t="str">
            <v>PHB</v>
          </cell>
          <cell r="N268" t="str">
            <v>-</v>
          </cell>
          <cell r="O268" t="str">
            <v>-</v>
          </cell>
          <cell r="P268" t="str">
            <v>-</v>
          </cell>
        </row>
        <row r="269">
          <cell r="B269">
            <v>350374003</v>
          </cell>
          <cell r="C269" t="str">
            <v>Triwung Kidul</v>
          </cell>
          <cell r="D269" t="str">
            <v>-</v>
          </cell>
          <cell r="E269" t="str">
            <v>PSDA di Pasuruan</v>
          </cell>
          <cell r="F269" t="str">
            <v>Triwung Kidul</v>
          </cell>
          <cell r="G269" t="str">
            <v>Kademangan</v>
          </cell>
          <cell r="H269" t="str">
            <v>Kota Probolinggo</v>
          </cell>
          <cell r="I269" t="str">
            <v>'113.17009</v>
          </cell>
          <cell r="J269" t="str">
            <v>'-7.77529</v>
          </cell>
          <cell r="K269" t="str">
            <v>-</v>
          </cell>
          <cell r="L269" t="str">
            <v>Welang Rejoso</v>
          </cell>
          <cell r="M269" t="str">
            <v>PHB</v>
          </cell>
          <cell r="N269" t="str">
            <v>-</v>
          </cell>
          <cell r="O269" t="str">
            <v>-</v>
          </cell>
          <cell r="P269" t="str">
            <v>-</v>
          </cell>
        </row>
        <row r="270">
          <cell r="B270">
            <v>350374004</v>
          </cell>
          <cell r="C270" t="str">
            <v>Pakistaji</v>
          </cell>
          <cell r="D270" t="str">
            <v>-</v>
          </cell>
          <cell r="E270" t="str">
            <v>PSDA di Pasuruan</v>
          </cell>
          <cell r="F270" t="str">
            <v>Kedunggaleng</v>
          </cell>
          <cell r="G270" t="str">
            <v>Wonoasih</v>
          </cell>
          <cell r="H270" t="str">
            <v>Kota Probolinggo</v>
          </cell>
          <cell r="I270" t="str">
            <v>'113.21890000000</v>
          </cell>
          <cell r="J270" t="str">
            <v>'-7.81190000000</v>
          </cell>
          <cell r="K270" t="str">
            <v>-</v>
          </cell>
          <cell r="L270" t="str">
            <v>Welang Rejoso</v>
          </cell>
          <cell r="M270" t="str">
            <v>PHB</v>
          </cell>
          <cell r="N270" t="str">
            <v>-</v>
          </cell>
          <cell r="O270" t="str">
            <v>-</v>
          </cell>
          <cell r="P270" t="str">
            <v>-</v>
          </cell>
        </row>
        <row r="271">
          <cell r="B271">
            <v>350404001</v>
          </cell>
          <cell r="C271" t="str">
            <v>KD. PU. Air</v>
          </cell>
          <cell r="D271" t="str">
            <v>-</v>
          </cell>
          <cell r="E271" t="str">
            <v>PSDA di Malang</v>
          </cell>
          <cell r="F271" t="str">
            <v>Kepatihan</v>
          </cell>
          <cell r="G271" t="str">
            <v>Tulungagung</v>
          </cell>
          <cell r="H271" t="str">
            <v>Tulungagung</v>
          </cell>
          <cell r="I271" t="str">
            <v>'111.90753</v>
          </cell>
          <cell r="J271" t="str">
            <v>'-8.05875</v>
          </cell>
          <cell r="K271" t="str">
            <v>-</v>
          </cell>
          <cell r="L271" t="str">
            <v>Brantas</v>
          </cell>
          <cell r="M271" t="str">
            <v>PHB</v>
          </cell>
          <cell r="N271" t="str">
            <v>-</v>
          </cell>
          <cell r="O271" t="str">
            <v>-</v>
          </cell>
          <cell r="P271" t="str">
            <v>-</v>
          </cell>
        </row>
        <row r="272">
          <cell r="B272">
            <v>350404002</v>
          </cell>
          <cell r="C272" t="str">
            <v>Ngantru</v>
          </cell>
          <cell r="D272" t="str">
            <v>-</v>
          </cell>
          <cell r="E272" t="str">
            <v>PSDA di Malang</v>
          </cell>
          <cell r="F272" t="str">
            <v>Ngantru</v>
          </cell>
          <cell r="G272" t="str">
            <v>Ngantru</v>
          </cell>
          <cell r="H272" t="str">
            <v>Tulungagung</v>
          </cell>
          <cell r="I272" t="str">
            <v>'111.94531</v>
          </cell>
          <cell r="J272" t="str">
            <v>'-8.06019</v>
          </cell>
          <cell r="K272" t="str">
            <v>-</v>
          </cell>
          <cell r="L272" t="str">
            <v>Brantas</v>
          </cell>
          <cell r="M272" t="str">
            <v>PHB</v>
          </cell>
          <cell r="N272" t="str">
            <v>-</v>
          </cell>
          <cell r="O272" t="str">
            <v>-</v>
          </cell>
          <cell r="P272" t="str">
            <v>-</v>
          </cell>
        </row>
        <row r="273">
          <cell r="B273">
            <v>350404003</v>
          </cell>
          <cell r="C273" t="str">
            <v>Kalidawir</v>
          </cell>
          <cell r="D273" t="str">
            <v>-</v>
          </cell>
          <cell r="E273" t="str">
            <v>PSDA di Malang</v>
          </cell>
          <cell r="F273" t="str">
            <v>Kalidawir</v>
          </cell>
          <cell r="G273" t="str">
            <v>Kalidawir</v>
          </cell>
          <cell r="H273" t="str">
            <v>Tulungagung</v>
          </cell>
          <cell r="I273" t="str">
            <v>'111.98267</v>
          </cell>
          <cell r="J273" t="str">
            <v>'-8.18042</v>
          </cell>
          <cell r="K273" t="str">
            <v>-</v>
          </cell>
          <cell r="L273" t="str">
            <v>Brantas</v>
          </cell>
          <cell r="M273" t="str">
            <v>PHB</v>
          </cell>
          <cell r="N273" t="str">
            <v>-</v>
          </cell>
          <cell r="O273" t="str">
            <v>-</v>
          </cell>
          <cell r="P273" t="str">
            <v>-</v>
          </cell>
        </row>
        <row r="274">
          <cell r="B274">
            <v>350404004</v>
          </cell>
          <cell r="C274" t="str">
            <v>Pucanglaban</v>
          </cell>
          <cell r="D274" t="str">
            <v>-</v>
          </cell>
          <cell r="E274" t="str">
            <v>PSDA di Malang</v>
          </cell>
          <cell r="F274" t="str">
            <v>Pucanglaban</v>
          </cell>
          <cell r="G274" t="str">
            <v>Pucanglaban</v>
          </cell>
          <cell r="H274" t="str">
            <v>Tulungagung</v>
          </cell>
          <cell r="I274" t="str">
            <v>'112.01639</v>
          </cell>
          <cell r="J274" t="str">
            <v>'-8.26239</v>
          </cell>
          <cell r="K274" t="str">
            <v>-</v>
          </cell>
          <cell r="L274" t="str">
            <v>Brantas</v>
          </cell>
          <cell r="M274" t="str">
            <v>PHB</v>
          </cell>
          <cell r="N274" t="str">
            <v>-</v>
          </cell>
          <cell r="O274" t="str">
            <v>-</v>
          </cell>
          <cell r="P274" t="str">
            <v>-</v>
          </cell>
        </row>
        <row r="275">
          <cell r="B275">
            <v>350404005</v>
          </cell>
          <cell r="C275" t="str">
            <v>Tumpak Mergo</v>
          </cell>
          <cell r="D275" t="str">
            <v>-</v>
          </cell>
          <cell r="E275" t="str">
            <v>PSDA di Malang</v>
          </cell>
          <cell r="F275" t="str">
            <v>Ngepoh</v>
          </cell>
          <cell r="G275" t="str">
            <v>Tanggunggunung</v>
          </cell>
          <cell r="H275" t="str">
            <v>Tulungagung</v>
          </cell>
          <cell r="I275" t="str">
            <v>'111.98267</v>
          </cell>
          <cell r="J275" t="str">
            <v>'-8.18042</v>
          </cell>
          <cell r="K275" t="str">
            <v>-</v>
          </cell>
          <cell r="L275" t="str">
            <v>Brantas</v>
          </cell>
          <cell r="M275" t="str">
            <v>PHB</v>
          </cell>
          <cell r="N275" t="str">
            <v>-</v>
          </cell>
          <cell r="O275" t="str">
            <v>-</v>
          </cell>
          <cell r="P275" t="str">
            <v>-</v>
          </cell>
        </row>
        <row r="276">
          <cell r="B276">
            <v>350404006</v>
          </cell>
          <cell r="C276" t="str">
            <v>Ngunut</v>
          </cell>
          <cell r="D276" t="str">
            <v>-</v>
          </cell>
          <cell r="E276" t="str">
            <v>PSDA di Malang</v>
          </cell>
          <cell r="F276" t="str">
            <v>Sumberingin Kidul</v>
          </cell>
          <cell r="G276" t="str">
            <v>Ngunut</v>
          </cell>
          <cell r="H276" t="str">
            <v>Tulungagung</v>
          </cell>
          <cell r="I276" t="str">
            <v>'111.993431</v>
          </cell>
          <cell r="J276" t="str">
            <v>'-8.105495</v>
          </cell>
          <cell r="K276" t="str">
            <v>-</v>
          </cell>
          <cell r="L276" t="str">
            <v>Brantas</v>
          </cell>
          <cell r="M276" t="str">
            <v>PHB</v>
          </cell>
          <cell r="N276" t="str">
            <v>-</v>
          </cell>
          <cell r="O276" t="str">
            <v>-</v>
          </cell>
          <cell r="P276" t="str">
            <v>-</v>
          </cell>
        </row>
        <row r="277">
          <cell r="B277">
            <v>350404007</v>
          </cell>
          <cell r="C277" t="str">
            <v>Rejotangan</v>
          </cell>
          <cell r="D277" t="str">
            <v>-</v>
          </cell>
          <cell r="E277" t="str">
            <v>PSDA di Malang</v>
          </cell>
          <cell r="F277" t="str">
            <v>Rejotangan</v>
          </cell>
          <cell r="G277" t="str">
            <v>Rejotangan</v>
          </cell>
          <cell r="H277" t="str">
            <v>Tulungagung</v>
          </cell>
          <cell r="I277" t="str">
            <v>'112.03703</v>
          </cell>
          <cell r="J277" t="str">
            <v>'-8.11297</v>
          </cell>
          <cell r="K277" t="str">
            <v>-</v>
          </cell>
          <cell r="L277" t="str">
            <v>Brantas</v>
          </cell>
          <cell r="M277" t="str">
            <v>PHB</v>
          </cell>
          <cell r="N277" t="str">
            <v>-</v>
          </cell>
          <cell r="O277" t="str">
            <v>-</v>
          </cell>
          <cell r="P277" t="str">
            <v>-</v>
          </cell>
        </row>
        <row r="278">
          <cell r="B278">
            <v>350404008</v>
          </cell>
          <cell r="C278" t="str">
            <v>Bandung</v>
          </cell>
          <cell r="D278" t="str">
            <v>-</v>
          </cell>
          <cell r="E278" t="str">
            <v>PSDA di Malang</v>
          </cell>
          <cell r="F278" t="str">
            <v>Bandung</v>
          </cell>
          <cell r="G278" t="str">
            <v>Bandung</v>
          </cell>
          <cell r="H278" t="str">
            <v>Tulungagung</v>
          </cell>
          <cell r="I278" t="str">
            <v>'111.78567</v>
          </cell>
          <cell r="J278" t="str">
            <v>'-8.17394</v>
          </cell>
          <cell r="K278" t="str">
            <v>-</v>
          </cell>
          <cell r="L278" t="str">
            <v>Brantas</v>
          </cell>
          <cell r="M278" t="str">
            <v>PHB</v>
          </cell>
          <cell r="N278" t="str">
            <v>-</v>
          </cell>
          <cell r="O278" t="str">
            <v>-</v>
          </cell>
          <cell r="P278" t="str">
            <v>-</v>
          </cell>
        </row>
        <row r="279">
          <cell r="B279">
            <v>350404009</v>
          </cell>
          <cell r="C279" t="str">
            <v>Besuki</v>
          </cell>
          <cell r="D279" t="str">
            <v>-</v>
          </cell>
          <cell r="E279" t="str">
            <v>PSDA di Malang</v>
          </cell>
          <cell r="F279" t="str">
            <v>Keboireng</v>
          </cell>
          <cell r="G279" t="str">
            <v>Besuki</v>
          </cell>
          <cell r="H279" t="str">
            <v>Tulungagung</v>
          </cell>
          <cell r="I279" t="str">
            <v>'111.82483</v>
          </cell>
          <cell r="J279" t="str">
            <v>'-8.21150</v>
          </cell>
          <cell r="K279" t="str">
            <v>-</v>
          </cell>
          <cell r="L279" t="str">
            <v>Brantas</v>
          </cell>
          <cell r="M279" t="str">
            <v>PHB</v>
          </cell>
          <cell r="N279" t="str">
            <v>-</v>
          </cell>
          <cell r="O279" t="str">
            <v>-</v>
          </cell>
          <cell r="P279" t="str">
            <v>-</v>
          </cell>
        </row>
        <row r="280">
          <cell r="B280">
            <v>350404010</v>
          </cell>
          <cell r="C280" t="str">
            <v>Campurdarat</v>
          </cell>
          <cell r="D280" t="str">
            <v>-</v>
          </cell>
          <cell r="E280" t="str">
            <v>PSDA di Malang</v>
          </cell>
          <cell r="F280" t="str">
            <v>Pojok</v>
          </cell>
          <cell r="G280" t="str">
            <v>Campurdarat</v>
          </cell>
          <cell r="H280" t="str">
            <v>Tulungagung</v>
          </cell>
          <cell r="I280" t="str">
            <v>'111.84911</v>
          </cell>
          <cell r="J280" t="str">
            <v>'-8.16578</v>
          </cell>
          <cell r="K280" t="str">
            <v>-</v>
          </cell>
          <cell r="L280" t="str">
            <v>Brantas</v>
          </cell>
          <cell r="M280" t="str">
            <v>PHB</v>
          </cell>
          <cell r="N280" t="str">
            <v>-</v>
          </cell>
          <cell r="O280" t="str">
            <v>-</v>
          </cell>
          <cell r="P280" t="str">
            <v>-</v>
          </cell>
        </row>
        <row r="281">
          <cell r="B281">
            <v>350404011</v>
          </cell>
          <cell r="C281" t="str">
            <v>Bolorejo</v>
          </cell>
          <cell r="D281" t="str">
            <v>-</v>
          </cell>
          <cell r="E281" t="str">
            <v>PSDA di Malang</v>
          </cell>
          <cell r="F281" t="str">
            <v>Bolorejo</v>
          </cell>
          <cell r="G281" t="str">
            <v>Kauman</v>
          </cell>
          <cell r="H281" t="str">
            <v>Tulungagung</v>
          </cell>
          <cell r="I281" t="str">
            <v>'111.85919</v>
          </cell>
          <cell r="J281" t="str">
            <v>'-8.06019</v>
          </cell>
          <cell r="K281" t="str">
            <v>-</v>
          </cell>
          <cell r="L281" t="str">
            <v>Brantas</v>
          </cell>
          <cell r="M281" t="str">
            <v>PHB</v>
          </cell>
          <cell r="N281" t="str">
            <v>-</v>
          </cell>
          <cell r="O281" t="str">
            <v>-</v>
          </cell>
          <cell r="P281" t="str">
            <v>-</v>
          </cell>
        </row>
        <row r="282">
          <cell r="B282">
            <v>350404012</v>
          </cell>
          <cell r="C282" t="str">
            <v>Mojopanggung</v>
          </cell>
          <cell r="D282" t="str">
            <v>-</v>
          </cell>
          <cell r="E282" t="str">
            <v>PSDA di Malang</v>
          </cell>
          <cell r="F282" t="str">
            <v>Panggungrejo</v>
          </cell>
          <cell r="G282" t="str">
            <v>Kauman</v>
          </cell>
          <cell r="H282" t="str">
            <v>Tulungagung</v>
          </cell>
          <cell r="I282" t="str">
            <v>'111.92858</v>
          </cell>
          <cell r="J282" t="str">
            <v>'-8.01006</v>
          </cell>
          <cell r="K282" t="str">
            <v>-</v>
          </cell>
          <cell r="L282" t="str">
            <v>Brantas</v>
          </cell>
          <cell r="M282" t="str">
            <v>PHB</v>
          </cell>
          <cell r="N282" t="str">
            <v>-</v>
          </cell>
          <cell r="O282" t="str">
            <v>-</v>
          </cell>
          <cell r="P282" t="str">
            <v>-</v>
          </cell>
        </row>
        <row r="283">
          <cell r="B283">
            <v>350404013</v>
          </cell>
          <cell r="C283" t="str">
            <v>Boyolangu</v>
          </cell>
          <cell r="D283" t="str">
            <v>-</v>
          </cell>
          <cell r="E283" t="str">
            <v>PSDA di Malang</v>
          </cell>
          <cell r="F283" t="str">
            <v>Boyolangu</v>
          </cell>
          <cell r="G283" t="str">
            <v>Boyolangu</v>
          </cell>
          <cell r="H283" t="str">
            <v>Tulungagung</v>
          </cell>
          <cell r="I283" t="str">
            <v>'111.91239</v>
          </cell>
          <cell r="J283" t="str">
            <v>'-8.11958</v>
          </cell>
          <cell r="K283" t="str">
            <v>-</v>
          </cell>
          <cell r="L283" t="str">
            <v>Brantas</v>
          </cell>
          <cell r="M283" t="str">
            <v>PHB</v>
          </cell>
          <cell r="N283" t="str">
            <v>-</v>
          </cell>
          <cell r="O283" t="str">
            <v>-</v>
          </cell>
          <cell r="P283" t="str">
            <v>-</v>
          </cell>
        </row>
        <row r="284">
          <cell r="B284">
            <v>350404014</v>
          </cell>
          <cell r="C284" t="str">
            <v>Ngantup</v>
          </cell>
          <cell r="D284" t="str">
            <v>-</v>
          </cell>
          <cell r="E284" t="str">
            <v>PSDA di Malang</v>
          </cell>
          <cell r="F284" t="str">
            <v>Nyawangan</v>
          </cell>
          <cell r="G284" t="str">
            <v>Sendang</v>
          </cell>
          <cell r="H284" t="str">
            <v>Tulungagung</v>
          </cell>
          <cell r="I284" t="str">
            <v>'111.85517</v>
          </cell>
          <cell r="J284" t="str">
            <v>'-7.90728</v>
          </cell>
          <cell r="K284" t="str">
            <v>-</v>
          </cell>
          <cell r="L284" t="str">
            <v>Brantas</v>
          </cell>
          <cell r="M284" t="str">
            <v>PHB</v>
          </cell>
          <cell r="N284" t="str">
            <v>-</v>
          </cell>
          <cell r="O284" t="str">
            <v>-</v>
          </cell>
          <cell r="P284" t="str">
            <v>-</v>
          </cell>
        </row>
        <row r="285">
          <cell r="B285">
            <v>350404015</v>
          </cell>
          <cell r="C285" t="str">
            <v>Sbr. Manggis</v>
          </cell>
          <cell r="D285" t="str">
            <v>-</v>
          </cell>
          <cell r="E285" t="str">
            <v>PSDA di Malang</v>
          </cell>
          <cell r="F285" t="str">
            <v>Picisan</v>
          </cell>
          <cell r="G285" t="str">
            <v>Sendang</v>
          </cell>
          <cell r="H285" t="str">
            <v>Tulungagung</v>
          </cell>
          <cell r="I285" t="str">
            <v>'111.87736</v>
          </cell>
          <cell r="J285" t="str">
            <v>'-7.93646</v>
          </cell>
          <cell r="K285" t="str">
            <v>-</v>
          </cell>
          <cell r="L285" t="str">
            <v>Brantas</v>
          </cell>
          <cell r="M285" t="str">
            <v>PHB</v>
          </cell>
          <cell r="N285" t="str">
            <v>-</v>
          </cell>
          <cell r="O285" t="str">
            <v>-</v>
          </cell>
          <cell r="P285" t="str">
            <v>-</v>
          </cell>
        </row>
        <row r="286">
          <cell r="B286">
            <v>350404016</v>
          </cell>
          <cell r="C286" t="str">
            <v>Sbr. Pandan</v>
          </cell>
          <cell r="D286" t="str">
            <v>-</v>
          </cell>
          <cell r="E286" t="str">
            <v>PSDA di Malang</v>
          </cell>
          <cell r="F286" t="str">
            <v>Nglurup</v>
          </cell>
          <cell r="G286" t="str">
            <v>Sendang</v>
          </cell>
          <cell r="H286" t="str">
            <v>Tulungagung</v>
          </cell>
          <cell r="I286" t="str">
            <v>'111.82311</v>
          </cell>
          <cell r="J286" t="str">
            <v>'-7.91600</v>
          </cell>
          <cell r="K286" t="str">
            <v>-</v>
          </cell>
          <cell r="L286" t="str">
            <v>Brantas</v>
          </cell>
          <cell r="M286" t="str">
            <v>PHB</v>
          </cell>
          <cell r="N286" t="str">
            <v>-</v>
          </cell>
          <cell r="O286" t="str">
            <v>-</v>
          </cell>
          <cell r="P286" t="str">
            <v>-</v>
          </cell>
        </row>
        <row r="287">
          <cell r="B287">
            <v>350404017</v>
          </cell>
          <cell r="C287" t="str">
            <v>Sendang</v>
          </cell>
          <cell r="D287" t="str">
            <v>-</v>
          </cell>
          <cell r="E287" t="str">
            <v>PSDA di Malang</v>
          </cell>
          <cell r="F287" t="str">
            <v>Sendang</v>
          </cell>
          <cell r="G287" t="str">
            <v>Sendang</v>
          </cell>
          <cell r="H287" t="str">
            <v>Tulungagung</v>
          </cell>
          <cell r="I287" t="str">
            <v>'111.83147</v>
          </cell>
          <cell r="J287" t="str">
            <v>'-7.97797</v>
          </cell>
          <cell r="K287" t="str">
            <v>-</v>
          </cell>
          <cell r="L287" t="str">
            <v>Brantas</v>
          </cell>
          <cell r="M287" t="str">
            <v>PHB</v>
          </cell>
          <cell r="N287" t="str">
            <v>-</v>
          </cell>
          <cell r="O287" t="str">
            <v>-</v>
          </cell>
          <cell r="P287" t="str">
            <v>-</v>
          </cell>
        </row>
        <row r="288">
          <cell r="B288">
            <v>350404018</v>
          </cell>
          <cell r="C288" t="str">
            <v>Pagerwojo</v>
          </cell>
          <cell r="D288" t="str">
            <v>-</v>
          </cell>
          <cell r="E288" t="str">
            <v>PSDA di Malang</v>
          </cell>
          <cell r="F288" t="str">
            <v>Mulyosari</v>
          </cell>
          <cell r="G288" t="str">
            <v>Pagerwojo</v>
          </cell>
          <cell r="H288" t="str">
            <v>Tulungagung</v>
          </cell>
          <cell r="I288" t="str">
            <v>'111.80492</v>
          </cell>
          <cell r="J288" t="str">
            <v>'-7.98739</v>
          </cell>
          <cell r="K288" t="str">
            <v>-</v>
          </cell>
          <cell r="L288" t="str">
            <v>Brantas</v>
          </cell>
          <cell r="M288" t="str">
            <v>PHB</v>
          </cell>
          <cell r="N288" t="str">
            <v>-</v>
          </cell>
          <cell r="O288" t="str">
            <v>-</v>
          </cell>
          <cell r="P288" t="str">
            <v>-</v>
          </cell>
        </row>
        <row r="289">
          <cell r="B289">
            <v>350404019</v>
          </cell>
          <cell r="C289" t="str">
            <v>Paingan</v>
          </cell>
          <cell r="D289" t="str">
            <v>-</v>
          </cell>
          <cell r="E289" t="str">
            <v>PSDA di Malang</v>
          </cell>
          <cell r="F289" t="str">
            <v>Ngrendeng</v>
          </cell>
          <cell r="G289" t="str">
            <v>Gondang</v>
          </cell>
          <cell r="H289" t="str">
            <v>Tulungagung</v>
          </cell>
          <cell r="I289" t="str">
            <v>'111.84894</v>
          </cell>
          <cell r="J289" t="str">
            <v>'-8.06931</v>
          </cell>
          <cell r="K289" t="str">
            <v>-</v>
          </cell>
          <cell r="L289" t="str">
            <v>Brantas</v>
          </cell>
          <cell r="M289" t="str">
            <v>PHB</v>
          </cell>
          <cell r="N289" t="str">
            <v>-</v>
          </cell>
          <cell r="O289" t="str">
            <v>-</v>
          </cell>
          <cell r="P289" t="str">
            <v>-</v>
          </cell>
        </row>
        <row r="290">
          <cell r="B290">
            <v>350404020</v>
          </cell>
          <cell r="C290" t="str">
            <v>Pakel</v>
          </cell>
          <cell r="D290" t="str">
            <v>-</v>
          </cell>
          <cell r="E290" t="str">
            <v>PSDA di Malang</v>
          </cell>
          <cell r="F290" t="str">
            <v>Sanan</v>
          </cell>
          <cell r="G290" t="str">
            <v>Pakel</v>
          </cell>
          <cell r="H290" t="str">
            <v>Tulungagung</v>
          </cell>
          <cell r="I290" t="str">
            <v>'111.81919</v>
          </cell>
          <cell r="J290" t="str">
            <v>'-8.13669</v>
          </cell>
          <cell r="K290" t="str">
            <v>-</v>
          </cell>
          <cell r="L290" t="str">
            <v>Brantas</v>
          </cell>
          <cell r="M290" t="str">
            <v>PHB</v>
          </cell>
          <cell r="N290" t="str">
            <v>-</v>
          </cell>
          <cell r="O290" t="str">
            <v>-</v>
          </cell>
          <cell r="P290" t="str">
            <v>-</v>
          </cell>
        </row>
        <row r="291">
          <cell r="B291">
            <v>350404021</v>
          </cell>
          <cell r="C291" t="str">
            <v>Song jambu II</v>
          </cell>
          <cell r="D291" t="str">
            <v>-</v>
          </cell>
          <cell r="E291" t="str">
            <v>PSDA di Malang</v>
          </cell>
          <cell r="F291" t="str">
            <v>Kedungwilut</v>
          </cell>
          <cell r="G291" t="str">
            <v>Bandung</v>
          </cell>
          <cell r="H291" t="str">
            <v>Tulungagung</v>
          </cell>
          <cell r="I291" t="str">
            <v>'111.76692</v>
          </cell>
          <cell r="J291" t="str">
            <v>'-8.17436</v>
          </cell>
          <cell r="K291" t="str">
            <v>-</v>
          </cell>
          <cell r="L291" t="str">
            <v>Brantas</v>
          </cell>
          <cell r="M291" t="str">
            <v>PHB</v>
          </cell>
          <cell r="N291" t="str">
            <v>-</v>
          </cell>
          <cell r="O291" t="str">
            <v>-</v>
          </cell>
          <cell r="P291" t="str">
            <v>-</v>
          </cell>
        </row>
        <row r="292">
          <cell r="B292">
            <v>350405001</v>
          </cell>
          <cell r="C292" t="str">
            <v>Pohgajih</v>
          </cell>
          <cell r="D292" t="str">
            <v>-</v>
          </cell>
          <cell r="E292" t="str">
            <v>PSDA di Malang</v>
          </cell>
          <cell r="F292" t="str">
            <v>Pohgajih</v>
          </cell>
          <cell r="G292" t="str">
            <v>Selorejo</v>
          </cell>
          <cell r="H292" t="str">
            <v>Blitar</v>
          </cell>
          <cell r="I292" t="str">
            <v>'112.43156</v>
          </cell>
          <cell r="J292" t="str">
            <v>'-8.15494</v>
          </cell>
          <cell r="K292" t="str">
            <v>-</v>
          </cell>
          <cell r="L292" t="str">
            <v>Brantas</v>
          </cell>
          <cell r="M292" t="str">
            <v>PHB</v>
          </cell>
          <cell r="N292" t="str">
            <v>-</v>
          </cell>
          <cell r="O292" t="str">
            <v>-</v>
          </cell>
          <cell r="P292" t="str">
            <v>-</v>
          </cell>
        </row>
        <row r="293">
          <cell r="B293">
            <v>350405002</v>
          </cell>
          <cell r="C293" t="str">
            <v>Lodoyo</v>
          </cell>
          <cell r="D293" t="str">
            <v>-</v>
          </cell>
          <cell r="E293" t="str">
            <v>PSDA di Malang</v>
          </cell>
          <cell r="F293" t="str">
            <v>Jegu</v>
          </cell>
          <cell r="G293" t="str">
            <v>Sutojayan</v>
          </cell>
          <cell r="H293" t="str">
            <v>Blitar</v>
          </cell>
          <cell r="I293" t="str">
            <v>'112.24334</v>
          </cell>
          <cell r="J293" t="str">
            <v>'-8.15142</v>
          </cell>
          <cell r="K293" t="str">
            <v>-</v>
          </cell>
          <cell r="L293" t="str">
            <v>Brantas</v>
          </cell>
          <cell r="M293" t="str">
            <v>PHB</v>
          </cell>
          <cell r="N293" t="str">
            <v>-</v>
          </cell>
          <cell r="O293" t="str">
            <v>-</v>
          </cell>
          <cell r="P293" t="str">
            <v>-</v>
          </cell>
        </row>
        <row r="294">
          <cell r="B294">
            <v>350405003</v>
          </cell>
          <cell r="C294" t="str">
            <v>Bakung</v>
          </cell>
          <cell r="D294" t="str">
            <v>-</v>
          </cell>
          <cell r="E294" t="str">
            <v>PSDA di Malang</v>
          </cell>
          <cell r="F294" t="str">
            <v>Bakung</v>
          </cell>
          <cell r="G294" t="str">
            <v>Bakung</v>
          </cell>
          <cell r="H294" t="str">
            <v>Blitar</v>
          </cell>
          <cell r="I294" t="str">
            <v>'112.07461</v>
          </cell>
          <cell r="J294" t="str">
            <v>'-8.25872</v>
          </cell>
          <cell r="K294" t="str">
            <v>-</v>
          </cell>
          <cell r="L294" t="str">
            <v>Brantas</v>
          </cell>
          <cell r="M294" t="str">
            <v>PHB</v>
          </cell>
          <cell r="N294" t="str">
            <v>-</v>
          </cell>
          <cell r="O294" t="str">
            <v>-</v>
          </cell>
          <cell r="P294" t="str">
            <v>-</v>
          </cell>
        </row>
        <row r="295">
          <cell r="B295">
            <v>350405004</v>
          </cell>
          <cell r="C295" t="str">
            <v>Ponggok</v>
          </cell>
          <cell r="D295" t="str">
            <v>-</v>
          </cell>
          <cell r="E295" t="str">
            <v>PSDA di Malang</v>
          </cell>
          <cell r="F295" t="str">
            <v>Kawedusan</v>
          </cell>
          <cell r="G295" t="str">
            <v>Ponggok</v>
          </cell>
          <cell r="H295" t="str">
            <v>Blitar</v>
          </cell>
          <cell r="I295" t="str">
            <v>'112.10372</v>
          </cell>
          <cell r="J295" t="str">
            <v>'-8.05319</v>
          </cell>
          <cell r="K295" t="str">
            <v>-</v>
          </cell>
          <cell r="L295" t="str">
            <v>Brantas</v>
          </cell>
          <cell r="M295" t="str">
            <v>PHB</v>
          </cell>
          <cell r="N295" t="str">
            <v>-</v>
          </cell>
          <cell r="O295" t="str">
            <v>-</v>
          </cell>
          <cell r="P295" t="str">
            <v>-</v>
          </cell>
        </row>
        <row r="296">
          <cell r="B296">
            <v>350405005</v>
          </cell>
          <cell r="C296" t="str">
            <v>Sumberingin</v>
          </cell>
          <cell r="D296" t="str">
            <v>-</v>
          </cell>
          <cell r="E296" t="str">
            <v>PSDA di Malang</v>
          </cell>
          <cell r="F296" t="str">
            <v>Sumberingin</v>
          </cell>
          <cell r="G296" t="str">
            <v>Sanankulon</v>
          </cell>
          <cell r="H296" t="str">
            <v>Blitar</v>
          </cell>
          <cell r="I296" t="str">
            <v>'112.15042</v>
          </cell>
          <cell r="J296" t="str">
            <v>'-8.05556</v>
          </cell>
          <cell r="K296" t="str">
            <v>-</v>
          </cell>
          <cell r="L296" t="str">
            <v>Brantas</v>
          </cell>
          <cell r="M296" t="str">
            <v>PHB</v>
          </cell>
          <cell r="N296" t="str">
            <v>-</v>
          </cell>
          <cell r="O296" t="str">
            <v>-</v>
          </cell>
          <cell r="P296" t="str">
            <v>-</v>
          </cell>
        </row>
        <row r="297">
          <cell r="B297">
            <v>350405006</v>
          </cell>
          <cell r="C297" t="str">
            <v>Gandekan</v>
          </cell>
          <cell r="D297" t="str">
            <v>-</v>
          </cell>
          <cell r="E297" t="str">
            <v>PSDA di Malang</v>
          </cell>
          <cell r="F297" t="str">
            <v>Gandekan</v>
          </cell>
          <cell r="G297" t="str">
            <v>Wonodadi</v>
          </cell>
          <cell r="H297" t="str">
            <v>Blitar</v>
          </cell>
          <cell r="I297" t="str">
            <v>'111.995083</v>
          </cell>
          <cell r="J297" t="str">
            <v>'-8.077194</v>
          </cell>
          <cell r="K297" t="str">
            <v>-</v>
          </cell>
          <cell r="L297" t="str">
            <v>Brantas</v>
          </cell>
          <cell r="M297" t="str">
            <v>PHB</v>
          </cell>
          <cell r="N297" t="str">
            <v>-</v>
          </cell>
          <cell r="O297" t="str">
            <v>-</v>
          </cell>
          <cell r="P297" t="str">
            <v>-</v>
          </cell>
        </row>
        <row r="298">
          <cell r="B298">
            <v>350405007</v>
          </cell>
          <cell r="C298" t="str">
            <v>Mangunan</v>
          </cell>
          <cell r="D298" t="str">
            <v>-</v>
          </cell>
          <cell r="E298" t="str">
            <v>PSDA di Malang</v>
          </cell>
          <cell r="F298" t="str">
            <v>Mangunan</v>
          </cell>
          <cell r="G298" t="str">
            <v>Udanawu</v>
          </cell>
          <cell r="H298" t="str">
            <v>Blitar</v>
          </cell>
          <cell r="I298" t="str">
            <v>'112.03964</v>
          </cell>
          <cell r="J298" t="str">
            <v>'-8.01578</v>
          </cell>
          <cell r="K298" t="str">
            <v>-</v>
          </cell>
          <cell r="L298" t="str">
            <v>Brantas</v>
          </cell>
          <cell r="M298" t="str">
            <v>PHB</v>
          </cell>
          <cell r="N298" t="str">
            <v>-</v>
          </cell>
          <cell r="O298" t="str">
            <v>-</v>
          </cell>
          <cell r="P298" t="str">
            <v>-</v>
          </cell>
        </row>
        <row r="299">
          <cell r="B299">
            <v>350405008</v>
          </cell>
          <cell r="C299" t="str">
            <v>Slemanan</v>
          </cell>
          <cell r="D299" t="str">
            <v>-</v>
          </cell>
          <cell r="E299" t="str">
            <v>PSDA di Malang</v>
          </cell>
          <cell r="F299" t="str">
            <v>Slemanan</v>
          </cell>
          <cell r="G299" t="str">
            <v>Udanawu</v>
          </cell>
          <cell r="H299" t="str">
            <v>Blitar</v>
          </cell>
          <cell r="I299" t="str">
            <v>'112.10017</v>
          </cell>
          <cell r="J299" t="str">
            <v>'-8.00203</v>
          </cell>
          <cell r="K299" t="str">
            <v>-</v>
          </cell>
          <cell r="L299" t="str">
            <v>Brantas</v>
          </cell>
          <cell r="M299" t="str">
            <v>PHB</v>
          </cell>
          <cell r="N299" t="str">
            <v>-</v>
          </cell>
          <cell r="O299" t="str">
            <v>-</v>
          </cell>
          <cell r="P299" t="str">
            <v>-</v>
          </cell>
        </row>
        <row r="300">
          <cell r="B300">
            <v>350405009</v>
          </cell>
          <cell r="C300" t="str">
            <v>Srengat</v>
          </cell>
          <cell r="D300" t="str">
            <v>-</v>
          </cell>
          <cell r="E300" t="str">
            <v>PSDA di Malang</v>
          </cell>
          <cell r="F300" t="str">
            <v>Srengat</v>
          </cell>
          <cell r="G300" t="str">
            <v>Srengat</v>
          </cell>
          <cell r="H300" t="str">
            <v>Blitar</v>
          </cell>
          <cell r="I300" t="str">
            <v>'112.06036</v>
          </cell>
          <cell r="J300" t="str">
            <v>'-8.06642</v>
          </cell>
          <cell r="K300" t="str">
            <v>-</v>
          </cell>
          <cell r="L300" t="str">
            <v>Brantas</v>
          </cell>
          <cell r="M300" t="str">
            <v>PHB</v>
          </cell>
          <cell r="N300" t="str">
            <v>-</v>
          </cell>
          <cell r="O300" t="str">
            <v>-</v>
          </cell>
          <cell r="P300" t="str">
            <v>-</v>
          </cell>
        </row>
        <row r="301">
          <cell r="B301">
            <v>350405010</v>
          </cell>
          <cell r="C301" t="str">
            <v>Wonodadi</v>
          </cell>
          <cell r="D301" t="str">
            <v>-</v>
          </cell>
          <cell r="E301" t="str">
            <v>PSDA di Malang</v>
          </cell>
          <cell r="F301" t="str">
            <v>Kolomayan</v>
          </cell>
          <cell r="G301" t="str">
            <v>Wonodadi</v>
          </cell>
          <cell r="H301" t="str">
            <v>Blitar</v>
          </cell>
          <cell r="I301" t="str">
            <v>'112.04431</v>
          </cell>
          <cell r="J301" t="str">
            <v>'-8.05667</v>
          </cell>
          <cell r="K301" t="str">
            <v>-</v>
          </cell>
          <cell r="L301" t="str">
            <v>Brantas</v>
          </cell>
          <cell r="M301" t="str">
            <v>PHB</v>
          </cell>
          <cell r="N301" t="str">
            <v>-</v>
          </cell>
          <cell r="O301" t="str">
            <v>-</v>
          </cell>
          <cell r="P301" t="str">
            <v>-</v>
          </cell>
        </row>
        <row r="302">
          <cell r="B302">
            <v>350405011</v>
          </cell>
          <cell r="C302" t="str">
            <v>Bendo BLTR</v>
          </cell>
          <cell r="D302" t="str">
            <v>-</v>
          </cell>
          <cell r="E302" t="str">
            <v>PSDA di Malang</v>
          </cell>
          <cell r="F302" t="str">
            <v>Ngaglik</v>
          </cell>
          <cell r="G302" t="str">
            <v>Srengat</v>
          </cell>
          <cell r="H302" t="str">
            <v>Blitar</v>
          </cell>
          <cell r="I302" t="str">
            <v>'112.38972</v>
          </cell>
          <cell r="J302" t="str">
            <v>'-8.26806</v>
          </cell>
          <cell r="K302" t="str">
            <v>-</v>
          </cell>
          <cell r="L302" t="str">
            <v>Brantas</v>
          </cell>
          <cell r="M302" t="str">
            <v>PHB</v>
          </cell>
          <cell r="N302" t="str">
            <v>-</v>
          </cell>
          <cell r="O302" t="str">
            <v>-</v>
          </cell>
          <cell r="P302" t="str">
            <v>-</v>
          </cell>
        </row>
        <row r="303">
          <cell r="B303">
            <v>350405012</v>
          </cell>
          <cell r="C303" t="str">
            <v>Candisewu</v>
          </cell>
          <cell r="D303" t="str">
            <v>-</v>
          </cell>
          <cell r="E303" t="str">
            <v>PSDA di Malang</v>
          </cell>
          <cell r="F303" t="str">
            <v>Penataran</v>
          </cell>
          <cell r="G303" t="str">
            <v>Nglegok</v>
          </cell>
          <cell r="H303" t="str">
            <v>Blitar</v>
          </cell>
          <cell r="I303" t="str">
            <v>'112.22797</v>
          </cell>
          <cell r="J303" t="str">
            <v>'-7.97911</v>
          </cell>
          <cell r="K303" t="str">
            <v>-</v>
          </cell>
          <cell r="L303" t="str">
            <v>Brantas</v>
          </cell>
          <cell r="M303" t="str">
            <v>PHB</v>
          </cell>
          <cell r="N303" t="str">
            <v>-</v>
          </cell>
          <cell r="O303" t="str">
            <v>-</v>
          </cell>
          <cell r="P303" t="str">
            <v>-</v>
          </cell>
        </row>
        <row r="304">
          <cell r="B304">
            <v>350405013</v>
          </cell>
          <cell r="C304" t="str">
            <v>Kali Kuning</v>
          </cell>
          <cell r="D304" t="str">
            <v>-</v>
          </cell>
          <cell r="E304" t="str">
            <v>PSDA di Malang</v>
          </cell>
          <cell r="F304" t="str">
            <v>Penataran</v>
          </cell>
          <cell r="G304" t="str">
            <v>Nglegok</v>
          </cell>
          <cell r="H304" t="str">
            <v>Blitar</v>
          </cell>
          <cell r="I304" t="str">
            <v>'112.24844</v>
          </cell>
          <cell r="J304" t="str">
            <v>'-7.97847</v>
          </cell>
          <cell r="K304" t="str">
            <v>-</v>
          </cell>
          <cell r="L304" t="str">
            <v>Brantas</v>
          </cell>
          <cell r="M304" t="str">
            <v>PHB</v>
          </cell>
          <cell r="N304" t="str">
            <v>-</v>
          </cell>
          <cell r="O304" t="str">
            <v>-</v>
          </cell>
          <cell r="P304" t="str">
            <v>-</v>
          </cell>
        </row>
        <row r="305">
          <cell r="B305">
            <v>350405014</v>
          </cell>
          <cell r="C305" t="str">
            <v>Karangnongko</v>
          </cell>
          <cell r="D305" t="str">
            <v>-</v>
          </cell>
          <cell r="E305" t="str">
            <v>PSDA di Malang</v>
          </cell>
          <cell r="F305" t="str">
            <v>Modangan</v>
          </cell>
          <cell r="G305" t="str">
            <v>Nglegok</v>
          </cell>
          <cell r="H305" t="str">
            <v>Blitar</v>
          </cell>
          <cell r="I305" t="str">
            <v>'112.23500</v>
          </cell>
          <cell r="J305" t="str">
            <v>'-8.01611</v>
          </cell>
          <cell r="K305" t="str">
            <v>-</v>
          </cell>
          <cell r="L305" t="str">
            <v>Brantas</v>
          </cell>
          <cell r="M305" t="str">
            <v>PHB</v>
          </cell>
          <cell r="N305" t="str">
            <v>-</v>
          </cell>
          <cell r="O305" t="str">
            <v>-</v>
          </cell>
          <cell r="P305" t="str">
            <v>-</v>
          </cell>
        </row>
        <row r="306">
          <cell r="B306">
            <v>350405015</v>
          </cell>
          <cell r="C306" t="str">
            <v>Menjangan KL</v>
          </cell>
          <cell r="D306" t="str">
            <v>-</v>
          </cell>
          <cell r="E306" t="str">
            <v>PSDA di Malang</v>
          </cell>
          <cell r="F306" t="str">
            <v>Slorok</v>
          </cell>
          <cell r="G306" t="str">
            <v>Garum</v>
          </cell>
          <cell r="H306" t="str">
            <v>Blitar</v>
          </cell>
          <cell r="I306" t="str">
            <v>'112.26478</v>
          </cell>
          <cell r="J306" t="str">
            <v>'-8.04128</v>
          </cell>
          <cell r="K306" t="str">
            <v>-</v>
          </cell>
          <cell r="L306" t="str">
            <v>Brantas</v>
          </cell>
          <cell r="M306" t="str">
            <v>PHB</v>
          </cell>
          <cell r="N306" t="str">
            <v>-</v>
          </cell>
          <cell r="O306" t="str">
            <v>-</v>
          </cell>
          <cell r="P306" t="str">
            <v>-</v>
          </cell>
        </row>
        <row r="307">
          <cell r="B307">
            <v>350405016</v>
          </cell>
          <cell r="C307" t="str">
            <v>Putih</v>
          </cell>
          <cell r="D307" t="str">
            <v>-</v>
          </cell>
          <cell r="E307" t="str">
            <v>PSDA di Malang</v>
          </cell>
          <cell r="F307" t="str">
            <v>Pasirharjo</v>
          </cell>
          <cell r="G307" t="str">
            <v>Talun</v>
          </cell>
          <cell r="H307" t="str">
            <v>Blitar</v>
          </cell>
          <cell r="I307" t="str">
            <v>'112.26369</v>
          </cell>
          <cell r="J307" t="str">
            <v>'-8.04150</v>
          </cell>
          <cell r="K307" t="str">
            <v>-</v>
          </cell>
          <cell r="L307" t="str">
            <v>Brantas</v>
          </cell>
          <cell r="M307" t="str">
            <v>PHB</v>
          </cell>
          <cell r="N307" t="str">
            <v>-</v>
          </cell>
          <cell r="O307" t="str">
            <v>-</v>
          </cell>
          <cell r="P307" t="str">
            <v>-</v>
          </cell>
        </row>
        <row r="308">
          <cell r="B308">
            <v>350405017</v>
          </cell>
          <cell r="C308" t="str">
            <v>Garum</v>
          </cell>
          <cell r="D308" t="str">
            <v>-</v>
          </cell>
          <cell r="E308" t="str">
            <v>PSDA di Malang</v>
          </cell>
          <cell r="F308" t="str">
            <v>Tawangsari</v>
          </cell>
          <cell r="G308" t="str">
            <v>Garum</v>
          </cell>
          <cell r="H308" t="str">
            <v>Blitar</v>
          </cell>
          <cell r="I308" t="str">
            <v>'112.22000</v>
          </cell>
          <cell r="J308" t="str">
            <v>'-8.07556</v>
          </cell>
          <cell r="K308" t="str">
            <v>-</v>
          </cell>
          <cell r="L308" t="str">
            <v>Brantas</v>
          </cell>
          <cell r="M308" t="str">
            <v>PHB</v>
          </cell>
          <cell r="N308" t="str">
            <v>-</v>
          </cell>
          <cell r="O308" t="str">
            <v>-</v>
          </cell>
          <cell r="P308" t="str">
            <v>-</v>
          </cell>
        </row>
        <row r="309">
          <cell r="B309">
            <v>350405018</v>
          </cell>
          <cell r="C309" t="str">
            <v>Kanigoro</v>
          </cell>
          <cell r="D309" t="str">
            <v>-</v>
          </cell>
          <cell r="E309" t="str">
            <v>PSDA di Malang</v>
          </cell>
          <cell r="F309" t="str">
            <v>Satreyan</v>
          </cell>
          <cell r="G309" t="str">
            <v>Kanigoro</v>
          </cell>
          <cell r="H309" t="str">
            <v>Blitar</v>
          </cell>
          <cell r="I309" t="str">
            <v>'112.22022</v>
          </cell>
          <cell r="J309" t="str">
            <v>'-8.14475</v>
          </cell>
          <cell r="K309" t="str">
            <v>-</v>
          </cell>
          <cell r="L309" t="str">
            <v>Brantas</v>
          </cell>
          <cell r="M309" t="str">
            <v>PHB</v>
          </cell>
          <cell r="N309" t="str">
            <v>-</v>
          </cell>
          <cell r="O309" t="str">
            <v>-</v>
          </cell>
          <cell r="P309" t="str">
            <v>-</v>
          </cell>
        </row>
        <row r="310">
          <cell r="B310">
            <v>350405019</v>
          </cell>
          <cell r="C310" t="str">
            <v>Pojok</v>
          </cell>
          <cell r="D310" t="str">
            <v>-</v>
          </cell>
          <cell r="E310" t="str">
            <v>PSDA di Malang</v>
          </cell>
          <cell r="F310" t="str">
            <v>Pojok</v>
          </cell>
          <cell r="G310" t="str">
            <v>Garum</v>
          </cell>
          <cell r="H310" t="str">
            <v>Blitar</v>
          </cell>
          <cell r="I310" t="str">
            <v>'112.20814</v>
          </cell>
          <cell r="J310" t="str">
            <v>'-8.07178</v>
          </cell>
          <cell r="K310" t="str">
            <v>-</v>
          </cell>
          <cell r="L310" t="str">
            <v>Brantas</v>
          </cell>
          <cell r="M310" t="str">
            <v>PHB</v>
          </cell>
          <cell r="N310" t="str">
            <v>-</v>
          </cell>
          <cell r="O310" t="str">
            <v>-</v>
          </cell>
          <cell r="P310" t="str">
            <v>-</v>
          </cell>
        </row>
        <row r="311">
          <cell r="B311">
            <v>350405020</v>
          </cell>
          <cell r="C311" t="str">
            <v>Kali Badak</v>
          </cell>
          <cell r="D311" t="str">
            <v>-</v>
          </cell>
          <cell r="E311" t="str">
            <v>PSDA di Malang</v>
          </cell>
          <cell r="F311" t="str">
            <v>Penataran</v>
          </cell>
          <cell r="G311" t="str">
            <v>Nglegok</v>
          </cell>
          <cell r="H311" t="str">
            <v>Blitar</v>
          </cell>
          <cell r="I311" t="str">
            <v>'112.243767</v>
          </cell>
          <cell r="J311" t="str">
            <v>'-7.9705861</v>
          </cell>
          <cell r="K311" t="str">
            <v>-</v>
          </cell>
          <cell r="L311" t="str">
            <v>Brantas</v>
          </cell>
          <cell r="M311" t="str">
            <v>PHB</v>
          </cell>
          <cell r="N311" t="str">
            <v>-</v>
          </cell>
          <cell r="O311" t="str">
            <v>-</v>
          </cell>
          <cell r="P311" t="str">
            <v>-</v>
          </cell>
        </row>
        <row r="312">
          <cell r="B312">
            <v>350405021</v>
          </cell>
          <cell r="C312" t="str">
            <v>Kaulon</v>
          </cell>
          <cell r="D312" t="str">
            <v>-</v>
          </cell>
          <cell r="E312" t="str">
            <v>PSDA di Malang</v>
          </cell>
          <cell r="F312" t="str">
            <v>Selopuro</v>
          </cell>
          <cell r="G312" t="str">
            <v>Selopuro</v>
          </cell>
          <cell r="H312" t="str">
            <v>Blitar</v>
          </cell>
          <cell r="I312" t="str">
            <v>'112.30172</v>
          </cell>
          <cell r="J312" t="str">
            <v>'-8.14894</v>
          </cell>
          <cell r="K312" t="str">
            <v>-</v>
          </cell>
          <cell r="L312" t="str">
            <v>Brantas</v>
          </cell>
          <cell r="M312" t="str">
            <v>PHB</v>
          </cell>
          <cell r="N312" t="str">
            <v>-</v>
          </cell>
          <cell r="O312" t="str">
            <v>-</v>
          </cell>
          <cell r="P312" t="str">
            <v>-</v>
          </cell>
        </row>
        <row r="313">
          <cell r="B313">
            <v>350405022</v>
          </cell>
          <cell r="C313" t="str">
            <v>Bendosewu</v>
          </cell>
          <cell r="D313" t="str">
            <v>-</v>
          </cell>
          <cell r="E313" t="str">
            <v>PSDA di Malang</v>
          </cell>
          <cell r="F313" t="str">
            <v>Bendosewu</v>
          </cell>
          <cell r="G313" t="str">
            <v>Talun</v>
          </cell>
          <cell r="H313" t="str">
            <v>Blitar</v>
          </cell>
          <cell r="I313" t="str">
            <v>'112.27806</v>
          </cell>
          <cell r="J313" t="str">
            <v>'-8.12083</v>
          </cell>
          <cell r="K313" t="str">
            <v>-</v>
          </cell>
          <cell r="L313" t="str">
            <v>Brantas</v>
          </cell>
          <cell r="M313" t="str">
            <v>PHB</v>
          </cell>
          <cell r="N313" t="str">
            <v>-</v>
          </cell>
          <cell r="O313" t="str">
            <v>-</v>
          </cell>
          <cell r="P313" t="str">
            <v>-</v>
          </cell>
        </row>
        <row r="314">
          <cell r="B314">
            <v>350405023</v>
          </cell>
          <cell r="C314" t="str">
            <v>Gandusari</v>
          </cell>
          <cell r="D314" t="str">
            <v>-</v>
          </cell>
          <cell r="E314" t="str">
            <v>PSDA di Malang</v>
          </cell>
          <cell r="F314" t="str">
            <v>Gadungan</v>
          </cell>
          <cell r="G314" t="str">
            <v>Gandusari</v>
          </cell>
          <cell r="H314" t="str">
            <v>Blitar</v>
          </cell>
          <cell r="I314" t="str">
            <v>'112.14028</v>
          </cell>
          <cell r="J314" t="str">
            <v>'-8.02481</v>
          </cell>
          <cell r="K314" t="str">
            <v>-</v>
          </cell>
          <cell r="L314" t="str">
            <v>Brantas</v>
          </cell>
          <cell r="M314" t="str">
            <v>PHB</v>
          </cell>
          <cell r="N314" t="str">
            <v>-</v>
          </cell>
          <cell r="O314" t="str">
            <v>-</v>
          </cell>
          <cell r="P314" t="str">
            <v>-</v>
          </cell>
        </row>
        <row r="315">
          <cell r="B315">
            <v>350405024</v>
          </cell>
          <cell r="C315" t="str">
            <v>Bantaran</v>
          </cell>
          <cell r="D315" t="str">
            <v>-</v>
          </cell>
          <cell r="E315" t="str">
            <v>PSDA di Malang</v>
          </cell>
          <cell r="F315" t="str">
            <v>Tulungrejo</v>
          </cell>
          <cell r="G315" t="str">
            <v>Gandusari</v>
          </cell>
          <cell r="H315" t="str">
            <v>Blitar</v>
          </cell>
          <cell r="I315" t="str">
            <v>'112.35222</v>
          </cell>
          <cell r="J315" t="str">
            <v>'-7.98597</v>
          </cell>
          <cell r="K315" t="str">
            <v>-</v>
          </cell>
          <cell r="L315" t="str">
            <v>Brantas</v>
          </cell>
          <cell r="M315" t="str">
            <v>PHB</v>
          </cell>
          <cell r="N315" t="str">
            <v>-</v>
          </cell>
          <cell r="O315" t="str">
            <v>-</v>
          </cell>
          <cell r="P315" t="str">
            <v>-</v>
          </cell>
        </row>
        <row r="316">
          <cell r="B316">
            <v>350405025</v>
          </cell>
          <cell r="C316" t="str">
            <v>Semen</v>
          </cell>
          <cell r="D316" t="str">
            <v>-</v>
          </cell>
          <cell r="E316" t="str">
            <v>PSDA di Malang</v>
          </cell>
          <cell r="F316" t="str">
            <v>Semen</v>
          </cell>
          <cell r="G316" t="str">
            <v>Gandusari</v>
          </cell>
          <cell r="H316" t="str">
            <v>Blitar</v>
          </cell>
          <cell r="I316" t="str">
            <v>'112.33891</v>
          </cell>
          <cell r="J316" t="str">
            <v>'-8.000555</v>
          </cell>
          <cell r="K316" t="str">
            <v>-</v>
          </cell>
          <cell r="L316" t="str">
            <v>Brantas</v>
          </cell>
          <cell r="M316" t="str">
            <v>PHB</v>
          </cell>
          <cell r="N316" t="str">
            <v>-</v>
          </cell>
          <cell r="O316" t="str">
            <v>-</v>
          </cell>
          <cell r="P316" t="str">
            <v>-</v>
          </cell>
        </row>
        <row r="317">
          <cell r="B317">
            <v>350405026</v>
          </cell>
          <cell r="C317" t="str">
            <v>Wlingi</v>
          </cell>
          <cell r="D317" t="str">
            <v>-</v>
          </cell>
          <cell r="E317" t="str">
            <v>PSDA di Malang</v>
          </cell>
          <cell r="F317" t="str">
            <v>Babadan</v>
          </cell>
          <cell r="G317" t="str">
            <v>Wlingi</v>
          </cell>
          <cell r="H317" t="str">
            <v>Blitar</v>
          </cell>
          <cell r="I317" t="str">
            <v>'112.32483</v>
          </cell>
          <cell r="J317" t="str">
            <v>'-8.07817</v>
          </cell>
          <cell r="K317" t="str">
            <v>-</v>
          </cell>
          <cell r="L317" t="str">
            <v>Brantas</v>
          </cell>
          <cell r="M317" t="str">
            <v>PHB</v>
          </cell>
          <cell r="N317" t="str">
            <v>-</v>
          </cell>
          <cell r="O317" t="str">
            <v>-</v>
          </cell>
          <cell r="P317" t="str">
            <v>-</v>
          </cell>
        </row>
        <row r="318">
          <cell r="B318">
            <v>350405027</v>
          </cell>
          <cell r="C318" t="str">
            <v>Talun BLT</v>
          </cell>
          <cell r="D318" t="str">
            <v>-</v>
          </cell>
          <cell r="E318" t="str">
            <v>PSDA di Malang</v>
          </cell>
          <cell r="F318" t="str">
            <v>Bajang</v>
          </cell>
          <cell r="G318" t="str">
            <v>Talun</v>
          </cell>
          <cell r="H318" t="str">
            <v>Blitar</v>
          </cell>
          <cell r="I318" t="str">
            <v>'112.29164</v>
          </cell>
          <cell r="J318" t="str">
            <v>'-8.09433</v>
          </cell>
          <cell r="K318" t="str">
            <v>-</v>
          </cell>
          <cell r="L318" t="str">
            <v>Brantas</v>
          </cell>
          <cell r="M318" t="str">
            <v>PHB</v>
          </cell>
          <cell r="N318" t="str">
            <v>-</v>
          </cell>
          <cell r="O318" t="str">
            <v>-</v>
          </cell>
          <cell r="P318" t="str">
            <v>-</v>
          </cell>
        </row>
        <row r="319">
          <cell r="B319">
            <v>350405028</v>
          </cell>
          <cell r="C319" t="str">
            <v>Gogolatar</v>
          </cell>
          <cell r="D319" t="str">
            <v>-</v>
          </cell>
          <cell r="E319" t="str">
            <v>PSDA di Malang</v>
          </cell>
          <cell r="F319" t="str">
            <v>Tambakan</v>
          </cell>
          <cell r="G319" t="str">
            <v>Gandusari</v>
          </cell>
          <cell r="H319" t="str">
            <v>Blitar</v>
          </cell>
          <cell r="I319" t="str">
            <v>'112.30786</v>
          </cell>
          <cell r="J319" t="str">
            <v>'-8.00903</v>
          </cell>
          <cell r="K319" t="str">
            <v>-</v>
          </cell>
          <cell r="L319" t="str">
            <v>Brantas</v>
          </cell>
          <cell r="M319" t="str">
            <v>PHB</v>
          </cell>
          <cell r="N319" t="str">
            <v>-</v>
          </cell>
          <cell r="O319" t="str">
            <v>-</v>
          </cell>
          <cell r="P319" t="str">
            <v>-</v>
          </cell>
        </row>
        <row r="320">
          <cell r="B320">
            <v>350405029</v>
          </cell>
          <cell r="C320" t="str">
            <v>Bacem</v>
          </cell>
          <cell r="D320" t="str">
            <v>-</v>
          </cell>
          <cell r="E320" t="str">
            <v>PSDA di Malang</v>
          </cell>
          <cell r="F320" t="str">
            <v>Bacem</v>
          </cell>
          <cell r="G320" t="str">
            <v>Ponggok</v>
          </cell>
          <cell r="H320" t="str">
            <v>Blitar</v>
          </cell>
          <cell r="I320" t="str">
            <v>'112.22944</v>
          </cell>
          <cell r="J320" t="str">
            <v>'-8.19417</v>
          </cell>
          <cell r="K320" t="str">
            <v>-</v>
          </cell>
          <cell r="L320" t="str">
            <v>Brantas</v>
          </cell>
          <cell r="M320" t="str">
            <v>PHB</v>
          </cell>
          <cell r="N320" t="str">
            <v>-</v>
          </cell>
          <cell r="O320" t="str">
            <v>-</v>
          </cell>
          <cell r="P320" t="str">
            <v>-</v>
          </cell>
        </row>
        <row r="321">
          <cell r="B321">
            <v>350405030</v>
          </cell>
          <cell r="C321" t="str">
            <v>Judeg</v>
          </cell>
          <cell r="D321" t="str">
            <v>-</v>
          </cell>
          <cell r="E321" t="str">
            <v>PSDA di Malang</v>
          </cell>
          <cell r="F321" t="str">
            <v>Margomulyo</v>
          </cell>
          <cell r="G321" t="str">
            <v>Panggungrejo</v>
          </cell>
          <cell r="H321" t="str">
            <v>Blitar</v>
          </cell>
          <cell r="I321" t="str">
            <v>'112.26333</v>
          </cell>
          <cell r="J321" t="str">
            <v>'-8.19028</v>
          </cell>
          <cell r="K321" t="str">
            <v>-</v>
          </cell>
          <cell r="L321" t="str">
            <v>Brantas</v>
          </cell>
          <cell r="M321" t="str">
            <v>PHB</v>
          </cell>
          <cell r="N321" t="str">
            <v>-</v>
          </cell>
          <cell r="O321" t="str">
            <v>-</v>
          </cell>
          <cell r="P321" t="str">
            <v>-</v>
          </cell>
        </row>
        <row r="322">
          <cell r="B322">
            <v>350405031</v>
          </cell>
          <cell r="C322" t="str">
            <v>Klampok</v>
          </cell>
          <cell r="D322" t="str">
            <v>-</v>
          </cell>
          <cell r="E322" t="str">
            <v>PSDA di Malang</v>
          </cell>
          <cell r="F322" t="str">
            <v>Dawuhan</v>
          </cell>
          <cell r="G322" t="str">
            <v>Kademangan</v>
          </cell>
          <cell r="H322" t="str">
            <v>Blitar</v>
          </cell>
          <cell r="I322" t="str">
            <v>'112.13361</v>
          </cell>
          <cell r="J322" t="str">
            <v>'-8.17083</v>
          </cell>
          <cell r="K322" t="str">
            <v>-</v>
          </cell>
          <cell r="L322" t="str">
            <v>Brantas</v>
          </cell>
          <cell r="M322" t="str">
            <v>PHB</v>
          </cell>
          <cell r="N322" t="str">
            <v>-</v>
          </cell>
          <cell r="O322" t="str">
            <v>-</v>
          </cell>
          <cell r="P322" t="str">
            <v>-</v>
          </cell>
        </row>
        <row r="323">
          <cell r="B323">
            <v>350405032</v>
          </cell>
          <cell r="C323" t="str">
            <v>Kademangan BLT</v>
          </cell>
          <cell r="D323" t="str">
            <v>-</v>
          </cell>
          <cell r="E323" t="str">
            <v>PSDA di Malang</v>
          </cell>
          <cell r="F323" t="str">
            <v>Rejowinangun</v>
          </cell>
          <cell r="G323" t="str">
            <v>Kademangan</v>
          </cell>
          <cell r="H323" t="str">
            <v>Blitar</v>
          </cell>
          <cell r="I323" t="str">
            <v>'112.14847</v>
          </cell>
          <cell r="J323" t="str">
            <v>'-8.14764</v>
          </cell>
          <cell r="K323" t="str">
            <v>-</v>
          </cell>
          <cell r="L323" t="str">
            <v>Brantas</v>
          </cell>
          <cell r="M323" t="str">
            <v>PHB</v>
          </cell>
          <cell r="N323" t="str">
            <v>-</v>
          </cell>
          <cell r="O323" t="str">
            <v>-</v>
          </cell>
          <cell r="P323" t="str">
            <v>-</v>
          </cell>
        </row>
        <row r="324">
          <cell r="B324">
            <v>350405033</v>
          </cell>
          <cell r="C324" t="str">
            <v>Birowo</v>
          </cell>
          <cell r="D324" t="str">
            <v>-</v>
          </cell>
          <cell r="E324" t="str">
            <v>PSDA di Malang</v>
          </cell>
          <cell r="F324" t="str">
            <v>Birowo</v>
          </cell>
          <cell r="G324" t="str">
            <v>Binangun</v>
          </cell>
          <cell r="H324" t="str">
            <v>Blitar</v>
          </cell>
          <cell r="I324" t="str">
            <v>'112.36697</v>
          </cell>
          <cell r="J324" t="str">
            <v>'-8.22561</v>
          </cell>
          <cell r="K324" t="str">
            <v>-</v>
          </cell>
          <cell r="L324" t="str">
            <v>Brantas</v>
          </cell>
          <cell r="M324" t="str">
            <v>PHB</v>
          </cell>
          <cell r="N324" t="str">
            <v>-</v>
          </cell>
          <cell r="O324" t="str">
            <v>-</v>
          </cell>
          <cell r="P324" t="str">
            <v>-</v>
          </cell>
        </row>
        <row r="325">
          <cell r="B325">
            <v>350405034</v>
          </cell>
          <cell r="C325" t="str">
            <v>Doko</v>
          </cell>
          <cell r="D325" t="str">
            <v>-</v>
          </cell>
          <cell r="E325" t="str">
            <v>PSDA di Malang</v>
          </cell>
          <cell r="F325" t="str">
            <v>Slorok</v>
          </cell>
          <cell r="G325" t="str">
            <v>Doko</v>
          </cell>
          <cell r="H325" t="str">
            <v>Blitar</v>
          </cell>
          <cell r="I325" t="str">
            <v>'112.58194</v>
          </cell>
          <cell r="J325" t="str">
            <v>'-8.19472</v>
          </cell>
          <cell r="K325" t="str">
            <v>-</v>
          </cell>
          <cell r="L325" t="str">
            <v>Brantas</v>
          </cell>
          <cell r="M325" t="str">
            <v>PHB</v>
          </cell>
          <cell r="N325" t="str">
            <v>-</v>
          </cell>
          <cell r="O325" t="str">
            <v>-</v>
          </cell>
          <cell r="P325" t="str">
            <v>-</v>
          </cell>
        </row>
        <row r="326">
          <cell r="B326">
            <v>350405035</v>
          </cell>
          <cell r="C326" t="str">
            <v>Kalimanis</v>
          </cell>
          <cell r="D326" t="str">
            <v>-</v>
          </cell>
          <cell r="E326" t="str">
            <v>PSDA di Malang</v>
          </cell>
          <cell r="F326" t="str">
            <v>Pagergunung</v>
          </cell>
          <cell r="G326" t="str">
            <v>Kesamben</v>
          </cell>
          <cell r="H326" t="str">
            <v>Blitar</v>
          </cell>
          <cell r="I326" t="str">
            <v>'112.36967</v>
          </cell>
          <cell r="J326" t="str">
            <v>'-8.15275</v>
          </cell>
          <cell r="K326" t="str">
            <v>-</v>
          </cell>
          <cell r="L326" t="str">
            <v>Brantas</v>
          </cell>
          <cell r="M326" t="str">
            <v>PHB</v>
          </cell>
          <cell r="N326" t="str">
            <v>-</v>
          </cell>
          <cell r="O326" t="str">
            <v>-</v>
          </cell>
          <cell r="P326" t="str">
            <v>-</v>
          </cell>
        </row>
        <row r="327">
          <cell r="B327">
            <v>350405036</v>
          </cell>
          <cell r="C327" t="str">
            <v>Kesamben</v>
          </cell>
          <cell r="D327" t="str">
            <v>-</v>
          </cell>
          <cell r="E327" t="str">
            <v>PSDA di Malang</v>
          </cell>
          <cell r="F327" t="str">
            <v>Kesamben</v>
          </cell>
          <cell r="G327" t="str">
            <v>Kesamben</v>
          </cell>
          <cell r="H327" t="str">
            <v>Blitar</v>
          </cell>
          <cell r="I327" t="str">
            <v>'112.37167</v>
          </cell>
          <cell r="J327" t="str">
            <v>'-8.14394</v>
          </cell>
          <cell r="K327" t="str">
            <v>-</v>
          </cell>
          <cell r="L327" t="str">
            <v>Brantas</v>
          </cell>
          <cell r="M327" t="str">
            <v>PHB</v>
          </cell>
          <cell r="N327" t="str">
            <v>-</v>
          </cell>
          <cell r="O327" t="str">
            <v>-</v>
          </cell>
          <cell r="P327" t="str">
            <v>-</v>
          </cell>
        </row>
        <row r="328">
          <cell r="B328">
            <v>350405037</v>
          </cell>
          <cell r="C328" t="str">
            <v>Ngrendeng</v>
          </cell>
          <cell r="D328" t="str">
            <v>-</v>
          </cell>
          <cell r="E328" t="str">
            <v>PSDA di Malang</v>
          </cell>
          <cell r="F328" t="str">
            <v>Ngrendeng</v>
          </cell>
          <cell r="G328" t="str">
            <v>Selorejo</v>
          </cell>
          <cell r="H328" t="str">
            <v>Blitar</v>
          </cell>
          <cell r="I328" t="str">
            <v>'112.42306</v>
          </cell>
          <cell r="J328" t="str">
            <v>'-8.13417</v>
          </cell>
          <cell r="K328" t="str">
            <v>-</v>
          </cell>
          <cell r="L328" t="str">
            <v>Brantas</v>
          </cell>
          <cell r="M328" t="str">
            <v>PHB</v>
          </cell>
          <cell r="N328" t="str">
            <v>-</v>
          </cell>
          <cell r="O328" t="str">
            <v>-</v>
          </cell>
          <cell r="P328" t="str">
            <v>-</v>
          </cell>
        </row>
        <row r="329">
          <cell r="B329">
            <v>350405038</v>
          </cell>
          <cell r="C329" t="str">
            <v>Ngadirenggo</v>
          </cell>
          <cell r="D329" t="str">
            <v>-</v>
          </cell>
          <cell r="E329" t="str">
            <v>PSDA di Malang</v>
          </cell>
          <cell r="F329" t="str">
            <v>Ngadirenggo</v>
          </cell>
          <cell r="G329" t="str">
            <v>Wlingi</v>
          </cell>
          <cell r="H329" t="str">
            <v>Blitar</v>
          </cell>
          <cell r="I329" t="str">
            <v>'112.34889</v>
          </cell>
          <cell r="J329" t="str">
            <v>'-8.03417</v>
          </cell>
          <cell r="K329" t="str">
            <v>-</v>
          </cell>
          <cell r="L329" t="str">
            <v>Brantas</v>
          </cell>
          <cell r="M329" t="str">
            <v>PHB</v>
          </cell>
          <cell r="N329" t="str">
            <v>-</v>
          </cell>
          <cell r="O329" t="str">
            <v>-</v>
          </cell>
          <cell r="P329" t="str">
            <v>-</v>
          </cell>
        </row>
        <row r="330">
          <cell r="B330">
            <v>350407001</v>
          </cell>
          <cell r="C330" t="str">
            <v>Jombok</v>
          </cell>
          <cell r="D330" t="str">
            <v>-</v>
          </cell>
          <cell r="E330" t="str">
            <v>PSDA di Malang</v>
          </cell>
          <cell r="F330" t="str">
            <v>Jombok</v>
          </cell>
          <cell r="G330" t="str">
            <v>Ngantang</v>
          </cell>
          <cell r="H330" t="str">
            <v>Malang</v>
          </cell>
          <cell r="I330" t="str">
            <v>'112.369972</v>
          </cell>
          <cell r="J330" t="str">
            <v>'-7.823772</v>
          </cell>
          <cell r="K330" t="str">
            <v>-</v>
          </cell>
          <cell r="L330" t="str">
            <v>Brantas</v>
          </cell>
          <cell r="M330" t="str">
            <v>PHB</v>
          </cell>
          <cell r="N330" t="str">
            <v>-</v>
          </cell>
          <cell r="O330" t="str">
            <v>-</v>
          </cell>
          <cell r="P330" t="str">
            <v>-</v>
          </cell>
        </row>
        <row r="331">
          <cell r="B331">
            <v>350407002</v>
          </cell>
          <cell r="C331" t="str">
            <v>Ngantang</v>
          </cell>
          <cell r="D331" t="str">
            <v>-</v>
          </cell>
          <cell r="E331" t="str">
            <v>PSDA di Malang</v>
          </cell>
          <cell r="F331" t="str">
            <v>Kaumrejo</v>
          </cell>
          <cell r="G331" t="str">
            <v>Ngantang</v>
          </cell>
          <cell r="H331" t="str">
            <v>Malang</v>
          </cell>
          <cell r="I331" t="str">
            <v>'112.3703</v>
          </cell>
          <cell r="J331" t="str">
            <v>'-7.854239</v>
          </cell>
          <cell r="K331" t="str">
            <v>-</v>
          </cell>
          <cell r="L331" t="str">
            <v>Brantas</v>
          </cell>
          <cell r="M331" t="str">
            <v>PHB</v>
          </cell>
          <cell r="N331" t="str">
            <v>-</v>
          </cell>
          <cell r="O331" t="str">
            <v>-</v>
          </cell>
          <cell r="P331" t="str">
            <v>-</v>
          </cell>
        </row>
        <row r="332">
          <cell r="B332">
            <v>350407003</v>
          </cell>
          <cell r="C332" t="str">
            <v>Kedungrejo</v>
          </cell>
          <cell r="D332" t="str">
            <v>-</v>
          </cell>
          <cell r="E332" t="str">
            <v>PSDA di Malang</v>
          </cell>
          <cell r="F332" t="str">
            <v>Sukomulyo</v>
          </cell>
          <cell r="G332" t="str">
            <v>Pujon</v>
          </cell>
          <cell r="H332" t="str">
            <v>Malang</v>
          </cell>
          <cell r="I332" t="str">
            <v>'112.43369</v>
          </cell>
          <cell r="J332" t="str">
            <v>'-7.85853</v>
          </cell>
          <cell r="K332" t="str">
            <v>-</v>
          </cell>
          <cell r="L332" t="str">
            <v>Brantas</v>
          </cell>
          <cell r="M332" t="str">
            <v>PHB</v>
          </cell>
          <cell r="N332" t="str">
            <v>-</v>
          </cell>
          <cell r="O332" t="str">
            <v>-</v>
          </cell>
          <cell r="P332" t="str">
            <v>-</v>
          </cell>
        </row>
        <row r="333">
          <cell r="B333">
            <v>350407004</v>
          </cell>
          <cell r="C333" t="str">
            <v>Pujon</v>
          </cell>
          <cell r="D333" t="str">
            <v>-</v>
          </cell>
          <cell r="E333" t="str">
            <v>PSDA di Malang</v>
          </cell>
          <cell r="F333" t="str">
            <v>Ngroto</v>
          </cell>
          <cell r="G333" t="str">
            <v>Pujon</v>
          </cell>
          <cell r="H333" t="str">
            <v>Malang</v>
          </cell>
          <cell r="I333" t="str">
            <v>'112.46719</v>
          </cell>
          <cell r="J333" t="str">
            <v>'-7.83922</v>
          </cell>
          <cell r="K333" t="str">
            <v>-</v>
          </cell>
          <cell r="L333" t="str">
            <v>Brantas</v>
          </cell>
          <cell r="M333" t="str">
            <v>PHB</v>
          </cell>
          <cell r="N333" t="str">
            <v>-</v>
          </cell>
          <cell r="O333" t="str">
            <v>-</v>
          </cell>
          <cell r="P333" t="str">
            <v>-</v>
          </cell>
        </row>
        <row r="334">
          <cell r="B334">
            <v>350407005</v>
          </cell>
          <cell r="C334" t="str">
            <v>Sekar</v>
          </cell>
          <cell r="D334" t="str">
            <v>-</v>
          </cell>
          <cell r="E334" t="str">
            <v>PSDA di Malang</v>
          </cell>
          <cell r="F334" t="str">
            <v>Ngantru</v>
          </cell>
          <cell r="G334" t="str">
            <v>Ngantang</v>
          </cell>
          <cell r="H334" t="str">
            <v>Malang</v>
          </cell>
          <cell r="I334" t="str">
            <v>'112.36811</v>
          </cell>
          <cell r="J334" t="str">
            <v>'-7.89992</v>
          </cell>
          <cell r="K334" t="str">
            <v>-</v>
          </cell>
          <cell r="L334" t="str">
            <v>Brantas</v>
          </cell>
          <cell r="M334" t="str">
            <v>PHB</v>
          </cell>
          <cell r="N334" t="str">
            <v>-</v>
          </cell>
          <cell r="O334" t="str">
            <v>-</v>
          </cell>
          <cell r="P334" t="str">
            <v>-</v>
          </cell>
        </row>
        <row r="335">
          <cell r="B335">
            <v>350407006</v>
          </cell>
          <cell r="C335" t="str">
            <v>Kasembon</v>
          </cell>
          <cell r="D335" t="str">
            <v>-</v>
          </cell>
          <cell r="E335" t="str">
            <v>PSDA di Malang</v>
          </cell>
          <cell r="F335" t="str">
            <v>Kasembon</v>
          </cell>
          <cell r="G335" t="str">
            <v>Kasembon</v>
          </cell>
          <cell r="H335" t="str">
            <v>Malang</v>
          </cell>
          <cell r="I335" t="str">
            <v>'112.31839</v>
          </cell>
          <cell r="J335" t="str">
            <v>'-7.78528</v>
          </cell>
          <cell r="K335" t="str">
            <v>-</v>
          </cell>
          <cell r="L335" t="str">
            <v>Brantas</v>
          </cell>
          <cell r="M335" t="str">
            <v>PHB</v>
          </cell>
          <cell r="N335" t="str">
            <v>-</v>
          </cell>
          <cell r="O335" t="str">
            <v>-</v>
          </cell>
          <cell r="P335" t="str">
            <v>-</v>
          </cell>
        </row>
        <row r="336">
          <cell r="B336">
            <v>350407007</v>
          </cell>
          <cell r="C336" t="str">
            <v>Tajinan</v>
          </cell>
          <cell r="D336" t="str">
            <v>-</v>
          </cell>
          <cell r="E336" t="str">
            <v>PSDA di Malang</v>
          </cell>
          <cell r="F336" t="str">
            <v>Gunungsari</v>
          </cell>
          <cell r="G336" t="str">
            <v>Tajinan</v>
          </cell>
          <cell r="H336" t="str">
            <v>Malang</v>
          </cell>
          <cell r="I336" t="str">
            <v>'112.69528</v>
          </cell>
          <cell r="J336" t="str">
            <v>'-8.04806</v>
          </cell>
          <cell r="K336" t="str">
            <v>-</v>
          </cell>
          <cell r="L336" t="str">
            <v>Brantas</v>
          </cell>
          <cell r="M336" t="str">
            <v>PHB</v>
          </cell>
          <cell r="N336" t="str">
            <v>-</v>
          </cell>
          <cell r="O336" t="str">
            <v>-</v>
          </cell>
          <cell r="P336" t="str">
            <v>-</v>
          </cell>
        </row>
        <row r="337">
          <cell r="B337">
            <v>350407008</v>
          </cell>
          <cell r="C337" t="str">
            <v>Bululawang</v>
          </cell>
          <cell r="D337" t="str">
            <v>-</v>
          </cell>
          <cell r="E337" t="str">
            <v>PSDA di Malang</v>
          </cell>
          <cell r="F337" t="str">
            <v>Bululawang</v>
          </cell>
          <cell r="G337" t="str">
            <v>Bululawang</v>
          </cell>
          <cell r="H337" t="str">
            <v>Malang</v>
          </cell>
          <cell r="I337" t="str">
            <v>'112.64583</v>
          </cell>
          <cell r="J337" t="str">
            <v>'-8.07861</v>
          </cell>
          <cell r="K337" t="str">
            <v>-</v>
          </cell>
          <cell r="L337" t="str">
            <v>Brantas</v>
          </cell>
          <cell r="M337" t="str">
            <v>PHB</v>
          </cell>
          <cell r="N337" t="str">
            <v>-</v>
          </cell>
          <cell r="O337" t="str">
            <v>-</v>
          </cell>
          <cell r="P337" t="str">
            <v>-</v>
          </cell>
        </row>
        <row r="338">
          <cell r="B338">
            <v>350407009</v>
          </cell>
          <cell r="C338" t="str">
            <v>Dampit</v>
          </cell>
          <cell r="D338" t="str">
            <v>-</v>
          </cell>
          <cell r="E338" t="str">
            <v>PSDA di Malang</v>
          </cell>
          <cell r="F338" t="str">
            <v>Dampit</v>
          </cell>
          <cell r="G338" t="str">
            <v>Dampit</v>
          </cell>
          <cell r="H338" t="str">
            <v>Malang</v>
          </cell>
          <cell r="I338" t="str">
            <v>'112.758347</v>
          </cell>
          <cell r="J338" t="str">
            <v>'-8.211461</v>
          </cell>
          <cell r="K338" t="str">
            <v>-</v>
          </cell>
          <cell r="L338" t="str">
            <v>Brantas</v>
          </cell>
          <cell r="M338" t="str">
            <v>PHB</v>
          </cell>
          <cell r="N338" t="str">
            <v>-</v>
          </cell>
          <cell r="O338" t="str">
            <v>-</v>
          </cell>
          <cell r="P338" t="str">
            <v>-</v>
          </cell>
        </row>
        <row r="339">
          <cell r="B339">
            <v>350407010</v>
          </cell>
          <cell r="C339" t="str">
            <v>Sitiarjo</v>
          </cell>
          <cell r="D339" t="str">
            <v>-</v>
          </cell>
          <cell r="E339" t="str">
            <v>PSDA di Malang</v>
          </cell>
          <cell r="F339" t="str">
            <v>Sitiarjo</v>
          </cell>
          <cell r="G339" t="str">
            <v>Sumbermanjing Wetan</v>
          </cell>
          <cell r="H339" t="str">
            <v>Malang</v>
          </cell>
          <cell r="I339" t="str">
            <v>'112.678847</v>
          </cell>
          <cell r="J339" t="str">
            <v>'-8.378739</v>
          </cell>
          <cell r="K339" t="str">
            <v>-</v>
          </cell>
          <cell r="L339" t="str">
            <v>Brantas</v>
          </cell>
          <cell r="M339" t="str">
            <v>PHB</v>
          </cell>
          <cell r="N339" t="str">
            <v>-</v>
          </cell>
          <cell r="O339" t="str">
            <v>-</v>
          </cell>
          <cell r="P339" t="str">
            <v>-</v>
          </cell>
        </row>
        <row r="340">
          <cell r="B340">
            <v>350407011</v>
          </cell>
          <cell r="C340" t="str">
            <v>Poncokusumo</v>
          </cell>
          <cell r="D340" t="str">
            <v>-</v>
          </cell>
          <cell r="E340" t="str">
            <v>PSDA di Malang</v>
          </cell>
          <cell r="F340" t="str">
            <v>Poncokusumo</v>
          </cell>
          <cell r="G340" t="str">
            <v>Poncokusumo</v>
          </cell>
          <cell r="H340" t="str">
            <v>Malang</v>
          </cell>
          <cell r="I340" t="str">
            <v>'112.76822</v>
          </cell>
          <cell r="J340" t="str">
            <v>'-8.04111</v>
          </cell>
          <cell r="K340" t="str">
            <v>-</v>
          </cell>
          <cell r="L340" t="str">
            <v>Brantas</v>
          </cell>
          <cell r="M340" t="str">
            <v>PHB</v>
          </cell>
          <cell r="N340" t="str">
            <v>-</v>
          </cell>
          <cell r="O340" t="str">
            <v>-</v>
          </cell>
          <cell r="P340" t="str">
            <v>-</v>
          </cell>
        </row>
        <row r="341">
          <cell r="B341">
            <v>350407012</v>
          </cell>
          <cell r="C341" t="str">
            <v>Jabung</v>
          </cell>
          <cell r="D341" t="str">
            <v>-</v>
          </cell>
          <cell r="E341" t="str">
            <v>PSDA di Malang</v>
          </cell>
          <cell r="F341" t="str">
            <v>Kemantren</v>
          </cell>
          <cell r="G341" t="str">
            <v>Jabung</v>
          </cell>
          <cell r="H341" t="str">
            <v>Malang</v>
          </cell>
          <cell r="I341" t="str">
            <v>'112.75250</v>
          </cell>
          <cell r="J341" t="str">
            <v>'-7.95444</v>
          </cell>
          <cell r="K341" t="str">
            <v>-</v>
          </cell>
          <cell r="L341" t="str">
            <v>Brantas</v>
          </cell>
          <cell r="M341" t="str">
            <v>PHB</v>
          </cell>
          <cell r="N341" t="str">
            <v>-</v>
          </cell>
          <cell r="O341" t="str">
            <v>-</v>
          </cell>
          <cell r="P341" t="str">
            <v>-</v>
          </cell>
        </row>
        <row r="342">
          <cell r="B342">
            <v>350407013</v>
          </cell>
          <cell r="C342" t="str">
            <v>Tumpang</v>
          </cell>
          <cell r="D342" t="str">
            <v>-</v>
          </cell>
          <cell r="E342" t="str">
            <v>PSDA di Malang</v>
          </cell>
          <cell r="F342" t="str">
            <v>Tumpang</v>
          </cell>
          <cell r="G342" t="str">
            <v>Tumpang</v>
          </cell>
          <cell r="H342" t="str">
            <v>Malang</v>
          </cell>
          <cell r="I342" t="str">
            <v>'112.76061</v>
          </cell>
          <cell r="J342" t="str">
            <v>'-7.99958</v>
          </cell>
          <cell r="K342" t="str">
            <v>-</v>
          </cell>
          <cell r="L342" t="str">
            <v>Brantas</v>
          </cell>
          <cell r="M342" t="str">
            <v>PHB</v>
          </cell>
          <cell r="N342" t="str">
            <v>-</v>
          </cell>
          <cell r="O342" t="str">
            <v>-</v>
          </cell>
          <cell r="P342" t="str">
            <v>-</v>
          </cell>
        </row>
        <row r="343">
          <cell r="B343">
            <v>350407014</v>
          </cell>
          <cell r="C343" t="str">
            <v>Bantur</v>
          </cell>
          <cell r="D343" t="str">
            <v>-</v>
          </cell>
          <cell r="E343" t="str">
            <v>PSDA di Malang</v>
          </cell>
          <cell r="F343" t="str">
            <v>Bantur</v>
          </cell>
          <cell r="G343" t="str">
            <v>Bantur</v>
          </cell>
          <cell r="H343" t="str">
            <v>Malang</v>
          </cell>
          <cell r="I343" t="str">
            <v>'112.57657</v>
          </cell>
          <cell r="J343" t="str">
            <v>'-8.30642</v>
          </cell>
          <cell r="K343" t="str">
            <v>-</v>
          </cell>
          <cell r="L343" t="str">
            <v>Brantas</v>
          </cell>
          <cell r="M343" t="str">
            <v>PHB</v>
          </cell>
          <cell r="N343" t="str">
            <v>-</v>
          </cell>
          <cell r="O343" t="str">
            <v>-</v>
          </cell>
          <cell r="P343" t="str">
            <v>-</v>
          </cell>
        </row>
        <row r="344">
          <cell r="B344">
            <v>350407015</v>
          </cell>
          <cell r="C344" t="str">
            <v>Blambangan</v>
          </cell>
          <cell r="D344" t="str">
            <v>-</v>
          </cell>
          <cell r="E344" t="str">
            <v>PSDA di Malang</v>
          </cell>
          <cell r="F344" t="str">
            <v>Gading</v>
          </cell>
          <cell r="G344" t="str">
            <v>Bululawang</v>
          </cell>
          <cell r="H344" t="str">
            <v>Malang</v>
          </cell>
          <cell r="I344" t="str">
            <v>'112.63533</v>
          </cell>
          <cell r="J344" t="str">
            <v>'-8.10469</v>
          </cell>
          <cell r="K344" t="str">
            <v>-</v>
          </cell>
          <cell r="L344" t="str">
            <v>Brantas</v>
          </cell>
          <cell r="M344" t="str">
            <v>PHB</v>
          </cell>
          <cell r="N344" t="str">
            <v>-</v>
          </cell>
          <cell r="O344" t="str">
            <v>-</v>
          </cell>
          <cell r="P344" t="str">
            <v>-</v>
          </cell>
        </row>
        <row r="345">
          <cell r="B345">
            <v>350407016</v>
          </cell>
          <cell r="C345" t="str">
            <v>Gondanglegi</v>
          </cell>
          <cell r="D345" t="str">
            <v>-</v>
          </cell>
          <cell r="E345" t="str">
            <v>PSDA di Malang</v>
          </cell>
          <cell r="F345" t="str">
            <v>Banjarejo</v>
          </cell>
          <cell r="G345" t="str">
            <v>Pagelaran</v>
          </cell>
          <cell r="H345" t="str">
            <v>Malang</v>
          </cell>
          <cell r="I345" t="str">
            <v>'112.63000</v>
          </cell>
          <cell r="J345" t="str">
            <v>'-8.18250</v>
          </cell>
          <cell r="K345" t="str">
            <v>-</v>
          </cell>
          <cell r="L345" t="str">
            <v>Brantas</v>
          </cell>
          <cell r="M345" t="str">
            <v>PHB</v>
          </cell>
          <cell r="N345" t="str">
            <v>-</v>
          </cell>
          <cell r="O345" t="str">
            <v>-</v>
          </cell>
          <cell r="P345" t="str">
            <v>-</v>
          </cell>
        </row>
        <row r="346">
          <cell r="B346">
            <v>350407017</v>
          </cell>
          <cell r="C346" t="str">
            <v>Karangsuko</v>
          </cell>
          <cell r="D346" t="str">
            <v>-</v>
          </cell>
          <cell r="E346" t="str">
            <v>PSDA di Malang</v>
          </cell>
          <cell r="F346" t="str">
            <v>Karangsuko</v>
          </cell>
          <cell r="G346" t="str">
            <v>Pagelaran</v>
          </cell>
          <cell r="H346" t="str">
            <v>Malang</v>
          </cell>
          <cell r="I346" t="str">
            <v>'112.59083</v>
          </cell>
          <cell r="J346" t="str">
            <v>'-8.15500</v>
          </cell>
          <cell r="K346" t="str">
            <v>-</v>
          </cell>
          <cell r="L346" t="str">
            <v>Brantas</v>
          </cell>
          <cell r="M346" t="str">
            <v>PHB</v>
          </cell>
          <cell r="N346" t="str">
            <v>-</v>
          </cell>
          <cell r="O346" t="str">
            <v>-</v>
          </cell>
          <cell r="P346" t="str">
            <v>-</v>
          </cell>
        </row>
        <row r="347">
          <cell r="B347">
            <v>350407018</v>
          </cell>
          <cell r="C347" t="str">
            <v>Clumprit</v>
          </cell>
          <cell r="D347" t="str">
            <v>-</v>
          </cell>
          <cell r="E347" t="str">
            <v>PSDA di Malang</v>
          </cell>
          <cell r="F347" t="str">
            <v>Kemulan</v>
          </cell>
          <cell r="G347" t="str">
            <v>Turen</v>
          </cell>
          <cell r="H347" t="str">
            <v>Malang</v>
          </cell>
          <cell r="I347" t="str">
            <v>'112.64469</v>
          </cell>
          <cell r="J347" t="str">
            <v>'-8.22917</v>
          </cell>
          <cell r="K347" t="str">
            <v>-</v>
          </cell>
          <cell r="L347" t="str">
            <v>Brantas</v>
          </cell>
          <cell r="M347" t="str">
            <v>PHB</v>
          </cell>
          <cell r="N347" t="str">
            <v>-</v>
          </cell>
          <cell r="O347" t="str">
            <v>-</v>
          </cell>
          <cell r="P347" t="str">
            <v>-</v>
          </cell>
        </row>
        <row r="348">
          <cell r="B348">
            <v>350407019</v>
          </cell>
          <cell r="C348" t="str">
            <v>Tumpukrenteng</v>
          </cell>
          <cell r="D348" t="str">
            <v>-</v>
          </cell>
          <cell r="E348" t="str">
            <v>PSDA di Malang</v>
          </cell>
          <cell r="F348" t="str">
            <v>Tumpukrenteng</v>
          </cell>
          <cell r="G348" t="str">
            <v>Turen</v>
          </cell>
          <cell r="H348" t="str">
            <v>Malang</v>
          </cell>
          <cell r="I348" t="str">
            <v>'112.69692</v>
          </cell>
          <cell r="J348" t="str">
            <v>'-8.12917</v>
          </cell>
          <cell r="K348" t="str">
            <v>-</v>
          </cell>
          <cell r="L348" t="str">
            <v>Brantas</v>
          </cell>
          <cell r="M348" t="str">
            <v>PHB</v>
          </cell>
          <cell r="N348" t="str">
            <v>-</v>
          </cell>
          <cell r="O348" t="str">
            <v>-</v>
          </cell>
          <cell r="P348" t="str">
            <v>-</v>
          </cell>
        </row>
        <row r="349">
          <cell r="B349">
            <v>350407020</v>
          </cell>
          <cell r="C349" t="str">
            <v>Turen</v>
          </cell>
          <cell r="D349" t="str">
            <v>-</v>
          </cell>
          <cell r="E349" t="str">
            <v>PSDA di Malang</v>
          </cell>
          <cell r="F349" t="str">
            <v>Turen</v>
          </cell>
          <cell r="G349" t="str">
            <v>Turen</v>
          </cell>
          <cell r="H349" t="str">
            <v>Malang</v>
          </cell>
          <cell r="I349" t="str">
            <v>'112.69358</v>
          </cell>
          <cell r="J349" t="str">
            <v>'-8.16389</v>
          </cell>
          <cell r="K349" t="str">
            <v>-</v>
          </cell>
          <cell r="L349" t="str">
            <v>Brantas</v>
          </cell>
          <cell r="M349" t="str">
            <v>PHB</v>
          </cell>
          <cell r="N349" t="str">
            <v>-</v>
          </cell>
          <cell r="O349" t="str">
            <v>-</v>
          </cell>
          <cell r="P349" t="str">
            <v>-</v>
          </cell>
        </row>
        <row r="350">
          <cell r="B350">
            <v>350407021</v>
          </cell>
          <cell r="C350" t="str">
            <v>Wajak</v>
          </cell>
          <cell r="D350" t="str">
            <v>-</v>
          </cell>
          <cell r="E350" t="str">
            <v>PSDA di Malang</v>
          </cell>
          <cell r="F350" t="str">
            <v>Wajak</v>
          </cell>
          <cell r="G350" t="str">
            <v>Wajak</v>
          </cell>
          <cell r="H350" t="str">
            <v>Malang</v>
          </cell>
          <cell r="I350" t="str">
            <v>'112.73389</v>
          </cell>
          <cell r="J350" t="str">
            <v>'-8.10442</v>
          </cell>
          <cell r="K350" t="str">
            <v>-</v>
          </cell>
          <cell r="L350" t="str">
            <v>Brantas</v>
          </cell>
          <cell r="M350" t="str">
            <v>PHB</v>
          </cell>
          <cell r="N350" t="str">
            <v>-</v>
          </cell>
          <cell r="O350" t="str">
            <v>-</v>
          </cell>
          <cell r="P350" t="str">
            <v>-</v>
          </cell>
        </row>
        <row r="351">
          <cell r="B351">
            <v>350407022</v>
          </cell>
          <cell r="C351" t="str">
            <v>Panarukan</v>
          </cell>
          <cell r="D351" t="str">
            <v>-</v>
          </cell>
          <cell r="E351" t="str">
            <v>PSDA di Malang</v>
          </cell>
          <cell r="F351" t="str">
            <v>Panarukan</v>
          </cell>
          <cell r="G351" t="str">
            <v>Kepanjen</v>
          </cell>
          <cell r="H351" t="str">
            <v>Malang</v>
          </cell>
          <cell r="I351" t="str">
            <v>'112.57647</v>
          </cell>
          <cell r="J351" t="str">
            <v>'-8.13500</v>
          </cell>
          <cell r="K351" t="str">
            <v>-</v>
          </cell>
          <cell r="L351" t="str">
            <v>Brantas</v>
          </cell>
          <cell r="M351" t="str">
            <v>PHB</v>
          </cell>
          <cell r="N351" t="str">
            <v>-</v>
          </cell>
          <cell r="O351" t="str">
            <v>-</v>
          </cell>
          <cell r="P351" t="str">
            <v>-</v>
          </cell>
        </row>
        <row r="352">
          <cell r="B352">
            <v>350407023</v>
          </cell>
          <cell r="C352" t="str">
            <v>Donomulyo</v>
          </cell>
          <cell r="D352" t="str">
            <v>-</v>
          </cell>
          <cell r="E352" t="str">
            <v>PSDA di Malang</v>
          </cell>
          <cell r="F352" t="str">
            <v>Dono Mulyo</v>
          </cell>
          <cell r="G352" t="str">
            <v>Donomulyo</v>
          </cell>
          <cell r="H352" t="str">
            <v>Malang</v>
          </cell>
          <cell r="I352" t="str">
            <v>'112.43000</v>
          </cell>
          <cell r="J352" t="str">
            <v>'-8.25972</v>
          </cell>
          <cell r="K352" t="str">
            <v>-</v>
          </cell>
          <cell r="L352" t="str">
            <v>Brantas</v>
          </cell>
          <cell r="M352" t="str">
            <v>PHB</v>
          </cell>
          <cell r="N352" t="str">
            <v>-</v>
          </cell>
          <cell r="O352" t="str">
            <v>-</v>
          </cell>
          <cell r="P352" t="str">
            <v>-</v>
          </cell>
        </row>
        <row r="353">
          <cell r="B353">
            <v>350407024</v>
          </cell>
          <cell r="C353" t="str">
            <v>Kalipare</v>
          </cell>
          <cell r="D353" t="str">
            <v>-</v>
          </cell>
          <cell r="E353" t="str">
            <v>PSDA di Malang</v>
          </cell>
          <cell r="F353" t="str">
            <v>Kalipare</v>
          </cell>
          <cell r="G353" t="str">
            <v>Kalipare</v>
          </cell>
          <cell r="H353" t="str">
            <v>Malang</v>
          </cell>
          <cell r="I353" t="str">
            <v>'112.450336</v>
          </cell>
          <cell r="J353" t="str">
            <v>'-8.200293</v>
          </cell>
          <cell r="K353" t="str">
            <v>-</v>
          </cell>
          <cell r="L353" t="str">
            <v>Brantas</v>
          </cell>
          <cell r="M353" t="str">
            <v>PHB</v>
          </cell>
          <cell r="N353" t="str">
            <v>-</v>
          </cell>
          <cell r="O353" t="str">
            <v>-</v>
          </cell>
          <cell r="P353" t="str">
            <v>-</v>
          </cell>
        </row>
        <row r="354">
          <cell r="B354">
            <v>350407025</v>
          </cell>
          <cell r="C354" t="str">
            <v>Pagak</v>
          </cell>
          <cell r="D354" t="str">
            <v>-</v>
          </cell>
          <cell r="E354" t="str">
            <v>PSDA di Malang</v>
          </cell>
          <cell r="F354" t="str">
            <v>Pagak</v>
          </cell>
          <cell r="G354" t="str">
            <v>Pagak</v>
          </cell>
          <cell r="H354" t="str">
            <v>Malang</v>
          </cell>
          <cell r="I354" t="str">
            <v>'112.530717</v>
          </cell>
          <cell r="J354" t="str">
            <v>'-8.222664</v>
          </cell>
          <cell r="K354" t="str">
            <v>-</v>
          </cell>
          <cell r="L354" t="str">
            <v>Brantas</v>
          </cell>
          <cell r="M354" t="str">
            <v>PHB</v>
          </cell>
          <cell r="N354" t="str">
            <v>-</v>
          </cell>
          <cell r="O354" t="str">
            <v>-</v>
          </cell>
          <cell r="P354" t="str">
            <v>-</v>
          </cell>
        </row>
        <row r="355">
          <cell r="B355">
            <v>350407026</v>
          </cell>
          <cell r="C355" t="str">
            <v>Kantor CD</v>
          </cell>
          <cell r="D355" t="str">
            <v>-</v>
          </cell>
          <cell r="E355" t="str">
            <v>PSDA di Malang</v>
          </cell>
          <cell r="F355" t="str">
            <v>Panarukan</v>
          </cell>
          <cell r="G355" t="str">
            <v>Kepanjen</v>
          </cell>
          <cell r="H355" t="str">
            <v>Malang</v>
          </cell>
          <cell r="I355" t="str">
            <v>'112.56669</v>
          </cell>
          <cell r="J355" t="str">
            <v>'-8.13039</v>
          </cell>
          <cell r="K355" t="str">
            <v>-</v>
          </cell>
          <cell r="L355" t="str">
            <v>Brantas</v>
          </cell>
          <cell r="M355" t="str">
            <v>PHB</v>
          </cell>
          <cell r="N355" t="str">
            <v>-</v>
          </cell>
          <cell r="O355" t="str">
            <v>-</v>
          </cell>
          <cell r="P355" t="str">
            <v>-</v>
          </cell>
        </row>
        <row r="356">
          <cell r="B356">
            <v>350407027</v>
          </cell>
          <cell r="C356" t="str">
            <v>Karangploso</v>
          </cell>
          <cell r="D356" t="str">
            <v>-</v>
          </cell>
          <cell r="E356" t="str">
            <v>PSDA di Malang</v>
          </cell>
          <cell r="F356" t="str">
            <v>Girimoyo</v>
          </cell>
          <cell r="G356" t="str">
            <v>Karang Ploso</v>
          </cell>
          <cell r="H356" t="str">
            <v>Malang</v>
          </cell>
          <cell r="I356" t="str">
            <v>'112.5892892</v>
          </cell>
          <cell r="J356" t="str">
            <v>'-7.8790836</v>
          </cell>
          <cell r="K356" t="str">
            <v>-</v>
          </cell>
          <cell r="L356" t="str">
            <v>Brantas</v>
          </cell>
          <cell r="M356" t="str">
            <v>PHB</v>
          </cell>
          <cell r="N356" t="str">
            <v>-</v>
          </cell>
          <cell r="O356" t="str">
            <v>-</v>
          </cell>
          <cell r="P356" t="str">
            <v>-</v>
          </cell>
        </row>
        <row r="357">
          <cell r="B357">
            <v>350407028</v>
          </cell>
          <cell r="C357" t="str">
            <v>Singosari</v>
          </cell>
          <cell r="D357" t="str">
            <v>-</v>
          </cell>
          <cell r="E357" t="str">
            <v>PSDA di Malang</v>
          </cell>
          <cell r="F357" t="str">
            <v>Klampok</v>
          </cell>
          <cell r="G357" t="str">
            <v>Singosari</v>
          </cell>
          <cell r="H357" t="str">
            <v>Malang</v>
          </cell>
          <cell r="I357" t="str">
            <v>'112.66111</v>
          </cell>
          <cell r="J357" t="str">
            <v>'-7.89417</v>
          </cell>
          <cell r="K357" t="str">
            <v>-</v>
          </cell>
          <cell r="L357" t="str">
            <v>Brantas</v>
          </cell>
          <cell r="M357" t="str">
            <v>PHB</v>
          </cell>
          <cell r="N357" t="str">
            <v>-</v>
          </cell>
          <cell r="O357" t="str">
            <v>-</v>
          </cell>
          <cell r="P357" t="str">
            <v>-</v>
          </cell>
        </row>
        <row r="358">
          <cell r="B358">
            <v>350407029</v>
          </cell>
          <cell r="C358" t="str">
            <v>Sbr. Pucung</v>
          </cell>
          <cell r="D358" t="str">
            <v>-</v>
          </cell>
          <cell r="E358" t="str">
            <v>PSDA di Malang</v>
          </cell>
          <cell r="F358" t="str">
            <v>Karangkates</v>
          </cell>
          <cell r="G358" t="str">
            <v>Sumberpucung</v>
          </cell>
          <cell r="H358" t="str">
            <v>Malang</v>
          </cell>
          <cell r="I358" t="str">
            <v>'112.483611111</v>
          </cell>
          <cell r="J358" t="str">
            <v>'-8.1537083</v>
          </cell>
          <cell r="K358" t="str">
            <v>-</v>
          </cell>
          <cell r="L358" t="str">
            <v>Brantas</v>
          </cell>
          <cell r="M358" t="str">
            <v>PHB</v>
          </cell>
          <cell r="N358" t="str">
            <v>-</v>
          </cell>
          <cell r="O358" t="str">
            <v>-</v>
          </cell>
          <cell r="P358" t="str">
            <v>-</v>
          </cell>
        </row>
        <row r="359">
          <cell r="B359">
            <v>350407030</v>
          </cell>
          <cell r="C359" t="str">
            <v>Dau</v>
          </cell>
          <cell r="D359" t="str">
            <v>-</v>
          </cell>
          <cell r="E359" t="str">
            <v>PSDA di Malang</v>
          </cell>
          <cell r="F359" t="str">
            <v>Petungsewu</v>
          </cell>
          <cell r="G359" t="str">
            <v>Dau</v>
          </cell>
          <cell r="H359" t="str">
            <v>Malang</v>
          </cell>
          <cell r="I359" t="str">
            <v>'112.55483766</v>
          </cell>
          <cell r="J359" t="str">
            <v>'-7.94693817</v>
          </cell>
          <cell r="K359" t="str">
            <v>-</v>
          </cell>
          <cell r="L359" t="str">
            <v>Brantas</v>
          </cell>
          <cell r="M359" t="str">
            <v>PHB</v>
          </cell>
          <cell r="N359" t="str">
            <v>-</v>
          </cell>
          <cell r="O359" t="str">
            <v>-</v>
          </cell>
          <cell r="P359" t="str">
            <v>-</v>
          </cell>
        </row>
        <row r="360">
          <cell r="B360">
            <v>350407031</v>
          </cell>
          <cell r="C360" t="str">
            <v>Ngajum</v>
          </cell>
          <cell r="D360" t="str">
            <v>-</v>
          </cell>
          <cell r="E360" t="str">
            <v>PSDA di Malang</v>
          </cell>
          <cell r="F360" t="str">
            <v>Ngajum</v>
          </cell>
          <cell r="G360" t="str">
            <v>Ngajung</v>
          </cell>
          <cell r="H360" t="str">
            <v>Malang</v>
          </cell>
          <cell r="I360" t="str">
            <v>'112.54258</v>
          </cell>
          <cell r="J360" t="str">
            <v>'-8.09717</v>
          </cell>
          <cell r="K360" t="str">
            <v>-</v>
          </cell>
          <cell r="L360" t="str">
            <v>Brantas</v>
          </cell>
          <cell r="M360" t="str">
            <v>PHB</v>
          </cell>
          <cell r="N360" t="str">
            <v>-</v>
          </cell>
          <cell r="O360" t="str">
            <v>-</v>
          </cell>
          <cell r="P360" t="str">
            <v>-</v>
          </cell>
        </row>
        <row r="361">
          <cell r="B361">
            <v>350407032</v>
          </cell>
          <cell r="C361" t="str">
            <v>Wagir</v>
          </cell>
          <cell r="D361" t="str">
            <v>-</v>
          </cell>
          <cell r="E361" t="str">
            <v>PSDA di Malang</v>
          </cell>
          <cell r="F361" t="str">
            <v>Parangargo</v>
          </cell>
          <cell r="G361" t="str">
            <v>Wagir</v>
          </cell>
          <cell r="H361" t="str">
            <v>Malang</v>
          </cell>
          <cell r="I361" t="str">
            <v>'112.572006</v>
          </cell>
          <cell r="J361" t="str">
            <v>'-8.008503</v>
          </cell>
          <cell r="K361" t="str">
            <v>-</v>
          </cell>
          <cell r="L361" t="str">
            <v>Brantas</v>
          </cell>
          <cell r="M361" t="str">
            <v>PHB</v>
          </cell>
          <cell r="N361" t="str">
            <v>-</v>
          </cell>
          <cell r="O361" t="str">
            <v>-</v>
          </cell>
          <cell r="P361" t="str">
            <v>-</v>
          </cell>
        </row>
        <row r="362">
          <cell r="B362">
            <v>350407033</v>
          </cell>
          <cell r="C362" t="str">
            <v>Tangkilsari</v>
          </cell>
          <cell r="D362" t="str">
            <v>-</v>
          </cell>
          <cell r="E362" t="str">
            <v>PSDA di Malang</v>
          </cell>
          <cell r="F362" t="str">
            <v>Tangkilsari</v>
          </cell>
          <cell r="G362" t="str">
            <v>Tajinan</v>
          </cell>
          <cell r="H362" t="str">
            <v>Malang</v>
          </cell>
          <cell r="I362" t="str">
            <v>'112.64581</v>
          </cell>
          <cell r="J362" t="str">
            <v>'-8.05969</v>
          </cell>
          <cell r="K362" t="str">
            <v>-</v>
          </cell>
          <cell r="L362" t="str">
            <v>Brantas</v>
          </cell>
          <cell r="M362" t="str">
            <v>PHB</v>
          </cell>
          <cell r="N362" t="str">
            <v>-</v>
          </cell>
          <cell r="O362" t="str">
            <v>-</v>
          </cell>
          <cell r="P362" t="str">
            <v>-</v>
          </cell>
        </row>
        <row r="363">
          <cell r="B363">
            <v>350472001</v>
          </cell>
          <cell r="C363" t="str">
            <v>Bendogerit</v>
          </cell>
          <cell r="D363" t="str">
            <v>-</v>
          </cell>
          <cell r="E363" t="str">
            <v>PSDA di Malang</v>
          </cell>
          <cell r="F363" t="str">
            <v>Bendogerit</v>
          </cell>
          <cell r="G363" t="str">
            <v>Sananwetan</v>
          </cell>
          <cell r="H363" t="str">
            <v>Kota Blitar</v>
          </cell>
          <cell r="I363" t="str">
            <v>'112.17933</v>
          </cell>
          <cell r="J363" t="str">
            <v>'-8.09503</v>
          </cell>
          <cell r="K363" t="str">
            <v>-</v>
          </cell>
          <cell r="L363" t="str">
            <v>Brantas</v>
          </cell>
          <cell r="M363" t="str">
            <v>PHB</v>
          </cell>
          <cell r="N363" t="str">
            <v>-</v>
          </cell>
          <cell r="O363" t="str">
            <v>-</v>
          </cell>
          <cell r="P363" t="str">
            <v>-</v>
          </cell>
        </row>
        <row r="364">
          <cell r="B364">
            <v>350472002</v>
          </cell>
          <cell r="C364" t="str">
            <v>KepanjenLor</v>
          </cell>
          <cell r="D364" t="str">
            <v>-</v>
          </cell>
          <cell r="E364" t="str">
            <v>PSDA di Malang</v>
          </cell>
          <cell r="F364" t="str">
            <v>Kepanjenlor</v>
          </cell>
          <cell r="G364" t="str">
            <v>Kepanjenkidul</v>
          </cell>
          <cell r="H364" t="str">
            <v>Kota Blitar</v>
          </cell>
          <cell r="I364" t="str">
            <v>'112.18028</v>
          </cell>
          <cell r="J364" t="str">
            <v>'-8.08867</v>
          </cell>
          <cell r="K364" t="str">
            <v>-</v>
          </cell>
          <cell r="L364" t="str">
            <v>Brantas</v>
          </cell>
          <cell r="M364" t="str">
            <v>PHB</v>
          </cell>
          <cell r="N364" t="str">
            <v>-</v>
          </cell>
          <cell r="O364" t="str">
            <v>-</v>
          </cell>
          <cell r="P364" t="str">
            <v>-</v>
          </cell>
        </row>
        <row r="365">
          <cell r="B365">
            <v>350472003</v>
          </cell>
          <cell r="C365" t="str">
            <v>Rembang</v>
          </cell>
          <cell r="D365" t="str">
            <v>-</v>
          </cell>
          <cell r="E365" t="str">
            <v>PSDA di Malang</v>
          </cell>
          <cell r="F365" t="str">
            <v>Rembang</v>
          </cell>
          <cell r="G365" t="str">
            <v>Sananwetan</v>
          </cell>
          <cell r="H365" t="str">
            <v>Kota Blitar</v>
          </cell>
          <cell r="I365" t="str">
            <v>'112.15164</v>
          </cell>
          <cell r="J365" t="str">
            <v>'-8.12286</v>
          </cell>
          <cell r="K365" t="str">
            <v>-</v>
          </cell>
          <cell r="L365" t="str">
            <v>Brantas</v>
          </cell>
          <cell r="M365" t="str">
            <v>PHB</v>
          </cell>
          <cell r="N365" t="str">
            <v>-</v>
          </cell>
          <cell r="O365" t="str">
            <v>-</v>
          </cell>
          <cell r="P365" t="str">
            <v>-</v>
          </cell>
        </row>
        <row r="366">
          <cell r="B366">
            <v>350472004</v>
          </cell>
          <cell r="C366" t="str">
            <v>KD. Blitar</v>
          </cell>
          <cell r="D366" t="str">
            <v>-</v>
          </cell>
          <cell r="E366" t="str">
            <v>PSDA di Malang</v>
          </cell>
          <cell r="F366" t="str">
            <v>Gedog</v>
          </cell>
          <cell r="G366" t="str">
            <v>Sananwetan</v>
          </cell>
          <cell r="H366" t="str">
            <v>Kota Blitar</v>
          </cell>
          <cell r="I366" t="str">
            <v>'112.32333</v>
          </cell>
          <cell r="J366" t="str">
            <v>'-8.14889</v>
          </cell>
          <cell r="K366" t="str">
            <v>-</v>
          </cell>
          <cell r="L366" t="str">
            <v>Brantas</v>
          </cell>
          <cell r="M366" t="str">
            <v>PHB</v>
          </cell>
          <cell r="N366" t="str">
            <v>-</v>
          </cell>
          <cell r="O366" t="str">
            <v>-</v>
          </cell>
          <cell r="P366" t="str">
            <v>-</v>
          </cell>
        </row>
        <row r="367">
          <cell r="B367">
            <v>350472005</v>
          </cell>
          <cell r="C367" t="str">
            <v>Ngadirejo</v>
          </cell>
          <cell r="D367" t="str">
            <v>-</v>
          </cell>
          <cell r="E367" t="str">
            <v>PSDA di Malang</v>
          </cell>
          <cell r="F367" t="str">
            <v>Ngadirejo</v>
          </cell>
          <cell r="G367" t="str">
            <v>Kepanjenkidul</v>
          </cell>
          <cell r="H367" t="str">
            <v>Kota Blitar</v>
          </cell>
          <cell r="I367" t="str">
            <v>'112.18133</v>
          </cell>
          <cell r="J367" t="str">
            <v>'-8.06425</v>
          </cell>
          <cell r="K367" t="str">
            <v>-</v>
          </cell>
          <cell r="L367" t="str">
            <v>Brantas</v>
          </cell>
          <cell r="M367" t="str">
            <v>PHB</v>
          </cell>
          <cell r="N367" t="str">
            <v>-</v>
          </cell>
          <cell r="O367" t="str">
            <v>-</v>
          </cell>
          <cell r="P367" t="str">
            <v>-</v>
          </cell>
        </row>
        <row r="368">
          <cell r="B368">
            <v>350473001</v>
          </cell>
          <cell r="C368" t="str">
            <v>Sukun Malang</v>
          </cell>
          <cell r="D368" t="str">
            <v>-</v>
          </cell>
          <cell r="E368" t="str">
            <v>PSDA di Malang</v>
          </cell>
          <cell r="F368" t="str">
            <v>Sukun</v>
          </cell>
          <cell r="G368" t="str">
            <v>Sukun</v>
          </cell>
          <cell r="H368" t="str">
            <v>Kota Malang</v>
          </cell>
          <cell r="I368" t="str">
            <v>'112.6213805</v>
          </cell>
          <cell r="J368" t="str">
            <v>'-7.99451209</v>
          </cell>
          <cell r="K368" t="str">
            <v>-</v>
          </cell>
          <cell r="L368" t="str">
            <v>Brantas</v>
          </cell>
          <cell r="M368" t="str">
            <v>PHB</v>
          </cell>
          <cell r="N368" t="str">
            <v>-</v>
          </cell>
          <cell r="O368" t="str">
            <v>-</v>
          </cell>
          <cell r="P368" t="str">
            <v>-</v>
          </cell>
        </row>
        <row r="369">
          <cell r="B369">
            <v>350473002</v>
          </cell>
          <cell r="C369" t="str">
            <v>Blimbing</v>
          </cell>
          <cell r="D369" t="str">
            <v>-</v>
          </cell>
          <cell r="E369" t="str">
            <v>PSDA di Malang</v>
          </cell>
          <cell r="F369" t="str">
            <v>Purwantoro</v>
          </cell>
          <cell r="G369" t="str">
            <v>Blimbing</v>
          </cell>
          <cell r="H369" t="str">
            <v>Kota Malang</v>
          </cell>
          <cell r="I369" t="str">
            <v>'112.64275</v>
          </cell>
          <cell r="J369" t="str">
            <v>'-7.95222</v>
          </cell>
          <cell r="K369" t="str">
            <v>-</v>
          </cell>
          <cell r="L369" t="str">
            <v>Brantas</v>
          </cell>
          <cell r="M369" t="str">
            <v>PHB</v>
          </cell>
          <cell r="N369" t="str">
            <v>-</v>
          </cell>
          <cell r="O369" t="str">
            <v>-</v>
          </cell>
          <cell r="P369" t="str">
            <v>-</v>
          </cell>
        </row>
        <row r="370">
          <cell r="B370">
            <v>350473003</v>
          </cell>
          <cell r="C370" t="str">
            <v>Kedungkandang</v>
          </cell>
          <cell r="D370" t="str">
            <v>-</v>
          </cell>
          <cell r="E370" t="str">
            <v>PSDA di Malang</v>
          </cell>
          <cell r="F370" t="str">
            <v>Kedungkandang</v>
          </cell>
          <cell r="G370" t="str">
            <v>Kedungkandang</v>
          </cell>
          <cell r="H370" t="str">
            <v>Kota Malang</v>
          </cell>
          <cell r="I370" t="str">
            <v>'112.65556</v>
          </cell>
          <cell r="J370" t="str">
            <v>'-7.99306</v>
          </cell>
          <cell r="K370" t="str">
            <v>-</v>
          </cell>
          <cell r="L370" t="str">
            <v>Brantas</v>
          </cell>
          <cell r="M370" t="str">
            <v>PHB</v>
          </cell>
          <cell r="N370" t="str">
            <v>-</v>
          </cell>
          <cell r="O370" t="str">
            <v>-</v>
          </cell>
          <cell r="P370" t="str">
            <v>-</v>
          </cell>
        </row>
        <row r="371">
          <cell r="B371">
            <v>350479001</v>
          </cell>
          <cell r="C371" t="str">
            <v>Ngaglik</v>
          </cell>
          <cell r="D371" t="str">
            <v>-</v>
          </cell>
          <cell r="E371" t="str">
            <v>PSDA di Malang</v>
          </cell>
          <cell r="F371" t="str">
            <v>Ngaglik</v>
          </cell>
          <cell r="G371" t="str">
            <v>Batu</v>
          </cell>
          <cell r="H371" t="str">
            <v>Kota Batu</v>
          </cell>
          <cell r="I371" t="str">
            <v>'112.522184</v>
          </cell>
          <cell r="J371" t="str">
            <v>'-7.873583</v>
          </cell>
          <cell r="K371" t="str">
            <v>-</v>
          </cell>
          <cell r="L371" t="str">
            <v>Brantas</v>
          </cell>
          <cell r="M371" t="str">
            <v>PHB</v>
          </cell>
          <cell r="N371" t="str">
            <v>-</v>
          </cell>
          <cell r="O371" t="str">
            <v>-</v>
          </cell>
          <cell r="P371" t="str">
            <v>-</v>
          </cell>
        </row>
        <row r="372">
          <cell r="B372">
            <v>350479002</v>
          </cell>
          <cell r="C372" t="str">
            <v>Temas</v>
          </cell>
          <cell r="D372" t="str">
            <v>-</v>
          </cell>
          <cell r="E372" t="str">
            <v>PSDA di Malang</v>
          </cell>
          <cell r="F372" t="str">
            <v>Temas</v>
          </cell>
          <cell r="G372" t="str">
            <v>Batu</v>
          </cell>
          <cell r="H372" t="str">
            <v>Kota Batu</v>
          </cell>
          <cell r="I372" t="str">
            <v>'112.54394</v>
          </cell>
          <cell r="J372" t="str">
            <v>'-7.87637</v>
          </cell>
          <cell r="K372" t="str">
            <v>-</v>
          </cell>
          <cell r="L372" t="str">
            <v>Brantas</v>
          </cell>
          <cell r="M372" t="str">
            <v>PHB</v>
          </cell>
          <cell r="N372" t="str">
            <v>-</v>
          </cell>
          <cell r="O372" t="str">
            <v>-</v>
          </cell>
          <cell r="P372" t="str">
            <v>-</v>
          </cell>
        </row>
        <row r="373">
          <cell r="B373">
            <v>350479003</v>
          </cell>
          <cell r="C373" t="str">
            <v>Tinjumoyo</v>
          </cell>
          <cell r="D373" t="str">
            <v>-</v>
          </cell>
          <cell r="E373" t="str">
            <v>PSDA di Malang</v>
          </cell>
          <cell r="F373" t="str">
            <v>Sidomulyo</v>
          </cell>
          <cell r="G373" t="str">
            <v>Batu</v>
          </cell>
          <cell r="H373" t="str">
            <v>Kota Batu</v>
          </cell>
          <cell r="I373" t="str">
            <v>'112.52828</v>
          </cell>
          <cell r="J373" t="str">
            <v>'-7.84308</v>
          </cell>
          <cell r="K373" t="str">
            <v>-</v>
          </cell>
          <cell r="L373" t="str">
            <v>Brantas</v>
          </cell>
          <cell r="M373" t="str">
            <v>PHB</v>
          </cell>
          <cell r="N373" t="str">
            <v>-</v>
          </cell>
          <cell r="O373" t="str">
            <v>-</v>
          </cell>
          <cell r="P373" t="str">
            <v>-</v>
          </cell>
        </row>
        <row r="374">
          <cell r="B374">
            <v>350479004</v>
          </cell>
          <cell r="C374" t="str">
            <v>Tlekung</v>
          </cell>
          <cell r="D374" t="str">
            <v>-</v>
          </cell>
          <cell r="E374" t="str">
            <v>PSDA di Malang</v>
          </cell>
          <cell r="F374" t="str">
            <v>Tlekung</v>
          </cell>
          <cell r="G374" t="str">
            <v>Junrejo</v>
          </cell>
          <cell r="H374" t="str">
            <v>Kota Batu</v>
          </cell>
          <cell r="I374" t="str">
            <v>'112.538333</v>
          </cell>
          <cell r="J374" t="str">
            <v>'-7.910556</v>
          </cell>
          <cell r="K374" t="str">
            <v>-</v>
          </cell>
          <cell r="L374" t="str">
            <v>Brantas</v>
          </cell>
          <cell r="M374" t="str">
            <v>PHB</v>
          </cell>
          <cell r="N374" t="str">
            <v>-</v>
          </cell>
          <cell r="O374" t="str">
            <v>-</v>
          </cell>
          <cell r="P374" t="str">
            <v>-</v>
          </cell>
        </row>
        <row r="375">
          <cell r="B375">
            <v>350479005</v>
          </cell>
          <cell r="C375" t="str">
            <v>Ngujung</v>
          </cell>
          <cell r="D375" t="str">
            <v>-</v>
          </cell>
          <cell r="E375" t="str">
            <v>PSDA di Malang</v>
          </cell>
          <cell r="F375" t="str">
            <v>Giripurno</v>
          </cell>
          <cell r="G375" t="str">
            <v>Bumiaji</v>
          </cell>
          <cell r="H375" t="str">
            <v>Kota Batu</v>
          </cell>
          <cell r="I375" t="str">
            <v>'112.54959393</v>
          </cell>
          <cell r="J375" t="str">
            <v>'-7.86325969</v>
          </cell>
          <cell r="K375" t="str">
            <v>-</v>
          </cell>
          <cell r="L375" t="str">
            <v>Brantas</v>
          </cell>
          <cell r="M375" t="str">
            <v>PHB</v>
          </cell>
          <cell r="N375" t="str">
            <v>-</v>
          </cell>
          <cell r="O375" t="str">
            <v>-</v>
          </cell>
          <cell r="P375" t="str">
            <v>-</v>
          </cell>
        </row>
        <row r="376">
          <cell r="B376">
            <v>350479006</v>
          </cell>
          <cell r="C376" t="str">
            <v>Pendem</v>
          </cell>
          <cell r="D376" t="str">
            <v>-</v>
          </cell>
          <cell r="E376" t="str">
            <v>PSDA di Malang</v>
          </cell>
          <cell r="F376" t="str">
            <v>Pendem</v>
          </cell>
          <cell r="G376" t="str">
            <v>Junrejo</v>
          </cell>
          <cell r="H376" t="str">
            <v>Kota Batu</v>
          </cell>
          <cell r="I376" t="str">
            <v>'112.5807911</v>
          </cell>
          <cell r="J376" t="str">
            <v>'-7.90379989</v>
          </cell>
          <cell r="K376" t="str">
            <v>-</v>
          </cell>
          <cell r="L376" t="str">
            <v>Brantas</v>
          </cell>
          <cell r="M376" t="str">
            <v>PHB</v>
          </cell>
          <cell r="N376" t="str">
            <v>-</v>
          </cell>
          <cell r="O376" t="str">
            <v>-</v>
          </cell>
          <cell r="P376" t="str">
            <v>-</v>
          </cell>
        </row>
        <row r="377">
          <cell r="B377">
            <v>350479007</v>
          </cell>
          <cell r="C377" t="str">
            <v>Sumbergondo</v>
          </cell>
          <cell r="D377" t="str">
            <v>-</v>
          </cell>
          <cell r="E377" t="str">
            <v>PSDA di Malang</v>
          </cell>
          <cell r="F377" t="str">
            <v>Sumbergondo</v>
          </cell>
          <cell r="G377" t="str">
            <v>Bumiaji</v>
          </cell>
          <cell r="H377" t="str">
            <v>Kota Batu</v>
          </cell>
          <cell r="I377" t="str">
            <v>'112.53019</v>
          </cell>
          <cell r="J377" t="str">
            <v>'-7.81171</v>
          </cell>
          <cell r="K377" t="str">
            <v>-</v>
          </cell>
          <cell r="L377" t="str">
            <v>Brantas</v>
          </cell>
          <cell r="M377" t="str">
            <v>PHB</v>
          </cell>
          <cell r="N377" t="str">
            <v>-</v>
          </cell>
          <cell r="O377" t="str">
            <v>-</v>
          </cell>
          <cell r="P377" t="str">
            <v>-</v>
          </cell>
        </row>
        <row r="378">
          <cell r="B378">
            <v>350503001</v>
          </cell>
          <cell r="C378" t="str">
            <v>Bendungan</v>
          </cell>
          <cell r="D378" t="str">
            <v>-</v>
          </cell>
          <cell r="E378" t="str">
            <v>PSDA di Kediri</v>
          </cell>
          <cell r="F378" t="str">
            <v>Dompyong</v>
          </cell>
          <cell r="G378" t="str">
            <v>Bendungan</v>
          </cell>
          <cell r="H378" t="str">
            <v>Trenggalek</v>
          </cell>
          <cell r="I378" t="str">
            <v>'111.709444</v>
          </cell>
          <cell r="J378" t="str">
            <v>'-7.936667</v>
          </cell>
          <cell r="K378" t="str">
            <v>-</v>
          </cell>
          <cell r="L378" t="str">
            <v>Brantas</v>
          </cell>
          <cell r="M378" t="str">
            <v>PHB</v>
          </cell>
          <cell r="N378" t="str">
            <v>-</v>
          </cell>
          <cell r="O378" t="str">
            <v>-</v>
          </cell>
          <cell r="P378" t="str">
            <v>-</v>
          </cell>
        </row>
        <row r="379">
          <cell r="B379">
            <v>350503002</v>
          </cell>
          <cell r="C379" t="str">
            <v>Bagong</v>
          </cell>
          <cell r="D379" t="str">
            <v>-</v>
          </cell>
          <cell r="E379" t="str">
            <v>PSDA di Kediri</v>
          </cell>
          <cell r="F379" t="str">
            <v>Ngantru</v>
          </cell>
          <cell r="G379" t="str">
            <v>Trenggalek</v>
          </cell>
          <cell r="H379" t="str">
            <v>Trenggalek</v>
          </cell>
          <cell r="I379" t="str">
            <v>'111.707222</v>
          </cell>
          <cell r="J379" t="str">
            <v>'-8.04</v>
          </cell>
          <cell r="K379" t="str">
            <v>-</v>
          </cell>
          <cell r="L379" t="str">
            <v>Brantas</v>
          </cell>
          <cell r="M379" t="str">
            <v>PHB</v>
          </cell>
          <cell r="N379" t="str">
            <v>-</v>
          </cell>
          <cell r="O379" t="str">
            <v>-</v>
          </cell>
          <cell r="P379" t="str">
            <v>-</v>
          </cell>
        </row>
        <row r="380">
          <cell r="B380">
            <v>350503003</v>
          </cell>
          <cell r="C380" t="str">
            <v>Tugu</v>
          </cell>
          <cell r="D380" t="str">
            <v>-</v>
          </cell>
          <cell r="E380" t="str">
            <v>PSDA di Kediri</v>
          </cell>
          <cell r="F380" t="str">
            <v>Duren</v>
          </cell>
          <cell r="G380" t="str">
            <v>Tugu</v>
          </cell>
          <cell r="H380" t="str">
            <v>Trenggalek</v>
          </cell>
          <cell r="I380" t="str">
            <v>'111.598611</v>
          </cell>
          <cell r="J380" t="str">
            <v>'-8.056944</v>
          </cell>
          <cell r="K380" t="str">
            <v>-</v>
          </cell>
          <cell r="L380" t="str">
            <v>Brantas</v>
          </cell>
          <cell r="M380" t="str">
            <v>PHB</v>
          </cell>
          <cell r="N380" t="str">
            <v>-</v>
          </cell>
          <cell r="O380" t="str">
            <v>-</v>
          </cell>
          <cell r="P380" t="str">
            <v>-</v>
          </cell>
        </row>
        <row r="381">
          <cell r="B381">
            <v>350503004</v>
          </cell>
          <cell r="C381" t="str">
            <v>Prambon</v>
          </cell>
          <cell r="D381" t="str">
            <v>-</v>
          </cell>
          <cell r="E381" t="str">
            <v>PSDA di Kediri</v>
          </cell>
          <cell r="F381" t="str">
            <v>Prambon</v>
          </cell>
          <cell r="G381" t="str">
            <v>Tugu</v>
          </cell>
          <cell r="H381" t="str">
            <v>Trenggalek</v>
          </cell>
          <cell r="I381" t="str">
            <v>'111.668333</v>
          </cell>
          <cell r="J381" t="str">
            <v>'-8.020833</v>
          </cell>
          <cell r="K381" t="str">
            <v>-</v>
          </cell>
          <cell r="L381" t="str">
            <v>Brantas</v>
          </cell>
          <cell r="M381" t="str">
            <v>PHB</v>
          </cell>
          <cell r="N381" t="str">
            <v>-</v>
          </cell>
          <cell r="O381" t="str">
            <v>-</v>
          </cell>
          <cell r="P381" t="str">
            <v>-</v>
          </cell>
        </row>
        <row r="382">
          <cell r="B382">
            <v>350503005</v>
          </cell>
          <cell r="C382" t="str">
            <v>Jabung</v>
          </cell>
          <cell r="D382" t="str">
            <v>-</v>
          </cell>
          <cell r="E382" t="str">
            <v>PSDA di Kediri</v>
          </cell>
          <cell r="F382" t="str">
            <v>Jati</v>
          </cell>
          <cell r="G382" t="str">
            <v>Karangan</v>
          </cell>
          <cell r="H382" t="str">
            <v>Trenggalek</v>
          </cell>
          <cell r="I382" t="str">
            <v>'111.651944</v>
          </cell>
          <cell r="J382" t="str">
            <v>'-8.093889</v>
          </cell>
          <cell r="K382" t="str">
            <v>-</v>
          </cell>
          <cell r="L382" t="str">
            <v>Brantas</v>
          </cell>
          <cell r="M382" t="str">
            <v>PHB</v>
          </cell>
          <cell r="N382" t="str">
            <v>-</v>
          </cell>
          <cell r="O382" t="str">
            <v>-</v>
          </cell>
          <cell r="P382" t="str">
            <v>-</v>
          </cell>
        </row>
        <row r="383">
          <cell r="B383">
            <v>350503006</v>
          </cell>
          <cell r="C383" t="str">
            <v>Widoro</v>
          </cell>
          <cell r="D383" t="str">
            <v>-</v>
          </cell>
          <cell r="E383" t="str">
            <v>PSDA di Kediri</v>
          </cell>
          <cell r="F383" t="str">
            <v>Widoro</v>
          </cell>
          <cell r="G383" t="str">
            <v>Gandusari</v>
          </cell>
          <cell r="H383" t="str">
            <v>Trenggalek</v>
          </cell>
          <cell r="I383" t="str">
            <v>'111.718611</v>
          </cell>
          <cell r="J383" t="str">
            <v>'-8.1225</v>
          </cell>
          <cell r="K383" t="str">
            <v>-</v>
          </cell>
          <cell r="L383" t="str">
            <v>Brantas</v>
          </cell>
          <cell r="M383" t="str">
            <v>PHB</v>
          </cell>
          <cell r="N383" t="str">
            <v>-</v>
          </cell>
          <cell r="O383" t="str">
            <v>-</v>
          </cell>
          <cell r="P383" t="str">
            <v>-</v>
          </cell>
        </row>
        <row r="384">
          <cell r="B384">
            <v>350503007</v>
          </cell>
          <cell r="C384" t="str">
            <v>Watulimo</v>
          </cell>
          <cell r="D384" t="str">
            <v>-</v>
          </cell>
          <cell r="E384" t="str">
            <v>PSDA di Kediri</v>
          </cell>
          <cell r="F384" t="str">
            <v>Gemaharjo</v>
          </cell>
          <cell r="G384" t="str">
            <v>Watulimo</v>
          </cell>
          <cell r="H384" t="str">
            <v>Trenggalek</v>
          </cell>
          <cell r="I384" t="str">
            <v>'111.704722</v>
          </cell>
          <cell r="J384" t="str">
            <v>'-8.239444</v>
          </cell>
          <cell r="K384" t="str">
            <v>-</v>
          </cell>
          <cell r="L384" t="str">
            <v>Brantas</v>
          </cell>
          <cell r="M384" t="str">
            <v>PHB</v>
          </cell>
          <cell r="N384" t="str">
            <v>-</v>
          </cell>
          <cell r="O384" t="str">
            <v>-</v>
          </cell>
          <cell r="P384" t="str">
            <v>-</v>
          </cell>
        </row>
        <row r="385">
          <cell r="B385">
            <v>350503008</v>
          </cell>
          <cell r="C385" t="str">
            <v>Kampak</v>
          </cell>
          <cell r="D385" t="str">
            <v>-</v>
          </cell>
          <cell r="E385" t="str">
            <v>PSDA di Kediri</v>
          </cell>
          <cell r="F385" t="str">
            <v>Bendoagung</v>
          </cell>
          <cell r="G385" t="str">
            <v>Kampak</v>
          </cell>
          <cell r="H385" t="str">
            <v>Trenggalek</v>
          </cell>
          <cell r="I385" t="str">
            <v>'111.669722</v>
          </cell>
          <cell r="J385" t="str">
            <v>'-8.176111</v>
          </cell>
          <cell r="K385" t="str">
            <v>-</v>
          </cell>
          <cell r="L385" t="str">
            <v>Brantas</v>
          </cell>
          <cell r="M385" t="str">
            <v>PHB</v>
          </cell>
          <cell r="N385" t="str">
            <v>-</v>
          </cell>
          <cell r="O385" t="str">
            <v>-</v>
          </cell>
          <cell r="P385" t="str">
            <v>-</v>
          </cell>
        </row>
        <row r="386">
          <cell r="B386">
            <v>350503009</v>
          </cell>
          <cell r="C386" t="str">
            <v>Pule</v>
          </cell>
          <cell r="D386" t="str">
            <v>-</v>
          </cell>
          <cell r="E386" t="str">
            <v>PSDA di Kediri</v>
          </cell>
          <cell r="F386" t="str">
            <v>Pule</v>
          </cell>
          <cell r="G386" t="str">
            <v>Pule</v>
          </cell>
          <cell r="H386" t="str">
            <v>Trenggalek</v>
          </cell>
          <cell r="I386" t="str">
            <v>'111.561667</v>
          </cell>
          <cell r="J386" t="str">
            <v>'-8.1225</v>
          </cell>
          <cell r="K386" t="str">
            <v>-</v>
          </cell>
          <cell r="L386" t="str">
            <v>Brantas</v>
          </cell>
          <cell r="M386" t="str">
            <v>PHB</v>
          </cell>
          <cell r="N386" t="str">
            <v>-</v>
          </cell>
          <cell r="O386" t="str">
            <v>-</v>
          </cell>
          <cell r="P386" t="str">
            <v>-</v>
          </cell>
        </row>
        <row r="387">
          <cell r="B387">
            <v>350503010</v>
          </cell>
          <cell r="C387" t="str">
            <v>Dongko</v>
          </cell>
          <cell r="D387" t="str">
            <v>-</v>
          </cell>
          <cell r="E387" t="str">
            <v>PSDA di Kediri</v>
          </cell>
          <cell r="F387" t="str">
            <v>Dongko</v>
          </cell>
          <cell r="G387" t="str">
            <v>Dongko</v>
          </cell>
          <cell r="H387" t="str">
            <v>Trenggalek</v>
          </cell>
          <cell r="I387" t="str">
            <v>'111.572222</v>
          </cell>
          <cell r="J387" t="str">
            <v>'-8.189444</v>
          </cell>
          <cell r="K387" t="str">
            <v>-</v>
          </cell>
          <cell r="L387" t="str">
            <v>Brantas</v>
          </cell>
          <cell r="M387" t="str">
            <v>PHB</v>
          </cell>
          <cell r="N387" t="str">
            <v>-</v>
          </cell>
          <cell r="O387" t="str">
            <v>-</v>
          </cell>
          <cell r="P387" t="str">
            <v>-</v>
          </cell>
        </row>
        <row r="388">
          <cell r="B388">
            <v>350503011</v>
          </cell>
          <cell r="C388" t="str">
            <v>Munjungan</v>
          </cell>
          <cell r="D388" t="str">
            <v>-</v>
          </cell>
          <cell r="E388" t="str">
            <v>PSDA di Kediri</v>
          </cell>
          <cell r="F388" t="str">
            <v>Tawing</v>
          </cell>
          <cell r="G388" t="str">
            <v>Munjungan</v>
          </cell>
          <cell r="H388" t="str">
            <v>Trenggalek</v>
          </cell>
          <cell r="I388" t="str">
            <v>'111.598889</v>
          </cell>
          <cell r="J388" t="str">
            <v>'-8.310556</v>
          </cell>
          <cell r="K388" t="str">
            <v>-</v>
          </cell>
          <cell r="L388" t="str">
            <v>Brantas</v>
          </cell>
          <cell r="M388" t="str">
            <v>PHB</v>
          </cell>
          <cell r="N388" t="str">
            <v>-</v>
          </cell>
          <cell r="O388" t="str">
            <v>-</v>
          </cell>
          <cell r="P388" t="str">
            <v>-</v>
          </cell>
        </row>
        <row r="389">
          <cell r="B389">
            <v>350503012</v>
          </cell>
          <cell r="C389" t="str">
            <v>Panggul</v>
          </cell>
          <cell r="D389" t="str">
            <v>-</v>
          </cell>
          <cell r="E389" t="str">
            <v>PSDA di Kediri</v>
          </cell>
          <cell r="F389" t="str">
            <v>Wonocoyo</v>
          </cell>
          <cell r="G389" t="str">
            <v>Panggul</v>
          </cell>
          <cell r="H389" t="str">
            <v>Trenggalek</v>
          </cell>
          <cell r="I389" t="str">
            <v>'111.455</v>
          </cell>
          <cell r="J389" t="str">
            <v>'-8.249444</v>
          </cell>
          <cell r="K389" t="str">
            <v>-</v>
          </cell>
          <cell r="L389" t="str">
            <v>Brantas</v>
          </cell>
          <cell r="M389" t="str">
            <v>PHB</v>
          </cell>
          <cell r="N389" t="str">
            <v>-</v>
          </cell>
          <cell r="O389" t="str">
            <v>-</v>
          </cell>
          <cell r="P389" t="str">
            <v>-</v>
          </cell>
        </row>
        <row r="390">
          <cell r="B390">
            <v>350503013</v>
          </cell>
          <cell r="C390" t="str">
            <v>Bendo TRGK</v>
          </cell>
          <cell r="D390" t="str">
            <v>-</v>
          </cell>
          <cell r="E390" t="str">
            <v>PSDA di Kediri</v>
          </cell>
          <cell r="F390" t="str">
            <v>Bendorejo</v>
          </cell>
          <cell r="G390" t="str">
            <v>Pogalan</v>
          </cell>
          <cell r="H390" t="str">
            <v>Trenggalek</v>
          </cell>
          <cell r="I390" t="str">
            <v>'111.756254</v>
          </cell>
          <cell r="J390" t="str">
            <v>'-8.098586</v>
          </cell>
          <cell r="K390" t="str">
            <v>-</v>
          </cell>
          <cell r="L390" t="str">
            <v>Brantas</v>
          </cell>
          <cell r="M390" t="str">
            <v>PHB</v>
          </cell>
          <cell r="N390" t="str">
            <v>-</v>
          </cell>
          <cell r="O390" t="str">
            <v>-</v>
          </cell>
          <cell r="P390" t="str">
            <v>-</v>
          </cell>
        </row>
        <row r="391">
          <cell r="B391">
            <v>350503014</v>
          </cell>
          <cell r="C391" t="str">
            <v>Ngulan Wetan</v>
          </cell>
          <cell r="D391" t="str">
            <v>-</v>
          </cell>
          <cell r="E391" t="str">
            <v>PSDA di Kediri</v>
          </cell>
          <cell r="F391" t="str">
            <v>Gembleb</v>
          </cell>
          <cell r="G391" t="str">
            <v>Pogalan</v>
          </cell>
          <cell r="H391" t="str">
            <v>Trenggalek</v>
          </cell>
          <cell r="I391" t="str">
            <v>'111.756944</v>
          </cell>
          <cell r="J391" t="str">
            <v>'-8.071667</v>
          </cell>
          <cell r="K391" t="str">
            <v>-</v>
          </cell>
          <cell r="L391" t="str">
            <v>Brantas</v>
          </cell>
          <cell r="M391" t="str">
            <v>PHB</v>
          </cell>
          <cell r="N391" t="str">
            <v>-</v>
          </cell>
          <cell r="O391" t="str">
            <v>-</v>
          </cell>
          <cell r="P391" t="str">
            <v>-</v>
          </cell>
        </row>
        <row r="392">
          <cell r="B392">
            <v>350506001</v>
          </cell>
          <cell r="C392" t="str">
            <v>Damarwulan</v>
          </cell>
          <cell r="D392" t="str">
            <v>-</v>
          </cell>
          <cell r="E392" t="str">
            <v>PSDA di Kediri</v>
          </cell>
          <cell r="F392" t="str">
            <v>Kandangan</v>
          </cell>
          <cell r="G392" t="str">
            <v>Kandangan</v>
          </cell>
          <cell r="H392" t="str">
            <v>Kediri</v>
          </cell>
          <cell r="I392" t="str">
            <v>'112.27911</v>
          </cell>
          <cell r="J392" t="str">
            <v>'-7.75925</v>
          </cell>
          <cell r="K392" t="str">
            <v>-</v>
          </cell>
          <cell r="L392" t="str">
            <v>Brantas</v>
          </cell>
          <cell r="M392" t="str">
            <v>PHB</v>
          </cell>
          <cell r="N392" t="str">
            <v>-</v>
          </cell>
          <cell r="O392" t="str">
            <v>-</v>
          </cell>
          <cell r="P392" t="str">
            <v>-</v>
          </cell>
        </row>
        <row r="393">
          <cell r="B393">
            <v>350506002</v>
          </cell>
          <cell r="C393" t="str">
            <v>Surowono</v>
          </cell>
          <cell r="D393" t="str">
            <v>-</v>
          </cell>
          <cell r="E393" t="str">
            <v>PSDA di Kediri</v>
          </cell>
          <cell r="F393" t="str">
            <v>Canggu</v>
          </cell>
          <cell r="G393" t="str">
            <v>Badas</v>
          </cell>
          <cell r="H393" t="str">
            <v>Kediri</v>
          </cell>
          <cell r="I393" t="str">
            <v>'112.21597</v>
          </cell>
          <cell r="J393" t="str">
            <v>'-7.75679</v>
          </cell>
          <cell r="K393" t="str">
            <v>-</v>
          </cell>
          <cell r="L393" t="str">
            <v>Brantas</v>
          </cell>
          <cell r="M393" t="str">
            <v>PHB</v>
          </cell>
          <cell r="N393" t="str">
            <v>-</v>
          </cell>
          <cell r="O393" t="str">
            <v>-</v>
          </cell>
          <cell r="P393" t="str">
            <v>-</v>
          </cell>
        </row>
        <row r="394">
          <cell r="B394">
            <v>350506003</v>
          </cell>
          <cell r="C394" t="str">
            <v>Kencong</v>
          </cell>
          <cell r="D394" t="str">
            <v>-</v>
          </cell>
          <cell r="E394" t="str">
            <v>PSDA di Kediri</v>
          </cell>
          <cell r="F394" t="str">
            <v>Klampisan</v>
          </cell>
          <cell r="G394" t="str">
            <v>Kandangan</v>
          </cell>
          <cell r="H394" t="str">
            <v>Kediri</v>
          </cell>
          <cell r="I394" t="str">
            <v>'112.23437</v>
          </cell>
          <cell r="J394" t="str">
            <v>'-7.76105</v>
          </cell>
          <cell r="K394" t="str">
            <v>-</v>
          </cell>
          <cell r="L394" t="str">
            <v>Brantas</v>
          </cell>
          <cell r="M394" t="str">
            <v>PHB</v>
          </cell>
          <cell r="N394" t="str">
            <v>-</v>
          </cell>
          <cell r="O394" t="str">
            <v>-</v>
          </cell>
          <cell r="P394" t="str">
            <v>-</v>
          </cell>
        </row>
        <row r="395">
          <cell r="B395">
            <v>350506004</v>
          </cell>
          <cell r="C395" t="str">
            <v>Siman</v>
          </cell>
          <cell r="D395" t="str">
            <v>-</v>
          </cell>
          <cell r="E395" t="str">
            <v>PSDA di Kediri</v>
          </cell>
          <cell r="F395" t="str">
            <v>Siman</v>
          </cell>
          <cell r="G395" t="str">
            <v>Kepung</v>
          </cell>
          <cell r="H395" t="str">
            <v>Kediri</v>
          </cell>
          <cell r="I395" t="str">
            <v>'112.30603</v>
          </cell>
          <cell r="J395" t="str">
            <v>'-7.82560</v>
          </cell>
          <cell r="K395" t="str">
            <v>-</v>
          </cell>
          <cell r="L395" t="str">
            <v>Brantas</v>
          </cell>
          <cell r="M395" t="str">
            <v>PHB</v>
          </cell>
          <cell r="N395" t="str">
            <v>-</v>
          </cell>
          <cell r="O395" t="str">
            <v>-</v>
          </cell>
          <cell r="P395" t="str">
            <v>-</v>
          </cell>
        </row>
        <row r="396">
          <cell r="B396">
            <v>350506005</v>
          </cell>
          <cell r="C396" t="str">
            <v>Pehlandak</v>
          </cell>
          <cell r="D396" t="str">
            <v>-</v>
          </cell>
          <cell r="E396" t="str">
            <v>PSDA di Kediri</v>
          </cell>
          <cell r="F396" t="str">
            <v>Kepung</v>
          </cell>
          <cell r="G396" t="str">
            <v>Kepung</v>
          </cell>
          <cell r="H396" t="str">
            <v>Kediri</v>
          </cell>
          <cell r="I396" t="str">
            <v>'112.25286</v>
          </cell>
          <cell r="J396" t="str">
            <v>'-7.79375</v>
          </cell>
          <cell r="K396" t="str">
            <v>-</v>
          </cell>
          <cell r="L396" t="str">
            <v>Brantas</v>
          </cell>
          <cell r="M396" t="str">
            <v>PHB</v>
          </cell>
          <cell r="N396" t="str">
            <v>-</v>
          </cell>
          <cell r="O396" t="str">
            <v>-</v>
          </cell>
          <cell r="P396" t="str">
            <v>-</v>
          </cell>
        </row>
        <row r="397">
          <cell r="B397">
            <v>350506006</v>
          </cell>
          <cell r="C397" t="str">
            <v>Ktr.Dinas Pare</v>
          </cell>
          <cell r="D397" t="str">
            <v>-</v>
          </cell>
          <cell r="E397" t="str">
            <v>PSDA di Kediri</v>
          </cell>
          <cell r="F397" t="str">
            <v>Pare</v>
          </cell>
          <cell r="G397" t="str">
            <v>Pare</v>
          </cell>
          <cell r="H397" t="str">
            <v>Kediri</v>
          </cell>
          <cell r="I397" t="str">
            <v>'112.19206</v>
          </cell>
          <cell r="J397" t="str">
            <v>'-7.76514</v>
          </cell>
          <cell r="K397" t="str">
            <v>-</v>
          </cell>
          <cell r="L397" t="str">
            <v>Brantas</v>
          </cell>
          <cell r="M397" t="str">
            <v>PHB</v>
          </cell>
          <cell r="N397" t="str">
            <v>-</v>
          </cell>
          <cell r="O397" t="str">
            <v>-</v>
          </cell>
          <cell r="P397" t="str">
            <v>-</v>
          </cell>
        </row>
        <row r="398">
          <cell r="B398">
            <v>350506007</v>
          </cell>
          <cell r="C398" t="str">
            <v>Mojolegi</v>
          </cell>
          <cell r="D398" t="str">
            <v>-</v>
          </cell>
          <cell r="E398" t="str">
            <v>PSDA di Kediri</v>
          </cell>
          <cell r="F398" t="str">
            <v>Bendo</v>
          </cell>
          <cell r="G398" t="str">
            <v>Pare</v>
          </cell>
          <cell r="H398" t="str">
            <v>Kediri</v>
          </cell>
          <cell r="I398" t="str">
            <v>'112.15336</v>
          </cell>
          <cell r="J398" t="str">
            <v>'-7.75898</v>
          </cell>
          <cell r="K398" t="str">
            <v>-</v>
          </cell>
          <cell r="L398" t="str">
            <v>Brantas</v>
          </cell>
          <cell r="M398" t="str">
            <v>PHB</v>
          </cell>
          <cell r="N398" t="str">
            <v>-</v>
          </cell>
          <cell r="O398" t="str">
            <v>-</v>
          </cell>
          <cell r="P398" t="str">
            <v>-</v>
          </cell>
        </row>
        <row r="399">
          <cell r="B399">
            <v>350506008</v>
          </cell>
          <cell r="C399" t="str">
            <v>Tegowangi</v>
          </cell>
          <cell r="D399" t="str">
            <v>-</v>
          </cell>
          <cell r="E399" t="str">
            <v>PSDA di Kediri</v>
          </cell>
          <cell r="F399" t="str">
            <v>Tegowangi</v>
          </cell>
          <cell r="G399" t="str">
            <v>Plemahan</v>
          </cell>
          <cell r="H399" t="str">
            <v>Kediri</v>
          </cell>
          <cell r="I399" t="str">
            <v>'112.16294</v>
          </cell>
          <cell r="J399" t="str">
            <v>'-7.75037</v>
          </cell>
          <cell r="K399" t="str">
            <v>-</v>
          </cell>
          <cell r="L399" t="str">
            <v>Brantas</v>
          </cell>
          <cell r="M399" t="str">
            <v>PHB</v>
          </cell>
          <cell r="N399" t="str">
            <v>-</v>
          </cell>
          <cell r="O399" t="str">
            <v>-</v>
          </cell>
          <cell r="P399" t="str">
            <v>-</v>
          </cell>
        </row>
        <row r="400">
          <cell r="B400">
            <v>350506009</v>
          </cell>
          <cell r="C400" t="str">
            <v>Badas</v>
          </cell>
          <cell r="D400" t="str">
            <v>-</v>
          </cell>
          <cell r="E400" t="str">
            <v>PSDA di Kediri</v>
          </cell>
          <cell r="F400" t="str">
            <v>Badas</v>
          </cell>
          <cell r="G400" t="str">
            <v>Badas</v>
          </cell>
          <cell r="H400" t="str">
            <v>Kediri</v>
          </cell>
          <cell r="I400" t="str">
            <v>'112.20940</v>
          </cell>
          <cell r="J400" t="str">
            <v>'-7.70369</v>
          </cell>
          <cell r="K400" t="str">
            <v>-</v>
          </cell>
          <cell r="L400" t="str">
            <v>Brantas</v>
          </cell>
          <cell r="M400" t="str">
            <v>PHB</v>
          </cell>
          <cell r="N400" t="str">
            <v>-</v>
          </cell>
          <cell r="O400" t="str">
            <v>-</v>
          </cell>
          <cell r="P400" t="str">
            <v>-</v>
          </cell>
        </row>
        <row r="401">
          <cell r="B401">
            <v>350506010</v>
          </cell>
          <cell r="C401" t="str">
            <v>Tangkilan</v>
          </cell>
          <cell r="D401" t="str">
            <v>-</v>
          </cell>
          <cell r="E401" t="str">
            <v>PSDA di Kediri</v>
          </cell>
          <cell r="F401" t="str">
            <v>Padangan</v>
          </cell>
          <cell r="G401" t="str">
            <v>Kayen Kidul</v>
          </cell>
          <cell r="H401" t="str">
            <v>Kediri</v>
          </cell>
          <cell r="I401" t="str">
            <v>'112.117206</v>
          </cell>
          <cell r="J401" t="str">
            <v>'-7.738508</v>
          </cell>
          <cell r="K401" t="str">
            <v>-</v>
          </cell>
          <cell r="L401" t="str">
            <v>Brantas</v>
          </cell>
          <cell r="M401" t="str">
            <v>PHB</v>
          </cell>
          <cell r="N401" t="str">
            <v>-</v>
          </cell>
          <cell r="O401" t="str">
            <v>-</v>
          </cell>
          <cell r="P401" t="str">
            <v>-</v>
          </cell>
        </row>
        <row r="402">
          <cell r="B402">
            <v>350506011</v>
          </cell>
          <cell r="C402" t="str">
            <v>Bogokidul</v>
          </cell>
          <cell r="D402" t="str">
            <v>-</v>
          </cell>
          <cell r="E402" t="str">
            <v>PSDA di Kediri</v>
          </cell>
          <cell r="F402" t="str">
            <v>Mejono</v>
          </cell>
          <cell r="G402" t="str">
            <v>Plemahan</v>
          </cell>
          <cell r="H402" t="str">
            <v>Kediri</v>
          </cell>
          <cell r="I402" t="str">
            <v>'112.14084</v>
          </cell>
          <cell r="J402" t="str">
            <v>'-7.72526</v>
          </cell>
          <cell r="K402" t="str">
            <v>-</v>
          </cell>
          <cell r="L402" t="str">
            <v>Brantas</v>
          </cell>
          <cell r="M402" t="str">
            <v>PHB</v>
          </cell>
          <cell r="N402" t="str">
            <v>-</v>
          </cell>
          <cell r="O402" t="str">
            <v>-</v>
          </cell>
          <cell r="P402" t="str">
            <v>-</v>
          </cell>
        </row>
        <row r="403">
          <cell r="B403">
            <v>350506012</v>
          </cell>
          <cell r="C403" t="str">
            <v>Papar</v>
          </cell>
          <cell r="D403" t="str">
            <v>-</v>
          </cell>
          <cell r="E403" t="str">
            <v>PSDA di Kediri</v>
          </cell>
          <cell r="F403" t="str">
            <v>Papar</v>
          </cell>
          <cell r="G403" t="str">
            <v>Papar</v>
          </cell>
          <cell r="H403" t="str">
            <v>Kediri</v>
          </cell>
          <cell r="I403" t="str">
            <v>'112.07637</v>
          </cell>
          <cell r="J403" t="str">
            <v>'-7.69493</v>
          </cell>
          <cell r="K403" t="str">
            <v>-</v>
          </cell>
          <cell r="L403" t="str">
            <v>Brantas</v>
          </cell>
          <cell r="M403" t="str">
            <v>PHB</v>
          </cell>
          <cell r="N403" t="str">
            <v>-</v>
          </cell>
          <cell r="O403" t="str">
            <v>-</v>
          </cell>
          <cell r="P403" t="str">
            <v>-</v>
          </cell>
        </row>
        <row r="404">
          <cell r="B404">
            <v>350506013</v>
          </cell>
          <cell r="C404" t="str">
            <v>Balungjeruk</v>
          </cell>
          <cell r="D404" t="str">
            <v>-</v>
          </cell>
          <cell r="E404" t="str">
            <v>PSDA di Kediri</v>
          </cell>
          <cell r="F404" t="str">
            <v>Balongjeruk</v>
          </cell>
          <cell r="G404" t="str">
            <v>Kunjang</v>
          </cell>
          <cell r="H404" t="str">
            <v>Kediri</v>
          </cell>
          <cell r="I404" t="str">
            <v>'112.19024</v>
          </cell>
          <cell r="J404" t="str">
            <v>'-7.67226</v>
          </cell>
          <cell r="K404" t="str">
            <v>-</v>
          </cell>
          <cell r="L404" t="str">
            <v>Brantas</v>
          </cell>
          <cell r="M404" t="str">
            <v>PHB</v>
          </cell>
          <cell r="N404" t="str">
            <v>-</v>
          </cell>
          <cell r="O404" t="str">
            <v>-</v>
          </cell>
          <cell r="P404" t="str">
            <v>-</v>
          </cell>
        </row>
        <row r="405">
          <cell r="B405">
            <v>350506014</v>
          </cell>
          <cell r="C405" t="str">
            <v>Woromarto</v>
          </cell>
          <cell r="D405" t="str">
            <v>-</v>
          </cell>
          <cell r="E405" t="str">
            <v>PSDA di Kediri</v>
          </cell>
          <cell r="F405" t="str">
            <v>Woromarto</v>
          </cell>
          <cell r="G405" t="str">
            <v>Purwoasri</v>
          </cell>
          <cell r="H405" t="str">
            <v>Kediri</v>
          </cell>
          <cell r="I405" t="str">
            <v>'112.14394</v>
          </cell>
          <cell r="J405" t="str">
            <v>'-7.62565</v>
          </cell>
          <cell r="K405" t="str">
            <v>-</v>
          </cell>
          <cell r="L405" t="str">
            <v>Brantas</v>
          </cell>
          <cell r="M405" t="str">
            <v>PHB</v>
          </cell>
          <cell r="N405" t="str">
            <v>-</v>
          </cell>
          <cell r="O405" t="str">
            <v>-</v>
          </cell>
          <cell r="P405" t="str">
            <v>-</v>
          </cell>
        </row>
        <row r="406">
          <cell r="B406">
            <v>350506015</v>
          </cell>
          <cell r="C406" t="str">
            <v>Kandangan</v>
          </cell>
          <cell r="D406" t="str">
            <v>-</v>
          </cell>
          <cell r="E406" t="str">
            <v>PSDA di Kediri</v>
          </cell>
          <cell r="F406" t="str">
            <v>Kandangan</v>
          </cell>
          <cell r="G406" t="str">
            <v>Kandangan</v>
          </cell>
          <cell r="H406" t="str">
            <v>Kediri</v>
          </cell>
          <cell r="I406" t="str">
            <v>'112.28036</v>
          </cell>
          <cell r="J406" t="str">
            <v>'-7.75006</v>
          </cell>
          <cell r="K406" t="str">
            <v>-</v>
          </cell>
          <cell r="L406" t="str">
            <v>Brantas</v>
          </cell>
          <cell r="M406" t="str">
            <v>PHB</v>
          </cell>
          <cell r="N406" t="str">
            <v>-</v>
          </cell>
          <cell r="O406" t="str">
            <v>-</v>
          </cell>
          <cell r="P406" t="str">
            <v>-</v>
          </cell>
        </row>
        <row r="407">
          <cell r="B407">
            <v>350506016</v>
          </cell>
          <cell r="C407" t="str">
            <v>Pengajaran</v>
          </cell>
          <cell r="D407" t="str">
            <v>-</v>
          </cell>
          <cell r="E407" t="str">
            <v>PSDA di Kediri</v>
          </cell>
          <cell r="F407" t="str">
            <v>Mlancu</v>
          </cell>
          <cell r="G407" t="str">
            <v>Kandangan</v>
          </cell>
          <cell r="H407" t="str">
            <v>Kediri</v>
          </cell>
          <cell r="I407" t="str">
            <v>'112.32247</v>
          </cell>
          <cell r="J407" t="str">
            <v>'-7.76294</v>
          </cell>
          <cell r="K407" t="str">
            <v>-</v>
          </cell>
          <cell r="L407" t="str">
            <v>Brantas</v>
          </cell>
          <cell r="M407" t="str">
            <v>PHB</v>
          </cell>
          <cell r="N407" t="str">
            <v>-</v>
          </cell>
          <cell r="O407" t="str">
            <v>-</v>
          </cell>
          <cell r="P407" t="str">
            <v>-</v>
          </cell>
        </row>
        <row r="408">
          <cell r="B408">
            <v>350506017</v>
          </cell>
          <cell r="C408" t="str">
            <v>K.Peng.Grogol</v>
          </cell>
          <cell r="D408" t="str">
            <v>-</v>
          </cell>
          <cell r="E408" t="str">
            <v>PSDA di Kediri</v>
          </cell>
          <cell r="F408" t="str">
            <v>Cerme</v>
          </cell>
          <cell r="G408" t="str">
            <v>Grogol</v>
          </cell>
          <cell r="H408" t="str">
            <v>Kediri</v>
          </cell>
          <cell r="I408" t="str">
            <v>'111.95802</v>
          </cell>
          <cell r="J408" t="str">
            <v>'-7.74144</v>
          </cell>
          <cell r="K408" t="str">
            <v>-</v>
          </cell>
          <cell r="L408" t="str">
            <v>Brantas</v>
          </cell>
          <cell r="M408" t="str">
            <v>PHB</v>
          </cell>
          <cell r="N408" t="str">
            <v>-</v>
          </cell>
          <cell r="O408" t="str">
            <v>-</v>
          </cell>
          <cell r="P408" t="str">
            <v>-</v>
          </cell>
        </row>
        <row r="409">
          <cell r="B409">
            <v>350506018</v>
          </cell>
          <cell r="C409" t="str">
            <v>Gading Parang</v>
          </cell>
          <cell r="D409" t="str">
            <v>-</v>
          </cell>
          <cell r="E409" t="str">
            <v>PSDA di Kediri</v>
          </cell>
          <cell r="F409" t="str">
            <v>Tiron</v>
          </cell>
          <cell r="G409" t="str">
            <v>Banyakan</v>
          </cell>
          <cell r="H409" t="str">
            <v>Kediri</v>
          </cell>
          <cell r="I409" t="str">
            <v>'111.92065</v>
          </cell>
          <cell r="J409" t="str">
            <v>'-7.78079</v>
          </cell>
          <cell r="K409" t="str">
            <v>-</v>
          </cell>
          <cell r="L409" t="str">
            <v>Brantas</v>
          </cell>
          <cell r="M409" t="str">
            <v>PHB</v>
          </cell>
          <cell r="N409" t="str">
            <v>-</v>
          </cell>
          <cell r="O409" t="str">
            <v>-</v>
          </cell>
          <cell r="P409" t="str">
            <v>-</v>
          </cell>
        </row>
        <row r="410">
          <cell r="B410">
            <v>350506019</v>
          </cell>
          <cell r="C410" t="str">
            <v>Kanyoran</v>
          </cell>
          <cell r="D410" t="str">
            <v>-</v>
          </cell>
          <cell r="E410" t="str">
            <v>PSDA di Kediri</v>
          </cell>
          <cell r="F410" t="str">
            <v>Kedak</v>
          </cell>
          <cell r="G410" t="str">
            <v>Semen</v>
          </cell>
          <cell r="H410" t="str">
            <v>Kediri</v>
          </cell>
          <cell r="I410" t="str">
            <v>'111.94753</v>
          </cell>
          <cell r="J410" t="str">
            <v>'-7.82580</v>
          </cell>
          <cell r="K410" t="str">
            <v>-</v>
          </cell>
          <cell r="L410" t="str">
            <v>Brantas</v>
          </cell>
          <cell r="M410" t="str">
            <v>PHB</v>
          </cell>
          <cell r="N410" t="str">
            <v>-</v>
          </cell>
          <cell r="O410" t="str">
            <v>-</v>
          </cell>
          <cell r="P410" t="str">
            <v>-</v>
          </cell>
        </row>
        <row r="411">
          <cell r="B411">
            <v>350506020</v>
          </cell>
          <cell r="C411" t="str">
            <v>Besuki</v>
          </cell>
          <cell r="D411" t="str">
            <v>-</v>
          </cell>
          <cell r="E411" t="str">
            <v>PSDA di Kediri</v>
          </cell>
          <cell r="F411" t="str">
            <v>Jugo</v>
          </cell>
          <cell r="G411" t="str">
            <v>Mojo</v>
          </cell>
          <cell r="H411" t="str">
            <v>Kediri</v>
          </cell>
          <cell r="I411" t="str">
            <v>'111.85735</v>
          </cell>
          <cell r="J411" t="str">
            <v>'-7.86273</v>
          </cell>
          <cell r="K411" t="str">
            <v>-</v>
          </cell>
          <cell r="L411" t="str">
            <v>Brantas</v>
          </cell>
          <cell r="M411" t="str">
            <v>PHB</v>
          </cell>
          <cell r="N411" t="str">
            <v>-</v>
          </cell>
          <cell r="O411" t="str">
            <v>-</v>
          </cell>
          <cell r="P411" t="str">
            <v>-</v>
          </cell>
        </row>
        <row r="412">
          <cell r="B412">
            <v>350506021</v>
          </cell>
          <cell r="C412" t="str">
            <v>Kem.Mojo</v>
          </cell>
          <cell r="D412" t="str">
            <v>-</v>
          </cell>
          <cell r="E412" t="str">
            <v>PSDA di Kediri</v>
          </cell>
          <cell r="F412" t="str">
            <v>Surat</v>
          </cell>
          <cell r="G412" t="str">
            <v>Mojo</v>
          </cell>
          <cell r="H412" t="str">
            <v>Kediri</v>
          </cell>
          <cell r="I412" t="str">
            <v>'111.94709</v>
          </cell>
          <cell r="J412" t="str">
            <v>'-7.88162</v>
          </cell>
          <cell r="K412" t="str">
            <v>-</v>
          </cell>
          <cell r="L412" t="str">
            <v>Brantas</v>
          </cell>
          <cell r="M412" t="str">
            <v>PHB</v>
          </cell>
          <cell r="N412" t="str">
            <v>-</v>
          </cell>
          <cell r="O412" t="str">
            <v>-</v>
          </cell>
          <cell r="P412" t="str">
            <v>-</v>
          </cell>
        </row>
        <row r="413">
          <cell r="B413">
            <v>350506022</v>
          </cell>
          <cell r="C413" t="str">
            <v>Kem.Pagu</v>
          </cell>
          <cell r="D413" t="str">
            <v>-</v>
          </cell>
          <cell r="E413" t="str">
            <v>PSDA di Kediri</v>
          </cell>
          <cell r="F413" t="str">
            <v>Pagu</v>
          </cell>
          <cell r="G413" t="str">
            <v>Pagu</v>
          </cell>
          <cell r="H413" t="str">
            <v>Kediri</v>
          </cell>
          <cell r="I413" t="str">
            <v>'112.08644</v>
          </cell>
          <cell r="J413" t="str">
            <v>'-7.76931</v>
          </cell>
          <cell r="K413" t="str">
            <v>-</v>
          </cell>
          <cell r="L413" t="str">
            <v>Brantas</v>
          </cell>
          <cell r="M413" t="str">
            <v>PHB</v>
          </cell>
          <cell r="N413" t="str">
            <v>-</v>
          </cell>
          <cell r="O413" t="str">
            <v>-</v>
          </cell>
          <cell r="P413" t="str">
            <v>-</v>
          </cell>
        </row>
        <row r="414">
          <cell r="B414">
            <v>350506023</v>
          </cell>
          <cell r="C414" t="str">
            <v>Dermo</v>
          </cell>
          <cell r="D414" t="str">
            <v>-</v>
          </cell>
          <cell r="E414" t="str">
            <v>PSDA di Kediri</v>
          </cell>
          <cell r="F414" t="str">
            <v>Sidorejo</v>
          </cell>
          <cell r="G414" t="str">
            <v>Pare</v>
          </cell>
          <cell r="H414" t="str">
            <v>Kediri</v>
          </cell>
          <cell r="I414" t="str">
            <v>'112.17886</v>
          </cell>
          <cell r="J414" t="str">
            <v>'-7.82367</v>
          </cell>
          <cell r="K414" t="str">
            <v>-</v>
          </cell>
          <cell r="L414" t="str">
            <v>Brantas</v>
          </cell>
          <cell r="M414" t="str">
            <v>PHB</v>
          </cell>
          <cell r="N414" t="str">
            <v>-</v>
          </cell>
          <cell r="O414" t="str">
            <v>-</v>
          </cell>
          <cell r="P414" t="str">
            <v>-</v>
          </cell>
        </row>
        <row r="415">
          <cell r="B415">
            <v>350506024</v>
          </cell>
          <cell r="C415" t="str">
            <v>Kwarasan</v>
          </cell>
          <cell r="D415" t="str">
            <v>-</v>
          </cell>
          <cell r="E415" t="str">
            <v>PSDA di Kediri</v>
          </cell>
          <cell r="F415" t="str">
            <v>Gempolan</v>
          </cell>
          <cell r="G415" t="str">
            <v>Gurah</v>
          </cell>
          <cell r="H415" t="str">
            <v>Kediri</v>
          </cell>
          <cell r="I415" t="str">
            <v>'112.10053</v>
          </cell>
          <cell r="J415" t="str">
            <v>'-7.79964</v>
          </cell>
          <cell r="K415" t="str">
            <v>-</v>
          </cell>
          <cell r="L415" t="str">
            <v>Brantas</v>
          </cell>
          <cell r="M415" t="str">
            <v>PHB</v>
          </cell>
          <cell r="N415" t="str">
            <v>-</v>
          </cell>
          <cell r="O415" t="str">
            <v>-</v>
          </cell>
          <cell r="P415" t="str">
            <v>-</v>
          </cell>
        </row>
        <row r="416">
          <cell r="B416">
            <v>350506025</v>
          </cell>
          <cell r="C416" t="str">
            <v>Sambirejo</v>
          </cell>
          <cell r="D416" t="str">
            <v>-</v>
          </cell>
          <cell r="E416" t="str">
            <v>PSDA di Kediri</v>
          </cell>
          <cell r="F416" t="str">
            <v>Sambirejo</v>
          </cell>
          <cell r="G416" t="str">
            <v>Pare</v>
          </cell>
          <cell r="H416" t="str">
            <v>Kediri</v>
          </cell>
          <cell r="I416" t="str">
            <v>'112.14231</v>
          </cell>
          <cell r="J416" t="str">
            <v>'-7.77733</v>
          </cell>
          <cell r="K416" t="str">
            <v>-</v>
          </cell>
          <cell r="L416" t="str">
            <v>Brantas</v>
          </cell>
          <cell r="M416" t="str">
            <v>PHB</v>
          </cell>
          <cell r="N416" t="str">
            <v>-</v>
          </cell>
          <cell r="O416" t="str">
            <v>-</v>
          </cell>
          <cell r="P416" t="str">
            <v>-</v>
          </cell>
        </row>
        <row r="417">
          <cell r="B417">
            <v>350506026</v>
          </cell>
          <cell r="C417" t="str">
            <v>Minggiran</v>
          </cell>
          <cell r="D417" t="str">
            <v>-</v>
          </cell>
          <cell r="E417" t="str">
            <v>PSDA di Kediri</v>
          </cell>
          <cell r="F417" t="str">
            <v>Baye</v>
          </cell>
          <cell r="G417" t="str">
            <v>Kayen Kidul</v>
          </cell>
          <cell r="H417" t="str">
            <v>Kediri</v>
          </cell>
          <cell r="I417" t="str">
            <v>'112.04069</v>
          </cell>
          <cell r="J417" t="str">
            <v>'-7.74451</v>
          </cell>
          <cell r="K417" t="str">
            <v>-</v>
          </cell>
          <cell r="L417" t="str">
            <v>Brantas</v>
          </cell>
          <cell r="M417" t="str">
            <v>PHB</v>
          </cell>
          <cell r="N417" t="str">
            <v>-</v>
          </cell>
          <cell r="O417" t="str">
            <v>-</v>
          </cell>
          <cell r="P417" t="str">
            <v>-</v>
          </cell>
        </row>
        <row r="418">
          <cell r="B418">
            <v>350506027</v>
          </cell>
          <cell r="C418" t="str">
            <v>Menang</v>
          </cell>
          <cell r="D418" t="str">
            <v>-</v>
          </cell>
          <cell r="E418" t="str">
            <v>PSDA di Kediri</v>
          </cell>
          <cell r="F418" t="str">
            <v>Wates</v>
          </cell>
          <cell r="G418" t="str">
            <v>Pagu</v>
          </cell>
          <cell r="H418" t="str">
            <v>Kediri</v>
          </cell>
          <cell r="I418" t="str">
            <v>'112.07302</v>
          </cell>
          <cell r="J418" t="str">
            <v>'-7.77544</v>
          </cell>
          <cell r="K418" t="str">
            <v>-</v>
          </cell>
          <cell r="L418" t="str">
            <v>Brantas</v>
          </cell>
          <cell r="M418" t="str">
            <v>PHB</v>
          </cell>
          <cell r="N418" t="str">
            <v>-</v>
          </cell>
          <cell r="O418" t="str">
            <v>-</v>
          </cell>
          <cell r="P418" t="str">
            <v>-</v>
          </cell>
        </row>
        <row r="419">
          <cell r="B419">
            <v>350506028</v>
          </cell>
          <cell r="C419" t="str">
            <v>Turus</v>
          </cell>
          <cell r="D419" t="str">
            <v>-</v>
          </cell>
          <cell r="E419" t="str">
            <v>PSDA di Kediri</v>
          </cell>
          <cell r="F419" t="str">
            <v>Kranggan</v>
          </cell>
          <cell r="G419" t="str">
            <v>Gurah</v>
          </cell>
          <cell r="H419" t="str">
            <v>Kediri</v>
          </cell>
          <cell r="I419" t="str">
            <v>'112.04458</v>
          </cell>
          <cell r="J419" t="str">
            <v>'-7.77908</v>
          </cell>
          <cell r="K419" t="str">
            <v>-</v>
          </cell>
          <cell r="L419" t="str">
            <v>Brantas</v>
          </cell>
          <cell r="M419" t="str">
            <v>PHB</v>
          </cell>
          <cell r="N419" t="str">
            <v>-</v>
          </cell>
          <cell r="O419" t="str">
            <v>-</v>
          </cell>
          <cell r="P419" t="str">
            <v>-</v>
          </cell>
        </row>
        <row r="420">
          <cell r="B420">
            <v>350506029</v>
          </cell>
          <cell r="C420" t="str">
            <v>Gurah Stasiun</v>
          </cell>
          <cell r="D420" t="str">
            <v>-</v>
          </cell>
          <cell r="E420" t="str">
            <v>PSDA di Kediri</v>
          </cell>
          <cell r="F420" t="str">
            <v>Gurah</v>
          </cell>
          <cell r="G420" t="str">
            <v>Gurah</v>
          </cell>
          <cell r="H420" t="str">
            <v>Kediri</v>
          </cell>
          <cell r="I420" t="str">
            <v>'112.09040</v>
          </cell>
          <cell r="J420" t="str">
            <v>'-7.80938</v>
          </cell>
          <cell r="K420" t="str">
            <v>-</v>
          </cell>
          <cell r="L420" t="str">
            <v>Brantas</v>
          </cell>
          <cell r="M420" t="str">
            <v>PHB</v>
          </cell>
          <cell r="N420" t="str">
            <v>-</v>
          </cell>
          <cell r="O420" t="str">
            <v>-</v>
          </cell>
          <cell r="P420" t="str">
            <v>-</v>
          </cell>
        </row>
        <row r="421">
          <cell r="B421">
            <v>350506030</v>
          </cell>
          <cell r="C421" t="str">
            <v>Peng. Gurah</v>
          </cell>
          <cell r="D421" t="str">
            <v>-</v>
          </cell>
          <cell r="E421" t="str">
            <v>PSDA di Kediri</v>
          </cell>
          <cell r="F421" t="str">
            <v>Wonojoyo</v>
          </cell>
          <cell r="G421" t="str">
            <v>Gurah</v>
          </cell>
          <cell r="H421" t="str">
            <v>Kediri</v>
          </cell>
          <cell r="I421" t="str">
            <v>'112.08881</v>
          </cell>
          <cell r="J421" t="str">
            <v>'-7.81512</v>
          </cell>
          <cell r="K421" t="str">
            <v>-</v>
          </cell>
          <cell r="L421" t="str">
            <v>Brantas</v>
          </cell>
          <cell r="M421" t="str">
            <v>PHB</v>
          </cell>
          <cell r="N421" t="str">
            <v>-</v>
          </cell>
          <cell r="O421" t="str">
            <v>-</v>
          </cell>
          <cell r="P421" t="str">
            <v>-</v>
          </cell>
        </row>
        <row r="422">
          <cell r="B422">
            <v>350506031</v>
          </cell>
          <cell r="C422" t="str">
            <v>Brenggolo</v>
          </cell>
          <cell r="D422" t="str">
            <v>-</v>
          </cell>
          <cell r="E422" t="str">
            <v>PSDA di Kediri</v>
          </cell>
          <cell r="F422" t="str">
            <v>Bangkok</v>
          </cell>
          <cell r="G422" t="str">
            <v>Gurah</v>
          </cell>
          <cell r="H422" t="str">
            <v>Kediri</v>
          </cell>
          <cell r="I422" t="str">
            <v>'112.10429</v>
          </cell>
          <cell r="J422" t="str">
            <v>'-7.83823</v>
          </cell>
          <cell r="K422" t="str">
            <v>-</v>
          </cell>
          <cell r="L422" t="str">
            <v>Brantas</v>
          </cell>
          <cell r="M422" t="str">
            <v>PHB</v>
          </cell>
          <cell r="N422" t="str">
            <v>-</v>
          </cell>
          <cell r="O422" t="str">
            <v>-</v>
          </cell>
          <cell r="P422" t="str">
            <v>-</v>
          </cell>
        </row>
        <row r="423">
          <cell r="B423">
            <v>350506032</v>
          </cell>
          <cell r="C423" t="str">
            <v>Gampengrejo</v>
          </cell>
          <cell r="D423" t="str">
            <v>-</v>
          </cell>
          <cell r="E423" t="str">
            <v>PSDA di Kediri</v>
          </cell>
          <cell r="F423" t="str">
            <v>Karangrejo</v>
          </cell>
          <cell r="G423" t="str">
            <v>Ngasem</v>
          </cell>
          <cell r="H423" t="str">
            <v>Kediri</v>
          </cell>
          <cell r="I423" t="str">
            <v>'112.03473</v>
          </cell>
          <cell r="J423" t="str">
            <v>'-7.80302</v>
          </cell>
          <cell r="K423" t="str">
            <v>-</v>
          </cell>
          <cell r="L423" t="str">
            <v>Brantas</v>
          </cell>
          <cell r="M423" t="str">
            <v>PHB</v>
          </cell>
          <cell r="N423" t="str">
            <v>-</v>
          </cell>
          <cell r="O423" t="str">
            <v>-</v>
          </cell>
          <cell r="P423" t="str">
            <v>-</v>
          </cell>
        </row>
        <row r="424">
          <cell r="B424">
            <v>350506033</v>
          </cell>
          <cell r="C424" t="str">
            <v>Simbar</v>
          </cell>
          <cell r="D424" t="str">
            <v>-</v>
          </cell>
          <cell r="E424" t="str">
            <v>PSDA di Kediri</v>
          </cell>
          <cell r="F424" t="str">
            <v>Jarak</v>
          </cell>
          <cell r="G424" t="str">
            <v>Plosoklaten</v>
          </cell>
          <cell r="H424" t="str">
            <v>Kediri</v>
          </cell>
          <cell r="I424" t="str">
            <v>'112.18167</v>
          </cell>
          <cell r="J424" t="str">
            <v>'-7.89747</v>
          </cell>
          <cell r="K424" t="str">
            <v>-</v>
          </cell>
          <cell r="L424" t="str">
            <v>Brantas</v>
          </cell>
          <cell r="M424" t="str">
            <v>PHB</v>
          </cell>
          <cell r="N424" t="str">
            <v>-</v>
          </cell>
          <cell r="O424" t="str">
            <v>-</v>
          </cell>
          <cell r="P424" t="str">
            <v>-</v>
          </cell>
        </row>
        <row r="425">
          <cell r="B425">
            <v>350506034</v>
          </cell>
          <cell r="C425" t="str">
            <v>Kalasan</v>
          </cell>
          <cell r="D425" t="str">
            <v>-</v>
          </cell>
          <cell r="E425" t="str">
            <v>PSDA di Kediri</v>
          </cell>
          <cell r="F425" t="str">
            <v>Jarak</v>
          </cell>
          <cell r="G425" t="str">
            <v>Plosoklaten</v>
          </cell>
          <cell r="H425" t="str">
            <v>Kediri</v>
          </cell>
          <cell r="I425" t="str">
            <v>'112.13946</v>
          </cell>
          <cell r="J425" t="str">
            <v>'-7.86613</v>
          </cell>
          <cell r="K425" t="str">
            <v>-</v>
          </cell>
          <cell r="L425" t="str">
            <v>Brantas</v>
          </cell>
          <cell r="M425" t="str">
            <v>PHB</v>
          </cell>
          <cell r="N425" t="str">
            <v>-</v>
          </cell>
          <cell r="O425" t="str">
            <v>-</v>
          </cell>
          <cell r="P425" t="str">
            <v>-</v>
          </cell>
        </row>
        <row r="426">
          <cell r="B426">
            <v>350506035</v>
          </cell>
          <cell r="C426" t="str">
            <v>Wates</v>
          </cell>
          <cell r="D426" t="str">
            <v>-</v>
          </cell>
          <cell r="E426" t="str">
            <v>PSDA di Kediri</v>
          </cell>
          <cell r="F426" t="str">
            <v>Tawang</v>
          </cell>
          <cell r="G426" t="str">
            <v>Wates</v>
          </cell>
          <cell r="H426" t="str">
            <v>Kediri</v>
          </cell>
          <cell r="I426" t="str">
            <v>'112.12556</v>
          </cell>
          <cell r="J426" t="str">
            <v>'-7.92542</v>
          </cell>
          <cell r="K426" t="str">
            <v>-</v>
          </cell>
          <cell r="L426" t="str">
            <v>Brantas</v>
          </cell>
          <cell r="M426" t="str">
            <v>PHB</v>
          </cell>
          <cell r="N426" t="str">
            <v>-</v>
          </cell>
          <cell r="O426" t="str">
            <v>-</v>
          </cell>
          <cell r="P426" t="str">
            <v>-</v>
          </cell>
        </row>
        <row r="427">
          <cell r="B427">
            <v>350506036</v>
          </cell>
          <cell r="C427" t="str">
            <v>Bakung</v>
          </cell>
          <cell r="D427" t="str">
            <v>-</v>
          </cell>
          <cell r="E427" t="str">
            <v>PSDA di Kediri</v>
          </cell>
          <cell r="F427" t="str">
            <v>Tempurejo</v>
          </cell>
          <cell r="G427" t="str">
            <v>Wates</v>
          </cell>
          <cell r="H427" t="str">
            <v>Kediri</v>
          </cell>
          <cell r="I427" t="str">
            <v>'112.15997</v>
          </cell>
          <cell r="J427" t="str">
            <v>'-7.88978</v>
          </cell>
          <cell r="K427" t="str">
            <v>-</v>
          </cell>
          <cell r="L427" t="str">
            <v>Brantas</v>
          </cell>
          <cell r="M427" t="str">
            <v>PHB</v>
          </cell>
          <cell r="N427" t="str">
            <v>-</v>
          </cell>
          <cell r="O427" t="str">
            <v>-</v>
          </cell>
          <cell r="P427" t="str">
            <v>-</v>
          </cell>
        </row>
        <row r="428">
          <cell r="B428">
            <v>350506037</v>
          </cell>
          <cell r="C428" t="str">
            <v>Pojok</v>
          </cell>
          <cell r="D428" t="str">
            <v>-</v>
          </cell>
          <cell r="E428" t="str">
            <v>PSDA di Kediri</v>
          </cell>
          <cell r="F428" t="str">
            <v>Pojok</v>
          </cell>
          <cell r="G428" t="str">
            <v>Wates</v>
          </cell>
          <cell r="H428" t="str">
            <v>Kediri</v>
          </cell>
          <cell r="I428" t="str">
            <v>'112.07383</v>
          </cell>
          <cell r="J428" t="str">
            <v>'-7.92298</v>
          </cell>
          <cell r="K428" t="str">
            <v>-</v>
          </cell>
          <cell r="L428" t="str">
            <v>Brantas</v>
          </cell>
          <cell r="M428" t="str">
            <v>PHB</v>
          </cell>
          <cell r="N428" t="str">
            <v>-</v>
          </cell>
          <cell r="O428" t="str">
            <v>-</v>
          </cell>
          <cell r="P428" t="str">
            <v>-</v>
          </cell>
        </row>
        <row r="429">
          <cell r="B429">
            <v>350506038</v>
          </cell>
          <cell r="C429" t="str">
            <v>Sidomulyo</v>
          </cell>
          <cell r="D429" t="str">
            <v>-</v>
          </cell>
          <cell r="E429" t="str">
            <v>PSDA di Kediri</v>
          </cell>
          <cell r="F429" t="str">
            <v>Sidomulyo</v>
          </cell>
          <cell r="G429" t="str">
            <v>Wates</v>
          </cell>
          <cell r="H429" t="str">
            <v>Kediri</v>
          </cell>
          <cell r="I429" t="str">
            <v>'112.08992</v>
          </cell>
          <cell r="J429" t="str">
            <v>'-7.86834</v>
          </cell>
          <cell r="K429" t="str">
            <v>-</v>
          </cell>
          <cell r="L429" t="str">
            <v>Brantas</v>
          </cell>
          <cell r="M429" t="str">
            <v>PHB</v>
          </cell>
          <cell r="N429" t="str">
            <v>-</v>
          </cell>
          <cell r="O429" t="str">
            <v>-</v>
          </cell>
          <cell r="P429" t="str">
            <v>-</v>
          </cell>
        </row>
        <row r="430">
          <cell r="B430">
            <v>350506039</v>
          </cell>
          <cell r="C430" t="str">
            <v>Kwarasan Barat</v>
          </cell>
          <cell r="D430" t="str">
            <v>-</v>
          </cell>
          <cell r="E430" t="str">
            <v>PSDA di Kediri</v>
          </cell>
          <cell r="F430" t="str">
            <v>Jajar</v>
          </cell>
          <cell r="G430" t="str">
            <v>Wates</v>
          </cell>
          <cell r="H430" t="str">
            <v>Kediri</v>
          </cell>
          <cell r="I430" t="str">
            <v>'112.12474</v>
          </cell>
          <cell r="J430" t="str">
            <v>'-7.90853</v>
          </cell>
          <cell r="K430" t="str">
            <v>-</v>
          </cell>
          <cell r="L430" t="str">
            <v>Brantas</v>
          </cell>
          <cell r="M430" t="str">
            <v>PHB</v>
          </cell>
          <cell r="N430" t="str">
            <v>-</v>
          </cell>
          <cell r="O430" t="str">
            <v>-</v>
          </cell>
          <cell r="P430" t="str">
            <v>-</v>
          </cell>
        </row>
        <row r="431">
          <cell r="B431">
            <v>350506040</v>
          </cell>
          <cell r="C431" t="str">
            <v>Jengkol</v>
          </cell>
          <cell r="D431" t="str">
            <v>-</v>
          </cell>
          <cell r="E431" t="str">
            <v>PSDA di Kediri</v>
          </cell>
          <cell r="F431" t="str">
            <v>Ploso Kidul</v>
          </cell>
          <cell r="G431" t="str">
            <v>Plosoklaten</v>
          </cell>
          <cell r="H431" t="str">
            <v>Kediri</v>
          </cell>
          <cell r="I431" t="str">
            <v>'112.14749</v>
          </cell>
          <cell r="J431" t="str">
            <v>'-7.86394</v>
          </cell>
          <cell r="K431" t="str">
            <v>-</v>
          </cell>
          <cell r="L431" t="str">
            <v>Brantas</v>
          </cell>
          <cell r="M431" t="str">
            <v>PHB</v>
          </cell>
          <cell r="N431" t="str">
            <v>-</v>
          </cell>
          <cell r="O431" t="str">
            <v>-</v>
          </cell>
          <cell r="P431" t="str">
            <v>-</v>
          </cell>
        </row>
        <row r="432">
          <cell r="B432">
            <v>350506041</v>
          </cell>
          <cell r="C432" t="str">
            <v>Kentung</v>
          </cell>
          <cell r="D432" t="str">
            <v>-</v>
          </cell>
          <cell r="E432" t="str">
            <v>PSDA di Kediri</v>
          </cell>
          <cell r="F432" t="str">
            <v>Punjul</v>
          </cell>
          <cell r="G432" t="str">
            <v>Plosoklaten</v>
          </cell>
          <cell r="H432" t="str">
            <v>Kediri</v>
          </cell>
          <cell r="I432" t="str">
            <v>'112.15914</v>
          </cell>
          <cell r="J432" t="str">
            <v>'-7.84667</v>
          </cell>
          <cell r="K432" t="str">
            <v>-</v>
          </cell>
          <cell r="L432" t="str">
            <v>Brantas</v>
          </cell>
          <cell r="M432" t="str">
            <v>PHB</v>
          </cell>
          <cell r="N432" t="str">
            <v>-</v>
          </cell>
          <cell r="O432" t="str">
            <v>-</v>
          </cell>
          <cell r="P432" t="str">
            <v>-</v>
          </cell>
        </row>
        <row r="433">
          <cell r="B433">
            <v>350506042</v>
          </cell>
          <cell r="C433" t="str">
            <v>Tumpang</v>
          </cell>
          <cell r="D433" t="str">
            <v>-</v>
          </cell>
          <cell r="E433" t="str">
            <v>PSDA di Kediri</v>
          </cell>
          <cell r="F433" t="str">
            <v>Selodono</v>
          </cell>
          <cell r="G433" t="str">
            <v>Ringinrejo</v>
          </cell>
          <cell r="H433" t="str">
            <v>Kediri</v>
          </cell>
          <cell r="I433" t="str">
            <v>'112.03416</v>
          </cell>
          <cell r="J433" t="str">
            <v>'-7.97353</v>
          </cell>
          <cell r="K433" t="str">
            <v>-</v>
          </cell>
          <cell r="L433" t="str">
            <v>Brantas</v>
          </cell>
          <cell r="M433" t="str">
            <v>PHB</v>
          </cell>
          <cell r="N433" t="str">
            <v>-</v>
          </cell>
          <cell r="O433" t="str">
            <v>-</v>
          </cell>
          <cell r="P433" t="str">
            <v>-</v>
          </cell>
        </row>
        <row r="434">
          <cell r="B434">
            <v>350506043</v>
          </cell>
          <cell r="C434" t="str">
            <v>Kras</v>
          </cell>
          <cell r="D434" t="str">
            <v>-</v>
          </cell>
          <cell r="E434" t="str">
            <v>PSDA di Kediri</v>
          </cell>
          <cell r="F434" t="str">
            <v>Jambean</v>
          </cell>
          <cell r="G434" t="str">
            <v>Kras</v>
          </cell>
          <cell r="H434" t="str">
            <v>Kediri</v>
          </cell>
          <cell r="I434" t="str">
            <v>'111.96025</v>
          </cell>
          <cell r="J434" t="str">
            <v>'-7.93572</v>
          </cell>
          <cell r="K434" t="str">
            <v>-</v>
          </cell>
          <cell r="L434" t="str">
            <v>Brantas</v>
          </cell>
          <cell r="M434" t="str">
            <v>PHB</v>
          </cell>
          <cell r="N434" t="str">
            <v>-</v>
          </cell>
          <cell r="O434" t="str">
            <v>-</v>
          </cell>
          <cell r="P434" t="str">
            <v>-</v>
          </cell>
        </row>
        <row r="435">
          <cell r="B435">
            <v>350506044</v>
          </cell>
          <cell r="C435" t="str">
            <v>Kandat</v>
          </cell>
          <cell r="D435" t="str">
            <v>-</v>
          </cell>
          <cell r="E435" t="str">
            <v>PSDA di Kediri</v>
          </cell>
          <cell r="F435" t="str">
            <v>Kandat</v>
          </cell>
          <cell r="G435" t="str">
            <v>Kandat</v>
          </cell>
          <cell r="H435" t="str">
            <v>Kediri</v>
          </cell>
          <cell r="I435" t="str">
            <v>'112.04124</v>
          </cell>
          <cell r="J435" t="str">
            <v>'-7.92612</v>
          </cell>
          <cell r="K435" t="str">
            <v>-</v>
          </cell>
          <cell r="L435" t="str">
            <v>Brantas</v>
          </cell>
          <cell r="M435" t="str">
            <v>PHB</v>
          </cell>
          <cell r="N435" t="str">
            <v>-</v>
          </cell>
          <cell r="O435" t="str">
            <v>-</v>
          </cell>
          <cell r="P435" t="str">
            <v>-</v>
          </cell>
        </row>
        <row r="436">
          <cell r="B436">
            <v>350506045</v>
          </cell>
          <cell r="C436" t="str">
            <v>Pakisaji</v>
          </cell>
          <cell r="D436" t="str">
            <v>-</v>
          </cell>
          <cell r="E436" t="str">
            <v>PSDA di Kediri</v>
          </cell>
          <cell r="F436" t="str">
            <v>Duwet</v>
          </cell>
          <cell r="G436" t="str">
            <v>Wates</v>
          </cell>
          <cell r="H436" t="str">
            <v>Kediri</v>
          </cell>
          <cell r="I436" t="str">
            <v>'112.08847</v>
          </cell>
          <cell r="J436" t="str">
            <v>'-7.93792</v>
          </cell>
          <cell r="K436" t="str">
            <v>-</v>
          </cell>
          <cell r="L436" t="str">
            <v>Brantas</v>
          </cell>
          <cell r="M436" t="str">
            <v>PHB</v>
          </cell>
          <cell r="N436" t="str">
            <v>-</v>
          </cell>
          <cell r="O436" t="str">
            <v>-</v>
          </cell>
          <cell r="P436" t="str">
            <v>-</v>
          </cell>
        </row>
        <row r="437">
          <cell r="B437">
            <v>350506046</v>
          </cell>
          <cell r="C437" t="str">
            <v>Ringinrejo</v>
          </cell>
          <cell r="D437" t="str">
            <v>-</v>
          </cell>
          <cell r="E437" t="str">
            <v>PSDA di Kediri</v>
          </cell>
          <cell r="F437" t="str">
            <v>Susuhbango</v>
          </cell>
          <cell r="G437" t="str">
            <v>Ringinrejo</v>
          </cell>
          <cell r="H437" t="str">
            <v>Kediri</v>
          </cell>
          <cell r="I437" t="str">
            <v>'112.03096</v>
          </cell>
          <cell r="J437" t="str">
            <v>'-7.97643</v>
          </cell>
          <cell r="K437" t="str">
            <v>-</v>
          </cell>
          <cell r="L437" t="str">
            <v>Brantas</v>
          </cell>
          <cell r="M437" t="str">
            <v>PHB</v>
          </cell>
          <cell r="N437" t="str">
            <v>-</v>
          </cell>
          <cell r="O437" t="str">
            <v>-</v>
          </cell>
          <cell r="P437" t="str">
            <v>-</v>
          </cell>
        </row>
        <row r="438">
          <cell r="B438">
            <v>350506047</v>
          </cell>
          <cell r="C438" t="str">
            <v>Truneng</v>
          </cell>
          <cell r="D438" t="str">
            <v>-</v>
          </cell>
          <cell r="E438" t="str">
            <v>PSDA di Kediri</v>
          </cell>
          <cell r="F438" t="str">
            <v>Tempurejo</v>
          </cell>
          <cell r="G438" t="str">
            <v>Wates</v>
          </cell>
          <cell r="H438" t="str">
            <v>Kediri</v>
          </cell>
          <cell r="I438" t="str">
            <v>'112.15098</v>
          </cell>
          <cell r="J438" t="str">
            <v>'-7.91017</v>
          </cell>
          <cell r="K438" t="str">
            <v>-</v>
          </cell>
          <cell r="L438" t="str">
            <v>Brantas</v>
          </cell>
          <cell r="M438" t="str">
            <v>PHB</v>
          </cell>
          <cell r="N438" t="str">
            <v>-</v>
          </cell>
          <cell r="O438" t="str">
            <v>-</v>
          </cell>
          <cell r="P438" t="str">
            <v>-</v>
          </cell>
        </row>
        <row r="439">
          <cell r="B439">
            <v>350506048</v>
          </cell>
          <cell r="C439" t="str">
            <v>Pandantoyo</v>
          </cell>
          <cell r="D439" t="str">
            <v>-</v>
          </cell>
          <cell r="E439" t="str">
            <v>PSDA di Kediri</v>
          </cell>
          <cell r="F439" t="str">
            <v>Pandantoyo</v>
          </cell>
          <cell r="G439" t="str">
            <v>Ngancar</v>
          </cell>
          <cell r="H439" t="str">
            <v>Kediri</v>
          </cell>
          <cell r="I439" t="str">
            <v>'112.16029</v>
          </cell>
          <cell r="J439" t="str">
            <v>'-7.93973</v>
          </cell>
          <cell r="K439" t="str">
            <v>-</v>
          </cell>
          <cell r="L439" t="str">
            <v>Brantas</v>
          </cell>
          <cell r="M439" t="str">
            <v>PHB</v>
          </cell>
          <cell r="N439" t="str">
            <v>-</v>
          </cell>
          <cell r="O439" t="str">
            <v>-</v>
          </cell>
          <cell r="P439" t="str">
            <v>-</v>
          </cell>
        </row>
        <row r="440">
          <cell r="B440">
            <v>350506049</v>
          </cell>
          <cell r="C440" t="str">
            <v>Onggoboyo</v>
          </cell>
          <cell r="D440" t="str">
            <v>-</v>
          </cell>
          <cell r="E440" t="str">
            <v>PSDA di Kediri</v>
          </cell>
          <cell r="F440" t="str">
            <v>Babadan</v>
          </cell>
          <cell r="G440" t="str">
            <v>Ngancar</v>
          </cell>
          <cell r="H440" t="str">
            <v>Kediri</v>
          </cell>
          <cell r="I440" t="str">
            <v>'112.18523</v>
          </cell>
          <cell r="J440" t="str">
            <v>'-7.92115</v>
          </cell>
          <cell r="K440" t="str">
            <v>-</v>
          </cell>
          <cell r="L440" t="str">
            <v>Brantas</v>
          </cell>
          <cell r="M440" t="str">
            <v>PHB</v>
          </cell>
          <cell r="N440" t="str">
            <v>-</v>
          </cell>
          <cell r="O440" t="str">
            <v>-</v>
          </cell>
          <cell r="P440" t="str">
            <v>-</v>
          </cell>
        </row>
        <row r="441">
          <cell r="B441">
            <v>350506050</v>
          </cell>
          <cell r="C441" t="str">
            <v>PG.Ngadirejo</v>
          </cell>
          <cell r="D441" t="str">
            <v>-</v>
          </cell>
          <cell r="E441" t="str">
            <v>PSDA di Kediri</v>
          </cell>
          <cell r="F441" t="str">
            <v>Jambean</v>
          </cell>
          <cell r="G441" t="str">
            <v>Kras</v>
          </cell>
          <cell r="H441" t="str">
            <v>Kediri</v>
          </cell>
          <cell r="I441" t="str">
            <v>'111.97422</v>
          </cell>
          <cell r="J441" t="str">
            <v>'-7.92883</v>
          </cell>
          <cell r="K441" t="str">
            <v>-</v>
          </cell>
          <cell r="L441" t="str">
            <v>Brantas</v>
          </cell>
          <cell r="M441" t="str">
            <v>PHB</v>
          </cell>
          <cell r="N441" t="str">
            <v>-</v>
          </cell>
          <cell r="O441" t="str">
            <v>-</v>
          </cell>
          <cell r="P441" t="str">
            <v>-</v>
          </cell>
        </row>
        <row r="442">
          <cell r="B442">
            <v>350506051</v>
          </cell>
          <cell r="C442" t="str">
            <v>Sumberlumbu</v>
          </cell>
          <cell r="D442" t="str">
            <v>-</v>
          </cell>
          <cell r="E442" t="str">
            <v>PSDA di Kediri</v>
          </cell>
          <cell r="F442" t="str">
            <v>Margourip</v>
          </cell>
          <cell r="G442" t="str">
            <v>Ngancar</v>
          </cell>
          <cell r="H442" t="str">
            <v>Kediri</v>
          </cell>
          <cell r="I442" t="str">
            <v>'112.15595</v>
          </cell>
          <cell r="J442" t="str">
            <v>'-7.95264</v>
          </cell>
          <cell r="K442" t="str">
            <v>-</v>
          </cell>
          <cell r="L442" t="str">
            <v>Brantas</v>
          </cell>
          <cell r="M442" t="str">
            <v>PHB</v>
          </cell>
          <cell r="N442" t="str">
            <v>-</v>
          </cell>
          <cell r="O442" t="str">
            <v>-</v>
          </cell>
          <cell r="P442" t="str">
            <v>-</v>
          </cell>
        </row>
        <row r="443">
          <cell r="B443">
            <v>350506052</v>
          </cell>
          <cell r="C443" t="str">
            <v>Sumberdadi</v>
          </cell>
          <cell r="D443" t="str">
            <v>-</v>
          </cell>
          <cell r="E443" t="str">
            <v>PSDA di Kediri</v>
          </cell>
          <cell r="F443" t="str">
            <v>Krandang</v>
          </cell>
          <cell r="G443" t="str">
            <v>Kras</v>
          </cell>
          <cell r="H443" t="str">
            <v>Kediri</v>
          </cell>
          <cell r="I443" t="str">
            <v>'111.99433</v>
          </cell>
          <cell r="J443" t="str">
            <v>'-7.94258</v>
          </cell>
          <cell r="K443" t="str">
            <v>-</v>
          </cell>
          <cell r="L443" t="str">
            <v>Brantas</v>
          </cell>
          <cell r="M443" t="str">
            <v>PHB</v>
          </cell>
          <cell r="N443" t="str">
            <v>-</v>
          </cell>
          <cell r="O443" t="str">
            <v>-</v>
          </cell>
          <cell r="P443" t="str">
            <v>-</v>
          </cell>
        </row>
        <row r="444">
          <cell r="B444">
            <v>350506053</v>
          </cell>
          <cell r="C444" t="str">
            <v>Kutukan</v>
          </cell>
          <cell r="D444" t="str">
            <v>-</v>
          </cell>
          <cell r="E444" t="str">
            <v>PSDA di Kediri</v>
          </cell>
          <cell r="F444" t="str">
            <v>Kunjang</v>
          </cell>
          <cell r="G444" t="str">
            <v>Ngancar</v>
          </cell>
          <cell r="H444" t="str">
            <v>Kediri</v>
          </cell>
          <cell r="I444" t="str">
            <v>'112.13039</v>
          </cell>
          <cell r="J444" t="str">
            <v>'-7.94832</v>
          </cell>
          <cell r="K444" t="str">
            <v>-</v>
          </cell>
          <cell r="L444" t="str">
            <v>Brantas</v>
          </cell>
          <cell r="M444" t="str">
            <v>PHB</v>
          </cell>
          <cell r="N444" t="str">
            <v>-</v>
          </cell>
          <cell r="O444" t="str">
            <v>-</v>
          </cell>
          <cell r="P444" t="str">
            <v>-</v>
          </cell>
        </row>
        <row r="445">
          <cell r="B445">
            <v>350506054</v>
          </cell>
          <cell r="C445" t="str">
            <v>Galuan</v>
          </cell>
          <cell r="D445" t="str">
            <v>-</v>
          </cell>
          <cell r="E445" t="str">
            <v>PSDA di Kediri</v>
          </cell>
          <cell r="F445" t="str">
            <v>Kandat</v>
          </cell>
          <cell r="G445" t="str">
            <v>Kandat</v>
          </cell>
          <cell r="H445" t="str">
            <v>Kediri</v>
          </cell>
          <cell r="I445" t="str">
            <v>'112.03200</v>
          </cell>
          <cell r="J445" t="str">
            <v>'-7.93409</v>
          </cell>
          <cell r="K445" t="str">
            <v>-</v>
          </cell>
          <cell r="L445" t="str">
            <v>Brantas</v>
          </cell>
          <cell r="M445" t="str">
            <v>PHB</v>
          </cell>
          <cell r="N445" t="str">
            <v>-</v>
          </cell>
          <cell r="O445" t="str">
            <v>-</v>
          </cell>
          <cell r="P445" t="str">
            <v>-</v>
          </cell>
        </row>
        <row r="446">
          <cell r="B446">
            <v>350517001</v>
          </cell>
          <cell r="C446" t="str">
            <v>Blimbing</v>
          </cell>
          <cell r="D446" t="str">
            <v>-</v>
          </cell>
          <cell r="E446" t="str">
            <v>PSDA di Kediri</v>
          </cell>
          <cell r="F446" t="str">
            <v>Blimbing</v>
          </cell>
          <cell r="G446" t="str">
            <v>Gudo</v>
          </cell>
          <cell r="H446" t="str">
            <v>Jombang</v>
          </cell>
          <cell r="I446" t="str">
            <v>'112.229731</v>
          </cell>
          <cell r="J446" t="str">
            <v>'-7.639372</v>
          </cell>
          <cell r="K446" t="str">
            <v>-</v>
          </cell>
          <cell r="L446" t="str">
            <v>Brantas</v>
          </cell>
          <cell r="M446" t="str">
            <v>PHB</v>
          </cell>
          <cell r="N446" t="str">
            <v>-</v>
          </cell>
          <cell r="O446" t="str">
            <v>-</v>
          </cell>
          <cell r="P446" t="str">
            <v>-</v>
          </cell>
        </row>
        <row r="447">
          <cell r="B447">
            <v>350517002</v>
          </cell>
          <cell r="C447" t="str">
            <v>Cukir</v>
          </cell>
          <cell r="D447" t="str">
            <v>-</v>
          </cell>
          <cell r="E447" t="str">
            <v>PSDA di Kediri</v>
          </cell>
          <cell r="F447" t="str">
            <v>Kayangan</v>
          </cell>
          <cell r="G447" t="str">
            <v>Diwek</v>
          </cell>
          <cell r="H447" t="str">
            <v>Jombang</v>
          </cell>
          <cell r="I447" t="str">
            <v>'112.238279</v>
          </cell>
          <cell r="J447" t="str">
            <v>'-7.623941</v>
          </cell>
          <cell r="K447" t="str">
            <v>-</v>
          </cell>
          <cell r="L447" t="str">
            <v>Brantas</v>
          </cell>
          <cell r="M447" t="str">
            <v>PHB</v>
          </cell>
          <cell r="N447" t="str">
            <v>-</v>
          </cell>
          <cell r="O447" t="str">
            <v>-</v>
          </cell>
          <cell r="P447" t="str">
            <v>-</v>
          </cell>
        </row>
        <row r="448">
          <cell r="B448">
            <v>350517003</v>
          </cell>
          <cell r="C448" t="str">
            <v>Pg. Cukir</v>
          </cell>
          <cell r="D448" t="str">
            <v>-</v>
          </cell>
          <cell r="E448" t="str">
            <v>PSDA di Kediri</v>
          </cell>
          <cell r="F448" t="str">
            <v>Cukir</v>
          </cell>
          <cell r="G448" t="str">
            <v>Diwek</v>
          </cell>
          <cell r="H448" t="str">
            <v>Jombang</v>
          </cell>
          <cell r="I448" t="str">
            <v>'112.238889</v>
          </cell>
          <cell r="J448" t="str">
            <v>'-7.607778</v>
          </cell>
          <cell r="K448" t="str">
            <v>-</v>
          </cell>
          <cell r="L448" t="str">
            <v>Brantas</v>
          </cell>
          <cell r="M448" t="str">
            <v>PHB</v>
          </cell>
          <cell r="N448" t="str">
            <v>-</v>
          </cell>
          <cell r="O448" t="str">
            <v>-</v>
          </cell>
          <cell r="P448" t="str">
            <v>-</v>
          </cell>
        </row>
        <row r="449">
          <cell r="B449">
            <v>350517004</v>
          </cell>
          <cell r="C449" t="str">
            <v>Ceweng</v>
          </cell>
          <cell r="D449" t="str">
            <v>-</v>
          </cell>
          <cell r="E449" t="str">
            <v>PSDA di Kediri</v>
          </cell>
          <cell r="F449" t="str">
            <v>Ceweng</v>
          </cell>
          <cell r="G449" t="str">
            <v>Diwek</v>
          </cell>
          <cell r="H449" t="str">
            <v>Jombang</v>
          </cell>
          <cell r="I449" t="str">
            <v>'112.235923</v>
          </cell>
          <cell r="J449" t="str">
            <v>'-7.590450</v>
          </cell>
          <cell r="K449" t="str">
            <v>-</v>
          </cell>
          <cell r="L449" t="str">
            <v>Brantas</v>
          </cell>
          <cell r="M449" t="str">
            <v>PHB</v>
          </cell>
          <cell r="N449" t="str">
            <v>-</v>
          </cell>
          <cell r="O449" t="str">
            <v>-</v>
          </cell>
          <cell r="P449" t="str">
            <v>-</v>
          </cell>
        </row>
        <row r="450">
          <cell r="B450">
            <v>350517005</v>
          </cell>
          <cell r="C450" t="str">
            <v>Jombang</v>
          </cell>
          <cell r="D450" t="str">
            <v>-</v>
          </cell>
          <cell r="E450" t="str">
            <v>PSDA di Kediri</v>
          </cell>
          <cell r="F450" t="str">
            <v>Denanyar</v>
          </cell>
          <cell r="G450" t="str">
            <v>Jombang</v>
          </cell>
          <cell r="H450" t="str">
            <v>Jombang</v>
          </cell>
          <cell r="I450" t="str">
            <v>'112.221391</v>
          </cell>
          <cell r="J450" t="str">
            <v>'-7.541367</v>
          </cell>
          <cell r="K450" t="str">
            <v>-</v>
          </cell>
          <cell r="L450" t="str">
            <v>Brantas</v>
          </cell>
          <cell r="M450" t="str">
            <v>PHB</v>
          </cell>
          <cell r="N450" t="str">
            <v>-</v>
          </cell>
          <cell r="O450" t="str">
            <v>-</v>
          </cell>
          <cell r="P450" t="str">
            <v>-</v>
          </cell>
        </row>
        <row r="451">
          <cell r="B451">
            <v>350517006</v>
          </cell>
          <cell r="C451" t="str">
            <v>Pg Jombang  Br</v>
          </cell>
          <cell r="D451" t="str">
            <v>-</v>
          </cell>
          <cell r="E451" t="str">
            <v>PSDA di Kediri</v>
          </cell>
          <cell r="F451" t="str">
            <v>Pulolor</v>
          </cell>
          <cell r="G451" t="str">
            <v>Jombang</v>
          </cell>
          <cell r="H451" t="str">
            <v>Jombang</v>
          </cell>
          <cell r="I451" t="str">
            <v>'112.231175</v>
          </cell>
          <cell r="J451" t="str">
            <v>'-7.537560</v>
          </cell>
          <cell r="K451" t="str">
            <v>-</v>
          </cell>
          <cell r="L451" t="str">
            <v>Brantas</v>
          </cell>
          <cell r="M451" t="str">
            <v>PHB</v>
          </cell>
          <cell r="N451" t="str">
            <v>-</v>
          </cell>
          <cell r="O451" t="str">
            <v>-</v>
          </cell>
          <cell r="P451" t="str">
            <v>-</v>
          </cell>
        </row>
        <row r="452">
          <cell r="B452">
            <v>350517007</v>
          </cell>
          <cell r="C452" t="str">
            <v>Keplaksari</v>
          </cell>
          <cell r="D452" t="str">
            <v>-</v>
          </cell>
          <cell r="E452" t="str">
            <v>PSDA di Kediri</v>
          </cell>
          <cell r="F452" t="str">
            <v>Keplaksari</v>
          </cell>
          <cell r="G452" t="str">
            <v>Peterongan</v>
          </cell>
          <cell r="H452" t="str">
            <v>Jombang</v>
          </cell>
          <cell r="I452" t="str">
            <v>'112.262475</v>
          </cell>
          <cell r="J452" t="str">
            <v>'-7.537686</v>
          </cell>
          <cell r="K452" t="str">
            <v>-</v>
          </cell>
          <cell r="L452" t="str">
            <v>Brantas</v>
          </cell>
          <cell r="M452" t="str">
            <v>PHB</v>
          </cell>
          <cell r="N452" t="str">
            <v>-</v>
          </cell>
          <cell r="O452" t="str">
            <v>-</v>
          </cell>
          <cell r="P452" t="str">
            <v>-</v>
          </cell>
        </row>
        <row r="453">
          <cell r="B453">
            <v>350517008</v>
          </cell>
          <cell r="C453" t="str">
            <v>Perak Jombang</v>
          </cell>
          <cell r="D453" t="str">
            <v>-</v>
          </cell>
          <cell r="E453" t="str">
            <v>PSDA di Kediri</v>
          </cell>
          <cell r="F453" t="str">
            <v>Perak</v>
          </cell>
          <cell r="G453" t="str">
            <v>Perak</v>
          </cell>
          <cell r="H453" t="str">
            <v>Jombang</v>
          </cell>
          <cell r="I453" t="str">
            <v>'112.157598</v>
          </cell>
          <cell r="J453" t="str">
            <v>'-7.580001</v>
          </cell>
          <cell r="K453" t="str">
            <v>-</v>
          </cell>
          <cell r="L453" t="str">
            <v>Brantas</v>
          </cell>
          <cell r="M453" t="str">
            <v>PHB</v>
          </cell>
          <cell r="N453" t="str">
            <v>-</v>
          </cell>
          <cell r="O453" t="str">
            <v>-</v>
          </cell>
          <cell r="P453" t="str">
            <v>-</v>
          </cell>
        </row>
        <row r="454">
          <cell r="B454">
            <v>350517009</v>
          </cell>
          <cell r="C454" t="str">
            <v>Tanggungan</v>
          </cell>
          <cell r="D454" t="str">
            <v>-</v>
          </cell>
          <cell r="E454" t="str">
            <v>PSDA di Kediri</v>
          </cell>
          <cell r="F454" t="str">
            <v>Tanggungan</v>
          </cell>
          <cell r="G454" t="str">
            <v>Gudo</v>
          </cell>
          <cell r="H454" t="str">
            <v>Jombang</v>
          </cell>
          <cell r="I454" t="str">
            <v>'112.185418</v>
          </cell>
          <cell r="J454" t="str">
            <v>'-7.59001</v>
          </cell>
          <cell r="K454" t="str">
            <v>-</v>
          </cell>
          <cell r="L454" t="str">
            <v>Brantas</v>
          </cell>
          <cell r="M454" t="str">
            <v>PHB</v>
          </cell>
          <cell r="N454" t="str">
            <v>-</v>
          </cell>
          <cell r="O454" t="str">
            <v>-</v>
          </cell>
          <cell r="P454" t="str">
            <v>-</v>
          </cell>
        </row>
        <row r="455">
          <cell r="B455">
            <v>350517010</v>
          </cell>
          <cell r="C455" t="str">
            <v>Kedungrejo</v>
          </cell>
          <cell r="D455" t="str">
            <v>-</v>
          </cell>
          <cell r="E455" t="str">
            <v>PSDA di Kediri</v>
          </cell>
          <cell r="F455" t="str">
            <v>Kedungrejo</v>
          </cell>
          <cell r="G455" t="str">
            <v>Megaluh</v>
          </cell>
          <cell r="H455" t="str">
            <v>Jombang</v>
          </cell>
          <cell r="I455" t="str">
            <v>'112.221895</v>
          </cell>
          <cell r="J455" t="str">
            <v>'-7.465904</v>
          </cell>
          <cell r="K455" t="str">
            <v>-</v>
          </cell>
          <cell r="L455" t="str">
            <v>Brantas</v>
          </cell>
          <cell r="M455" t="str">
            <v>PHB</v>
          </cell>
          <cell r="N455" t="str">
            <v>-</v>
          </cell>
          <cell r="O455" t="str">
            <v>-</v>
          </cell>
          <cell r="P455" t="str">
            <v>-</v>
          </cell>
        </row>
        <row r="456">
          <cell r="B456">
            <v>350517011</v>
          </cell>
          <cell r="C456" t="str">
            <v>Tapen</v>
          </cell>
          <cell r="D456" t="str">
            <v>-</v>
          </cell>
          <cell r="E456" t="str">
            <v>PSDA di Kediri</v>
          </cell>
          <cell r="F456" t="str">
            <v>Tapen</v>
          </cell>
          <cell r="G456" t="str">
            <v>Kudu</v>
          </cell>
          <cell r="H456" t="str">
            <v>Jombang</v>
          </cell>
          <cell r="I456" t="str">
            <v>'112.28539</v>
          </cell>
          <cell r="J456" t="str">
            <v>'-7.4337</v>
          </cell>
          <cell r="K456" t="str">
            <v>-</v>
          </cell>
          <cell r="L456" t="str">
            <v>Brantas</v>
          </cell>
          <cell r="M456" t="str">
            <v>PHB</v>
          </cell>
          <cell r="N456" t="str">
            <v>-</v>
          </cell>
          <cell r="O456" t="str">
            <v>-</v>
          </cell>
          <cell r="P456" t="str">
            <v>-</v>
          </cell>
        </row>
        <row r="457">
          <cell r="B457">
            <v>350517012</v>
          </cell>
          <cell r="C457" t="str">
            <v>Kabuh</v>
          </cell>
          <cell r="D457" t="str">
            <v>-</v>
          </cell>
          <cell r="E457" t="str">
            <v>PSDA di Kediri</v>
          </cell>
          <cell r="F457" t="str">
            <v>Kabuh</v>
          </cell>
          <cell r="G457" t="str">
            <v>Kabuh</v>
          </cell>
          <cell r="H457" t="str">
            <v>Jombang</v>
          </cell>
          <cell r="I457" t="str">
            <v>'112.21400</v>
          </cell>
          <cell r="J457" t="str">
            <v>'-7.39383</v>
          </cell>
          <cell r="K457" t="str">
            <v>-</v>
          </cell>
          <cell r="L457" t="str">
            <v>Brantas</v>
          </cell>
          <cell r="M457" t="str">
            <v>PHB</v>
          </cell>
          <cell r="N457" t="str">
            <v>-</v>
          </cell>
          <cell r="O457" t="str">
            <v>-</v>
          </cell>
          <cell r="P457" t="str">
            <v>-</v>
          </cell>
        </row>
        <row r="458">
          <cell r="B458">
            <v>350517013</v>
          </cell>
          <cell r="C458" t="str">
            <v>Tanjung</v>
          </cell>
          <cell r="D458" t="str">
            <v>-</v>
          </cell>
          <cell r="E458" t="str">
            <v>PSDA di Kediri</v>
          </cell>
          <cell r="F458" t="str">
            <v>Tanjungwadung</v>
          </cell>
          <cell r="G458" t="str">
            <v>Kabuh</v>
          </cell>
          <cell r="H458" t="str">
            <v>Jombang</v>
          </cell>
          <cell r="I458" t="str">
            <v>'112.183498</v>
          </cell>
          <cell r="J458" t="str">
            <v>'-7.404362</v>
          </cell>
          <cell r="K458" t="str">
            <v>-</v>
          </cell>
          <cell r="L458" t="str">
            <v>Brantas</v>
          </cell>
          <cell r="M458" t="str">
            <v>PHB</v>
          </cell>
          <cell r="N458" t="str">
            <v>-</v>
          </cell>
          <cell r="O458" t="str">
            <v>-</v>
          </cell>
          <cell r="P458" t="str">
            <v>-</v>
          </cell>
        </row>
        <row r="459">
          <cell r="B459">
            <v>350517014</v>
          </cell>
          <cell r="C459" t="str">
            <v>Ploso</v>
          </cell>
          <cell r="D459" t="str">
            <v>-</v>
          </cell>
          <cell r="E459" t="str">
            <v>PSDA di Kediri</v>
          </cell>
          <cell r="F459" t="str">
            <v>Rejoagung</v>
          </cell>
          <cell r="G459" t="str">
            <v>Ploso</v>
          </cell>
          <cell r="H459" t="str">
            <v>Jombang</v>
          </cell>
          <cell r="I459" t="str">
            <v>'112.22733</v>
          </cell>
          <cell r="J459" t="str">
            <v>'-7.4583</v>
          </cell>
          <cell r="K459" t="str">
            <v>-</v>
          </cell>
          <cell r="L459" t="str">
            <v>Brantas</v>
          </cell>
          <cell r="M459" t="str">
            <v>PHB</v>
          </cell>
          <cell r="N459" t="str">
            <v>-</v>
          </cell>
          <cell r="O459" t="str">
            <v>-</v>
          </cell>
          <cell r="P459" t="str">
            <v>-</v>
          </cell>
        </row>
        <row r="460">
          <cell r="B460">
            <v>350517015</v>
          </cell>
          <cell r="C460" t="str">
            <v>W. Sempal</v>
          </cell>
          <cell r="D460" t="str">
            <v>-</v>
          </cell>
          <cell r="E460" t="str">
            <v>PSDA di Kediri</v>
          </cell>
          <cell r="F460" t="str">
            <v>Karangpakis</v>
          </cell>
          <cell r="G460" t="str">
            <v>Kabuh</v>
          </cell>
          <cell r="H460" t="str">
            <v>Jombang</v>
          </cell>
          <cell r="I460" t="str">
            <v>'112.221203</v>
          </cell>
          <cell r="J460" t="str">
            <v>'-7.399115</v>
          </cell>
          <cell r="K460" t="str">
            <v>-</v>
          </cell>
          <cell r="L460" t="str">
            <v>Brantas</v>
          </cell>
          <cell r="M460" t="str">
            <v>PHB</v>
          </cell>
          <cell r="N460" t="str">
            <v>-</v>
          </cell>
          <cell r="O460" t="str">
            <v>-</v>
          </cell>
          <cell r="P460" t="str">
            <v>-</v>
          </cell>
        </row>
        <row r="461">
          <cell r="B461">
            <v>350517016</v>
          </cell>
          <cell r="C461" t="str">
            <v>W. Mangunan</v>
          </cell>
          <cell r="D461" t="str">
            <v>-</v>
          </cell>
          <cell r="E461" t="str">
            <v>PSDA di Kediri</v>
          </cell>
          <cell r="F461" t="str">
            <v>Mangunan</v>
          </cell>
          <cell r="G461" t="str">
            <v>Kabuh</v>
          </cell>
          <cell r="H461" t="str">
            <v>Jombang</v>
          </cell>
          <cell r="I461" t="str">
            <v>'112.19478</v>
          </cell>
          <cell r="J461" t="str">
            <v>'-7.40195</v>
          </cell>
          <cell r="K461" t="str">
            <v>-</v>
          </cell>
          <cell r="L461" t="str">
            <v>Brantas</v>
          </cell>
          <cell r="M461" t="str">
            <v>PHB</v>
          </cell>
          <cell r="N461" t="str">
            <v>-</v>
          </cell>
          <cell r="O461" t="str">
            <v>-</v>
          </cell>
          <cell r="P461" t="str">
            <v>-</v>
          </cell>
        </row>
        <row r="462">
          <cell r="B462">
            <v>350517017</v>
          </cell>
          <cell r="C462" t="str">
            <v>Cangakan</v>
          </cell>
          <cell r="D462" t="str">
            <v>-</v>
          </cell>
          <cell r="E462" t="str">
            <v>PSDA di Kediri</v>
          </cell>
          <cell r="F462" t="str">
            <v>Sidowarek</v>
          </cell>
          <cell r="G462" t="str">
            <v>Ngoro</v>
          </cell>
          <cell r="H462" t="str">
            <v>Jombang</v>
          </cell>
          <cell r="I462" t="str">
            <v>'112.237660</v>
          </cell>
          <cell r="J462" t="str">
            <v>'-7.660864</v>
          </cell>
          <cell r="K462" t="str">
            <v>-</v>
          </cell>
          <cell r="L462" t="str">
            <v>Brantas</v>
          </cell>
          <cell r="M462" t="str">
            <v>PHB</v>
          </cell>
          <cell r="N462" t="str">
            <v>-</v>
          </cell>
          <cell r="O462" t="str">
            <v>-</v>
          </cell>
          <cell r="P462" t="str">
            <v>-</v>
          </cell>
        </row>
        <row r="463">
          <cell r="B463">
            <v>350517018</v>
          </cell>
          <cell r="C463" t="str">
            <v>Mojoagung</v>
          </cell>
          <cell r="D463" t="str">
            <v>-</v>
          </cell>
          <cell r="E463" t="str">
            <v>PSDA di Kediri</v>
          </cell>
          <cell r="F463" t="str">
            <v>Gambiran</v>
          </cell>
          <cell r="G463" t="str">
            <v>Mojoagung</v>
          </cell>
          <cell r="H463" t="str">
            <v>Jombang</v>
          </cell>
          <cell r="I463" t="str">
            <v>'112.35587</v>
          </cell>
          <cell r="J463" t="str">
            <v>'-7.56972</v>
          </cell>
          <cell r="K463" t="str">
            <v>-</v>
          </cell>
          <cell r="L463" t="str">
            <v>Brantas</v>
          </cell>
          <cell r="M463" t="str">
            <v>PHB</v>
          </cell>
          <cell r="N463" t="str">
            <v>-</v>
          </cell>
          <cell r="O463" t="str">
            <v>-</v>
          </cell>
          <cell r="P463" t="str">
            <v>-</v>
          </cell>
        </row>
        <row r="464">
          <cell r="B464">
            <v>350517019</v>
          </cell>
          <cell r="C464" t="str">
            <v>Selorejo</v>
          </cell>
          <cell r="D464" t="str">
            <v>-</v>
          </cell>
          <cell r="E464" t="str">
            <v>PSDA di Kediri</v>
          </cell>
          <cell r="F464" t="str">
            <v>Selorejo</v>
          </cell>
          <cell r="G464" t="str">
            <v>Mojowarno</v>
          </cell>
          <cell r="H464" t="str">
            <v>Jombang</v>
          </cell>
          <cell r="I464" t="str">
            <v>'112.314806</v>
          </cell>
          <cell r="J464" t="str">
            <v>'-7.598972</v>
          </cell>
          <cell r="K464" t="str">
            <v>-</v>
          </cell>
          <cell r="L464" t="str">
            <v>Brantas</v>
          </cell>
          <cell r="M464" t="str">
            <v>PHB</v>
          </cell>
          <cell r="N464" t="str">
            <v>-</v>
          </cell>
          <cell r="O464" t="str">
            <v>-</v>
          </cell>
          <cell r="P464" t="str">
            <v>-</v>
          </cell>
        </row>
        <row r="465">
          <cell r="B465">
            <v>350517020</v>
          </cell>
          <cell r="C465" t="str">
            <v>Sumobito</v>
          </cell>
          <cell r="D465" t="str">
            <v>-</v>
          </cell>
          <cell r="E465" t="str">
            <v>PSDA di Kediri</v>
          </cell>
          <cell r="F465" t="str">
            <v>Sumobito</v>
          </cell>
          <cell r="G465" t="str">
            <v>Sumobito</v>
          </cell>
          <cell r="H465" t="str">
            <v>Jombang</v>
          </cell>
          <cell r="I465" t="str">
            <v>'112.342611</v>
          </cell>
          <cell r="J465" t="str">
            <v>'-7.520389</v>
          </cell>
          <cell r="K465" t="str">
            <v>-</v>
          </cell>
          <cell r="L465" t="str">
            <v>Brantas</v>
          </cell>
          <cell r="M465" t="str">
            <v>PHB</v>
          </cell>
          <cell r="N465" t="str">
            <v>-</v>
          </cell>
          <cell r="O465" t="str">
            <v>-</v>
          </cell>
          <cell r="P465" t="str">
            <v>-</v>
          </cell>
        </row>
        <row r="466">
          <cell r="B466">
            <v>350517021</v>
          </cell>
          <cell r="C466" t="str">
            <v>Balongsono</v>
          </cell>
          <cell r="D466" t="str">
            <v>-</v>
          </cell>
          <cell r="E466" t="str">
            <v>PSDA di Kediri</v>
          </cell>
          <cell r="F466" t="str">
            <v>Talunkidul</v>
          </cell>
          <cell r="G466" t="str">
            <v>Sumobito</v>
          </cell>
          <cell r="H466" t="str">
            <v>Jombang</v>
          </cell>
          <cell r="I466" t="str">
            <v>'112.349639</v>
          </cell>
          <cell r="J466" t="str">
            <v>'-7.511111</v>
          </cell>
          <cell r="K466" t="str">
            <v>-</v>
          </cell>
          <cell r="L466" t="str">
            <v>Brantas</v>
          </cell>
          <cell r="M466" t="str">
            <v>PHB</v>
          </cell>
          <cell r="N466" t="str">
            <v>-</v>
          </cell>
          <cell r="O466" t="str">
            <v>-</v>
          </cell>
          <cell r="P466" t="str">
            <v>-</v>
          </cell>
        </row>
        <row r="467">
          <cell r="B467">
            <v>350517022</v>
          </cell>
          <cell r="C467" t="str">
            <v>Tenggor</v>
          </cell>
          <cell r="D467" t="str">
            <v>-</v>
          </cell>
          <cell r="E467" t="str">
            <v>PSDA di Kediri</v>
          </cell>
          <cell r="F467" t="str">
            <v>Bakalan</v>
          </cell>
          <cell r="G467" t="str">
            <v>Sumobito</v>
          </cell>
          <cell r="H467" t="str">
            <v>Jombang</v>
          </cell>
          <cell r="I467" t="str">
            <v>'112.342163</v>
          </cell>
          <cell r="J467" t="str">
            <v>'-7.505070</v>
          </cell>
          <cell r="K467" t="str">
            <v>-</v>
          </cell>
          <cell r="L467" t="str">
            <v>Brantas</v>
          </cell>
          <cell r="M467" t="str">
            <v>PHB</v>
          </cell>
          <cell r="N467" t="str">
            <v>-</v>
          </cell>
          <cell r="O467" t="str">
            <v>-</v>
          </cell>
          <cell r="P467" t="str">
            <v>-</v>
          </cell>
        </row>
        <row r="468">
          <cell r="B468">
            <v>350517023</v>
          </cell>
          <cell r="C468" t="str">
            <v>Jombok</v>
          </cell>
          <cell r="D468" t="str">
            <v>-</v>
          </cell>
          <cell r="E468" t="str">
            <v>PSDA di Kediri</v>
          </cell>
          <cell r="F468" t="str">
            <v>Budug Sidorejo</v>
          </cell>
          <cell r="G468" t="str">
            <v>Sumobito</v>
          </cell>
          <cell r="H468" t="str">
            <v>Jombang</v>
          </cell>
          <cell r="I468" t="str">
            <v>'112.376063</v>
          </cell>
          <cell r="J468" t="str">
            <v>'-7.495184</v>
          </cell>
          <cell r="K468" t="str">
            <v>-</v>
          </cell>
          <cell r="L468" t="str">
            <v>Brantas</v>
          </cell>
          <cell r="M468" t="str">
            <v>PHB</v>
          </cell>
          <cell r="N468" t="str">
            <v>-</v>
          </cell>
          <cell r="O468" t="str">
            <v>-</v>
          </cell>
          <cell r="P468" t="str">
            <v>-</v>
          </cell>
        </row>
        <row r="469">
          <cell r="B469">
            <v>350517024</v>
          </cell>
          <cell r="C469" t="str">
            <v>Penanggalan</v>
          </cell>
          <cell r="D469" t="str">
            <v>-</v>
          </cell>
          <cell r="E469" t="str">
            <v>PSDA di Kediri</v>
          </cell>
          <cell r="F469" t="str">
            <v>Dukuhdimoro</v>
          </cell>
          <cell r="G469" t="str">
            <v>Mojoagung</v>
          </cell>
          <cell r="H469" t="str">
            <v>Jombang</v>
          </cell>
          <cell r="I469" t="str">
            <v>'112.363108</v>
          </cell>
          <cell r="J469" t="str">
            <v>'-7.562794</v>
          </cell>
          <cell r="K469" t="str">
            <v>-</v>
          </cell>
          <cell r="L469" t="str">
            <v>Brantas</v>
          </cell>
          <cell r="M469" t="str">
            <v>PHB</v>
          </cell>
          <cell r="N469" t="str">
            <v>-</v>
          </cell>
          <cell r="O469" t="str">
            <v>-</v>
          </cell>
          <cell r="P469" t="str">
            <v>-</v>
          </cell>
        </row>
        <row r="470">
          <cell r="B470">
            <v>350517025</v>
          </cell>
          <cell r="C470" t="str">
            <v>Peterongan</v>
          </cell>
          <cell r="D470" t="str">
            <v>-</v>
          </cell>
          <cell r="E470" t="str">
            <v>PSDA di Kediri</v>
          </cell>
          <cell r="F470" t="str">
            <v>Peterongan</v>
          </cell>
          <cell r="G470" t="str">
            <v>Peterongan</v>
          </cell>
          <cell r="H470" t="str">
            <v>Jombang</v>
          </cell>
          <cell r="I470" t="str">
            <v>'112.284692</v>
          </cell>
          <cell r="J470" t="str">
            <v>'-7.543615</v>
          </cell>
          <cell r="K470" t="str">
            <v>-</v>
          </cell>
          <cell r="L470" t="str">
            <v>Brantas</v>
          </cell>
          <cell r="M470" t="str">
            <v>PHB</v>
          </cell>
          <cell r="N470" t="str">
            <v>-</v>
          </cell>
          <cell r="O470" t="str">
            <v>-</v>
          </cell>
          <cell r="P470" t="str">
            <v>-</v>
          </cell>
        </row>
        <row r="471">
          <cell r="B471">
            <v>350517026</v>
          </cell>
          <cell r="C471" t="str">
            <v>Sbr.Penganten</v>
          </cell>
          <cell r="D471" t="str">
            <v>-</v>
          </cell>
          <cell r="E471" t="str">
            <v>PSDA di Kediri</v>
          </cell>
          <cell r="F471" t="str">
            <v>Jogoroto</v>
          </cell>
          <cell r="G471" t="str">
            <v>Jogoroto</v>
          </cell>
          <cell r="H471" t="str">
            <v>Jombang</v>
          </cell>
          <cell r="I471" t="str">
            <v>'112.277611</v>
          </cell>
          <cell r="J471" t="str">
            <v>'-7.608361</v>
          </cell>
          <cell r="K471" t="str">
            <v>-</v>
          </cell>
          <cell r="L471" t="str">
            <v>Brantas</v>
          </cell>
          <cell r="M471" t="str">
            <v>PHB</v>
          </cell>
          <cell r="N471" t="str">
            <v>-</v>
          </cell>
          <cell r="O471" t="str">
            <v>-</v>
          </cell>
          <cell r="P471" t="str">
            <v>-</v>
          </cell>
        </row>
        <row r="472">
          <cell r="B472">
            <v>350517027</v>
          </cell>
          <cell r="C472" t="str">
            <v>Mojowarno</v>
          </cell>
          <cell r="D472" t="str">
            <v>-</v>
          </cell>
          <cell r="E472" t="str">
            <v>PSDA di Kediri</v>
          </cell>
          <cell r="F472" t="str">
            <v>Mojowangi</v>
          </cell>
          <cell r="G472" t="str">
            <v>Mojowarno</v>
          </cell>
          <cell r="H472" t="str">
            <v>Jombang</v>
          </cell>
          <cell r="I472" t="str">
            <v>'112.303698</v>
          </cell>
          <cell r="J472" t="str">
            <v>'-7.630091</v>
          </cell>
          <cell r="K472" t="str">
            <v>-</v>
          </cell>
          <cell r="L472" t="str">
            <v>Brantas</v>
          </cell>
          <cell r="M472" t="str">
            <v>PHB</v>
          </cell>
          <cell r="N472" t="str">
            <v>-</v>
          </cell>
          <cell r="O472" t="str">
            <v>-</v>
          </cell>
          <cell r="P472" t="str">
            <v>-</v>
          </cell>
        </row>
        <row r="473">
          <cell r="B473">
            <v>350517028</v>
          </cell>
          <cell r="C473" t="str">
            <v>Bareng JBG</v>
          </cell>
          <cell r="D473" t="str">
            <v>-</v>
          </cell>
          <cell r="E473" t="str">
            <v>PSDA di Kediri</v>
          </cell>
          <cell r="F473" t="str">
            <v>Bareng</v>
          </cell>
          <cell r="G473" t="str">
            <v>Bareng</v>
          </cell>
          <cell r="H473" t="str">
            <v>Jombang</v>
          </cell>
          <cell r="I473" t="str">
            <v>'112.30450</v>
          </cell>
          <cell r="J473" t="str">
            <v>'-7.6889</v>
          </cell>
          <cell r="K473" t="str">
            <v>-</v>
          </cell>
          <cell r="L473" t="str">
            <v>Brantas</v>
          </cell>
          <cell r="M473" t="str">
            <v>PHB</v>
          </cell>
          <cell r="N473" t="str">
            <v>-</v>
          </cell>
          <cell r="O473" t="str">
            <v>-</v>
          </cell>
          <cell r="P473" t="str">
            <v>-</v>
          </cell>
        </row>
        <row r="474">
          <cell r="B474">
            <v>350517029</v>
          </cell>
          <cell r="C474" t="str">
            <v>Wonosalam</v>
          </cell>
          <cell r="D474" t="str">
            <v>-</v>
          </cell>
          <cell r="E474" t="str">
            <v>PSDA di Kediri</v>
          </cell>
          <cell r="F474" t="str">
            <v>Wonosalam</v>
          </cell>
          <cell r="G474" t="str">
            <v>Wonosalam</v>
          </cell>
          <cell r="H474" t="str">
            <v>Jombang</v>
          </cell>
          <cell r="I474" t="str">
            <v>'112.3661</v>
          </cell>
          <cell r="J474" t="str">
            <v>'-7.6997</v>
          </cell>
          <cell r="K474" t="str">
            <v>-</v>
          </cell>
          <cell r="L474" t="str">
            <v>Brantas</v>
          </cell>
          <cell r="M474" t="str">
            <v>PHB</v>
          </cell>
          <cell r="N474" t="str">
            <v>-</v>
          </cell>
          <cell r="O474" t="str">
            <v>-</v>
          </cell>
          <cell r="P474" t="str">
            <v>-</v>
          </cell>
        </row>
        <row r="475">
          <cell r="B475">
            <v>350517030</v>
          </cell>
          <cell r="C475" t="str">
            <v>Rejoagung</v>
          </cell>
          <cell r="D475" t="str">
            <v>-</v>
          </cell>
          <cell r="E475" t="str">
            <v>PSDA di Kediri</v>
          </cell>
          <cell r="F475" t="str">
            <v>Rejoagung</v>
          </cell>
          <cell r="G475" t="str">
            <v>Ngoro</v>
          </cell>
          <cell r="H475" t="str">
            <v>Jombang</v>
          </cell>
          <cell r="I475" t="str">
            <v>'112.276471</v>
          </cell>
          <cell r="J475" t="str">
            <v>'-7.711724</v>
          </cell>
          <cell r="K475" t="str">
            <v>-</v>
          </cell>
          <cell r="L475" t="str">
            <v>Brantas</v>
          </cell>
          <cell r="M475" t="str">
            <v>PHB</v>
          </cell>
          <cell r="N475" t="str">
            <v>-</v>
          </cell>
          <cell r="O475" t="str">
            <v>-</v>
          </cell>
          <cell r="P475" t="str">
            <v>-</v>
          </cell>
        </row>
        <row r="476">
          <cell r="B476">
            <v>350517031</v>
          </cell>
          <cell r="C476" t="str">
            <v>Ponen</v>
          </cell>
          <cell r="D476" t="str">
            <v>-</v>
          </cell>
          <cell r="E476" t="str">
            <v>PSDA di Kediri</v>
          </cell>
          <cell r="F476" t="str">
            <v>Pulogedang</v>
          </cell>
          <cell r="G476" t="str">
            <v>Tembelang</v>
          </cell>
          <cell r="H476" t="str">
            <v>Jombang</v>
          </cell>
          <cell r="I476" t="str">
            <v>'112.228742</v>
          </cell>
          <cell r="J476" t="str">
            <v>'-7.460087</v>
          </cell>
          <cell r="K476" t="str">
            <v>-</v>
          </cell>
          <cell r="L476" t="str">
            <v>Brantas</v>
          </cell>
          <cell r="M476" t="str">
            <v>PHB</v>
          </cell>
          <cell r="N476" t="str">
            <v>-</v>
          </cell>
          <cell r="O476" t="str">
            <v>-</v>
          </cell>
          <cell r="P476" t="str">
            <v>-</v>
          </cell>
        </row>
        <row r="477">
          <cell r="B477">
            <v>350517032</v>
          </cell>
          <cell r="C477" t="str">
            <v>Kesamben</v>
          </cell>
          <cell r="D477" t="str">
            <v>-</v>
          </cell>
          <cell r="E477" t="str">
            <v>PSDA di Kediri</v>
          </cell>
          <cell r="F477" t="str">
            <v>Kesamben</v>
          </cell>
          <cell r="G477" t="str">
            <v>Kesamben</v>
          </cell>
          <cell r="H477" t="str">
            <v>Jombang</v>
          </cell>
          <cell r="I477" t="str">
            <v>'112.336701</v>
          </cell>
          <cell r="J477" t="str">
            <v>'-7.463632</v>
          </cell>
          <cell r="K477" t="str">
            <v>-</v>
          </cell>
          <cell r="L477" t="str">
            <v>Brantas</v>
          </cell>
          <cell r="M477" t="str">
            <v>PHB</v>
          </cell>
          <cell r="N477" t="str">
            <v>-</v>
          </cell>
          <cell r="O477" t="str">
            <v>-</v>
          </cell>
          <cell r="P477" t="str">
            <v>-</v>
          </cell>
        </row>
        <row r="478">
          <cell r="B478">
            <v>350517033</v>
          </cell>
          <cell r="C478" t="str">
            <v>Jatisari</v>
          </cell>
          <cell r="D478" t="str">
            <v>-</v>
          </cell>
          <cell r="E478" t="str">
            <v>PSDA di Kediri</v>
          </cell>
          <cell r="F478" t="str">
            <v>Jatiwates</v>
          </cell>
          <cell r="G478" t="str">
            <v>Tembelang</v>
          </cell>
          <cell r="H478" t="str">
            <v>Jombang</v>
          </cell>
          <cell r="I478" t="str">
            <v>'112.26250</v>
          </cell>
          <cell r="J478" t="str">
            <v>'-7.455556</v>
          </cell>
          <cell r="K478" t="str">
            <v>-</v>
          </cell>
          <cell r="L478" t="str">
            <v>Brantas</v>
          </cell>
          <cell r="M478" t="str">
            <v>PHB</v>
          </cell>
          <cell r="N478" t="str">
            <v>-</v>
          </cell>
          <cell r="O478" t="str">
            <v>-</v>
          </cell>
          <cell r="P478" t="str">
            <v>-</v>
          </cell>
        </row>
        <row r="479">
          <cell r="B479">
            <v>350517034</v>
          </cell>
          <cell r="C479" t="str">
            <v>Sentulan</v>
          </cell>
          <cell r="D479" t="str">
            <v>-</v>
          </cell>
          <cell r="E479" t="str">
            <v>PSDA di Kediri</v>
          </cell>
          <cell r="F479" t="str">
            <v>Bongkot</v>
          </cell>
          <cell r="G479" t="str">
            <v>Peterongan</v>
          </cell>
          <cell r="H479" t="str">
            <v>Jombang</v>
          </cell>
          <cell r="I479" t="str">
            <v>'112.275002</v>
          </cell>
          <cell r="J479" t="str">
            <v>'-7.508170</v>
          </cell>
          <cell r="K479" t="str">
            <v>-</v>
          </cell>
          <cell r="L479" t="str">
            <v>Brantas</v>
          </cell>
          <cell r="M479" t="str">
            <v>PHB</v>
          </cell>
          <cell r="N479" t="str">
            <v>-</v>
          </cell>
          <cell r="O479" t="str">
            <v>-</v>
          </cell>
          <cell r="P479" t="str">
            <v>-</v>
          </cell>
        </row>
        <row r="480">
          <cell r="B480">
            <v>350517035</v>
          </cell>
          <cell r="C480" t="str">
            <v>Krandengan</v>
          </cell>
          <cell r="D480" t="str">
            <v>-</v>
          </cell>
          <cell r="E480" t="str">
            <v>PSDA di Kediri</v>
          </cell>
          <cell r="F480" t="str">
            <v>Ngrandulor</v>
          </cell>
          <cell r="G480" t="str">
            <v>Peterongan</v>
          </cell>
          <cell r="H480" t="str">
            <v>Jombang</v>
          </cell>
          <cell r="I480" t="str">
            <v>'112.293622</v>
          </cell>
          <cell r="J480" t="str">
            <v>'-7.498037</v>
          </cell>
          <cell r="K480" t="str">
            <v>-</v>
          </cell>
          <cell r="L480" t="str">
            <v>Brantas</v>
          </cell>
          <cell r="M480" t="str">
            <v>PHB</v>
          </cell>
          <cell r="N480" t="str">
            <v>-</v>
          </cell>
          <cell r="O480" t="str">
            <v>-</v>
          </cell>
          <cell r="P480" t="str">
            <v>-</v>
          </cell>
        </row>
        <row r="481">
          <cell r="B481">
            <v>350517036</v>
          </cell>
          <cell r="C481" t="str">
            <v>Kedungboto</v>
          </cell>
          <cell r="D481" t="str">
            <v>-</v>
          </cell>
          <cell r="E481" t="str">
            <v>PSDA di Kediri</v>
          </cell>
          <cell r="F481" t="str">
            <v>Kedungotok</v>
          </cell>
          <cell r="G481" t="str">
            <v>Tembelang</v>
          </cell>
          <cell r="H481" t="str">
            <v>Jombang</v>
          </cell>
          <cell r="I481" t="str">
            <v>'112.25408</v>
          </cell>
          <cell r="J481" t="str">
            <v>'-7.486250</v>
          </cell>
          <cell r="K481" t="str">
            <v>-</v>
          </cell>
          <cell r="L481" t="str">
            <v>Brantas</v>
          </cell>
          <cell r="M481" t="str">
            <v>PHB</v>
          </cell>
          <cell r="N481" t="str">
            <v>-</v>
          </cell>
          <cell r="O481" t="str">
            <v>-</v>
          </cell>
          <cell r="P481" t="str">
            <v>-</v>
          </cell>
        </row>
        <row r="482">
          <cell r="B482">
            <v>350517037</v>
          </cell>
          <cell r="C482" t="str">
            <v>Sapon</v>
          </cell>
          <cell r="D482" t="str">
            <v>-</v>
          </cell>
          <cell r="E482" t="str">
            <v>PSDA di Kediri</v>
          </cell>
          <cell r="F482" t="str">
            <v>Jombatan</v>
          </cell>
          <cell r="G482" t="str">
            <v>Kesamben</v>
          </cell>
          <cell r="H482" t="str">
            <v>Jombang</v>
          </cell>
          <cell r="I482" t="str">
            <v>'112.298333</v>
          </cell>
          <cell r="J482" t="str">
            <v>'-7.470278</v>
          </cell>
          <cell r="K482" t="str">
            <v>-</v>
          </cell>
          <cell r="L482" t="str">
            <v>Brantas</v>
          </cell>
          <cell r="M482" t="str">
            <v>PHB</v>
          </cell>
          <cell r="N482" t="str">
            <v>-</v>
          </cell>
          <cell r="O482" t="str">
            <v>-</v>
          </cell>
          <cell r="P482" t="str">
            <v>-</v>
          </cell>
        </row>
        <row r="483">
          <cell r="B483">
            <v>350517038</v>
          </cell>
          <cell r="C483" t="str">
            <v>Wuluh</v>
          </cell>
          <cell r="D483" t="str">
            <v>-</v>
          </cell>
          <cell r="E483" t="str">
            <v>PSDA di Kediri</v>
          </cell>
          <cell r="F483" t="str">
            <v>Wuluh</v>
          </cell>
          <cell r="G483" t="str">
            <v>Kesamben</v>
          </cell>
          <cell r="H483" t="str">
            <v>Jombang</v>
          </cell>
          <cell r="I483" t="str">
            <v>'112.357205</v>
          </cell>
          <cell r="J483" t="str">
            <v>'-7.460263</v>
          </cell>
          <cell r="K483" t="str">
            <v>-</v>
          </cell>
          <cell r="L483" t="str">
            <v>Brantas</v>
          </cell>
          <cell r="M483" t="str">
            <v>PHB</v>
          </cell>
          <cell r="N483" t="str">
            <v>-</v>
          </cell>
          <cell r="O483" t="str">
            <v>-</v>
          </cell>
          <cell r="P483" t="str">
            <v>-</v>
          </cell>
        </row>
        <row r="484">
          <cell r="B484">
            <v>350517039</v>
          </cell>
          <cell r="C484" t="str">
            <v>Pengajaran</v>
          </cell>
          <cell r="D484" t="str">
            <v>-</v>
          </cell>
          <cell r="E484" t="str">
            <v>PSDA di Kediri</v>
          </cell>
          <cell r="F484" t="str">
            <v>Galengdowo</v>
          </cell>
          <cell r="G484" t="str">
            <v>Wonosalam</v>
          </cell>
          <cell r="H484" t="str">
            <v>Jombang</v>
          </cell>
          <cell r="I484" t="str">
            <v>'112.361394</v>
          </cell>
          <cell r="J484" t="str">
            <v>'-7.758892</v>
          </cell>
          <cell r="K484" t="str">
            <v>-</v>
          </cell>
          <cell r="L484" t="str">
            <v>Brantas</v>
          </cell>
          <cell r="M484" t="str">
            <v>PHB</v>
          </cell>
          <cell r="N484" t="str">
            <v>-</v>
          </cell>
          <cell r="O484" t="str">
            <v>-</v>
          </cell>
          <cell r="P484" t="str">
            <v>-</v>
          </cell>
        </row>
        <row r="485">
          <cell r="B485">
            <v>350517041</v>
          </cell>
          <cell r="C485" t="str">
            <v>Gembyang</v>
          </cell>
          <cell r="D485" t="str">
            <v>-</v>
          </cell>
          <cell r="E485" t="str">
            <v>PSDA di Kediri</v>
          </cell>
          <cell r="F485" t="str">
            <v>Plabuhan</v>
          </cell>
          <cell r="G485" t="str">
            <v>Plandaan</v>
          </cell>
          <cell r="H485" t="str">
            <v>Jombang</v>
          </cell>
          <cell r="I485" t="str">
            <v>'112.156687</v>
          </cell>
          <cell r="J485" t="str">
            <v>'-7.458778</v>
          </cell>
          <cell r="K485" t="str">
            <v>-</v>
          </cell>
          <cell r="L485" t="str">
            <v>Brantas</v>
          </cell>
          <cell r="M485" t="str">
            <v>PHB</v>
          </cell>
          <cell r="N485" t="str">
            <v>-</v>
          </cell>
          <cell r="O485" t="str">
            <v>-</v>
          </cell>
          <cell r="P485" t="str">
            <v>-</v>
          </cell>
        </row>
        <row r="486">
          <cell r="B486">
            <v>350518001</v>
          </cell>
          <cell r="C486" t="str">
            <v>Kedung Pingit</v>
          </cell>
          <cell r="D486" t="str">
            <v>-</v>
          </cell>
          <cell r="E486" t="str">
            <v>PSDA di Kediri</v>
          </cell>
          <cell r="F486" t="str">
            <v>Musir Lor</v>
          </cell>
          <cell r="G486" t="str">
            <v>Rejoso</v>
          </cell>
          <cell r="H486" t="str">
            <v>Nganjuk</v>
          </cell>
          <cell r="I486" t="str">
            <v>'111.90417</v>
          </cell>
          <cell r="J486" t="str">
            <v>'-7.50772</v>
          </cell>
          <cell r="K486" t="str">
            <v>-</v>
          </cell>
          <cell r="L486" t="str">
            <v>Brantas</v>
          </cell>
          <cell r="M486" t="str">
            <v>PHB</v>
          </cell>
          <cell r="N486" t="str">
            <v>-</v>
          </cell>
          <cell r="O486" t="str">
            <v>-</v>
          </cell>
          <cell r="P486" t="str">
            <v>-</v>
          </cell>
        </row>
        <row r="487">
          <cell r="B487">
            <v>350518002</v>
          </cell>
          <cell r="C487" t="str">
            <v>Kedung Maron</v>
          </cell>
          <cell r="D487" t="str">
            <v>-</v>
          </cell>
          <cell r="E487" t="str">
            <v>PSDA di Kediri</v>
          </cell>
          <cell r="F487" t="str">
            <v>Ngadiboyo</v>
          </cell>
          <cell r="G487" t="str">
            <v>Rejoso</v>
          </cell>
          <cell r="H487" t="str">
            <v>Nganjuk</v>
          </cell>
          <cell r="I487" t="str">
            <v>'111.86378</v>
          </cell>
          <cell r="J487" t="str">
            <v>'-7.52967</v>
          </cell>
          <cell r="K487" t="str">
            <v>-</v>
          </cell>
          <cell r="L487" t="str">
            <v>Brantas</v>
          </cell>
          <cell r="M487" t="str">
            <v>PHB</v>
          </cell>
          <cell r="N487" t="str">
            <v>-</v>
          </cell>
          <cell r="O487" t="str">
            <v>-</v>
          </cell>
          <cell r="P487" t="str">
            <v>-</v>
          </cell>
        </row>
        <row r="488">
          <cell r="B488">
            <v>350518003</v>
          </cell>
          <cell r="C488" t="str">
            <v>Tempuran</v>
          </cell>
          <cell r="D488" t="str">
            <v>-</v>
          </cell>
          <cell r="E488" t="str">
            <v>PSDA di Kediri</v>
          </cell>
          <cell r="F488" t="str">
            <v>Ngluyu</v>
          </cell>
          <cell r="G488" t="str">
            <v>Ngluyu</v>
          </cell>
          <cell r="H488" t="str">
            <v>Nganjuk</v>
          </cell>
          <cell r="I488" t="str">
            <v>'111.95903</v>
          </cell>
          <cell r="J488" t="str">
            <v>'-7.44721</v>
          </cell>
          <cell r="K488" t="str">
            <v>-</v>
          </cell>
          <cell r="L488" t="str">
            <v>Brantas</v>
          </cell>
          <cell r="M488" t="str">
            <v>PHB</v>
          </cell>
          <cell r="N488" t="str">
            <v>-</v>
          </cell>
          <cell r="O488" t="str">
            <v>-</v>
          </cell>
          <cell r="P488" t="str">
            <v>-</v>
          </cell>
        </row>
        <row r="489">
          <cell r="B489">
            <v>350518004</v>
          </cell>
          <cell r="C489" t="str">
            <v>Matokan</v>
          </cell>
          <cell r="D489" t="str">
            <v>-</v>
          </cell>
          <cell r="E489" t="str">
            <v>PSDA di Kediri</v>
          </cell>
          <cell r="F489" t="str">
            <v>Wengkal</v>
          </cell>
          <cell r="G489" t="str">
            <v>Rejoso</v>
          </cell>
          <cell r="H489" t="str">
            <v>Nganjuk</v>
          </cell>
          <cell r="I489" t="str">
            <v>'111.92561</v>
          </cell>
          <cell r="J489" t="str">
            <v>'-7.50408</v>
          </cell>
          <cell r="K489" t="str">
            <v>-</v>
          </cell>
          <cell r="L489" t="str">
            <v>Brantas</v>
          </cell>
          <cell r="M489" t="str">
            <v>PHB</v>
          </cell>
          <cell r="N489" t="str">
            <v>-</v>
          </cell>
          <cell r="O489" t="str">
            <v>-</v>
          </cell>
          <cell r="P489" t="str">
            <v>-</v>
          </cell>
        </row>
        <row r="490">
          <cell r="B490">
            <v>350518005</v>
          </cell>
          <cell r="C490" t="str">
            <v>Bangle</v>
          </cell>
          <cell r="D490" t="str">
            <v>-</v>
          </cell>
          <cell r="E490" t="str">
            <v>PSDA di Kediri</v>
          </cell>
          <cell r="F490" t="str">
            <v>Ketandan</v>
          </cell>
          <cell r="G490" t="str">
            <v>Lengkong</v>
          </cell>
          <cell r="H490" t="str">
            <v>Nganjuk</v>
          </cell>
          <cell r="I490" t="str">
            <v>'112.06194</v>
          </cell>
          <cell r="J490" t="str">
            <v>'-7.50936</v>
          </cell>
          <cell r="K490" t="str">
            <v>-</v>
          </cell>
          <cell r="L490" t="str">
            <v>Brantas</v>
          </cell>
          <cell r="M490" t="str">
            <v>PHB</v>
          </cell>
          <cell r="N490" t="str">
            <v>-</v>
          </cell>
          <cell r="O490" t="str">
            <v>-</v>
          </cell>
          <cell r="P490" t="str">
            <v>-</v>
          </cell>
        </row>
        <row r="491">
          <cell r="B491">
            <v>350518006</v>
          </cell>
          <cell r="C491" t="str">
            <v>Sumber Kepuh</v>
          </cell>
          <cell r="D491" t="str">
            <v>-</v>
          </cell>
          <cell r="E491" t="str">
            <v>PSDA di Kediri</v>
          </cell>
          <cell r="F491" t="str">
            <v>Sumberkepuh</v>
          </cell>
          <cell r="G491" t="str">
            <v>Lengkong</v>
          </cell>
          <cell r="H491" t="str">
            <v>Nganjuk</v>
          </cell>
          <cell r="I491" t="str">
            <v>'112.06314</v>
          </cell>
          <cell r="J491" t="str">
            <v>'-7.49561</v>
          </cell>
          <cell r="K491" t="str">
            <v>-</v>
          </cell>
          <cell r="L491" t="str">
            <v>Brantas</v>
          </cell>
          <cell r="M491" t="str">
            <v>PHB</v>
          </cell>
          <cell r="N491" t="str">
            <v>-</v>
          </cell>
          <cell r="O491" t="str">
            <v>-</v>
          </cell>
          <cell r="P491" t="str">
            <v>-</v>
          </cell>
        </row>
        <row r="492">
          <cell r="B492">
            <v>350518007</v>
          </cell>
          <cell r="C492" t="str">
            <v>Tretes</v>
          </cell>
          <cell r="D492" t="str">
            <v>-</v>
          </cell>
          <cell r="E492" t="str">
            <v>PSDA di Kediri</v>
          </cell>
          <cell r="F492" t="str">
            <v>Sanggrahan</v>
          </cell>
          <cell r="G492" t="str">
            <v>Gondang</v>
          </cell>
          <cell r="H492" t="str">
            <v>Nganjuk</v>
          </cell>
          <cell r="I492" t="str">
            <v>'112.00335</v>
          </cell>
          <cell r="J492" t="str">
            <v>'-7.53221</v>
          </cell>
          <cell r="K492" t="str">
            <v>-</v>
          </cell>
          <cell r="L492" t="str">
            <v>Brantas</v>
          </cell>
          <cell r="M492" t="str">
            <v>PHB</v>
          </cell>
          <cell r="N492" t="str">
            <v>-</v>
          </cell>
          <cell r="O492" t="str">
            <v>-</v>
          </cell>
          <cell r="P492" t="str">
            <v>-</v>
          </cell>
        </row>
        <row r="493">
          <cell r="B493">
            <v>350518008</v>
          </cell>
          <cell r="C493" t="str">
            <v>Gondang</v>
          </cell>
          <cell r="D493" t="str">
            <v>-</v>
          </cell>
          <cell r="E493" t="str">
            <v>PSDA di Kediri</v>
          </cell>
          <cell r="F493" t="str">
            <v>Senggowar</v>
          </cell>
          <cell r="G493" t="str">
            <v>Gondang</v>
          </cell>
          <cell r="H493" t="str">
            <v>Nganjuk</v>
          </cell>
          <cell r="I493" t="str">
            <v>'111.95654</v>
          </cell>
          <cell r="J493" t="str">
            <v>'-7.51595</v>
          </cell>
          <cell r="K493" t="str">
            <v>-</v>
          </cell>
          <cell r="L493" t="str">
            <v>Brantas</v>
          </cell>
          <cell r="M493" t="str">
            <v>PHB</v>
          </cell>
          <cell r="N493" t="str">
            <v>-</v>
          </cell>
          <cell r="O493" t="str">
            <v>-</v>
          </cell>
          <cell r="P493" t="str">
            <v>-</v>
          </cell>
        </row>
        <row r="494">
          <cell r="B494">
            <v>350518009</v>
          </cell>
          <cell r="C494" t="str">
            <v>Rejoso</v>
          </cell>
          <cell r="D494" t="str">
            <v>-</v>
          </cell>
          <cell r="E494" t="str">
            <v>PSDA di Kediri</v>
          </cell>
          <cell r="F494" t="str">
            <v>Banjarejo</v>
          </cell>
          <cell r="G494" t="str">
            <v>Rejoso</v>
          </cell>
          <cell r="H494" t="str">
            <v>Nganjuk</v>
          </cell>
          <cell r="I494" t="str">
            <v>'111.90694</v>
          </cell>
          <cell r="J494" t="str">
            <v>'-7.52208</v>
          </cell>
          <cell r="K494" t="str">
            <v>-</v>
          </cell>
          <cell r="L494" t="str">
            <v>Brantas</v>
          </cell>
          <cell r="M494" t="str">
            <v>PHB</v>
          </cell>
          <cell r="N494" t="str">
            <v>-</v>
          </cell>
          <cell r="O494" t="str">
            <v>-</v>
          </cell>
          <cell r="P494" t="str">
            <v>-</v>
          </cell>
        </row>
        <row r="495">
          <cell r="B495">
            <v>350518010</v>
          </cell>
          <cell r="C495" t="str">
            <v>Nganjuk</v>
          </cell>
          <cell r="D495" t="str">
            <v>-</v>
          </cell>
          <cell r="E495" t="str">
            <v>PSDA di Kediri</v>
          </cell>
          <cell r="F495" t="str">
            <v>Begadung</v>
          </cell>
          <cell r="G495" t="str">
            <v>Nganjuk</v>
          </cell>
          <cell r="H495" t="str">
            <v>Nganjuk</v>
          </cell>
          <cell r="I495" t="str">
            <v>'111.90466</v>
          </cell>
          <cell r="J495" t="str">
            <v>'-7.58700</v>
          </cell>
          <cell r="K495" t="str">
            <v>-</v>
          </cell>
          <cell r="L495" t="str">
            <v>Brantas</v>
          </cell>
          <cell r="M495" t="str">
            <v>PHB</v>
          </cell>
          <cell r="N495" t="str">
            <v>-</v>
          </cell>
          <cell r="O495" t="str">
            <v>-</v>
          </cell>
          <cell r="P495" t="str">
            <v>-</v>
          </cell>
        </row>
        <row r="496">
          <cell r="B496">
            <v>350518011</v>
          </cell>
          <cell r="C496" t="str">
            <v>Tunglur</v>
          </cell>
          <cell r="D496" t="str">
            <v>-</v>
          </cell>
          <cell r="E496" t="str">
            <v>PSDA di Kediri</v>
          </cell>
          <cell r="F496" t="str">
            <v>Sudimoroharjo</v>
          </cell>
          <cell r="G496" t="str">
            <v>Wilangan</v>
          </cell>
          <cell r="H496" t="str">
            <v>Nganjuk</v>
          </cell>
          <cell r="I496" t="str">
            <v>'111.78813</v>
          </cell>
          <cell r="J496" t="str">
            <v>'-7.67129</v>
          </cell>
          <cell r="K496" t="str">
            <v>-</v>
          </cell>
          <cell r="L496" t="str">
            <v>Brantas</v>
          </cell>
          <cell r="M496" t="str">
            <v>PHB</v>
          </cell>
          <cell r="N496" t="str">
            <v>-</v>
          </cell>
          <cell r="O496" t="str">
            <v>-</v>
          </cell>
          <cell r="P496" t="str">
            <v>-</v>
          </cell>
        </row>
        <row r="497">
          <cell r="B497">
            <v>350518012</v>
          </cell>
          <cell r="C497" t="str">
            <v>Jatirejo</v>
          </cell>
          <cell r="D497" t="str">
            <v>-</v>
          </cell>
          <cell r="E497" t="str">
            <v>PSDA di Kediri</v>
          </cell>
          <cell r="F497" t="str">
            <v>Jatirejo</v>
          </cell>
          <cell r="G497" t="str">
            <v>Loceret</v>
          </cell>
          <cell r="H497" t="str">
            <v>Nganjuk</v>
          </cell>
          <cell r="I497" t="str">
            <v>'111.89144</v>
          </cell>
          <cell r="J497" t="str">
            <v>'-7.64896</v>
          </cell>
          <cell r="K497" t="str">
            <v>-</v>
          </cell>
          <cell r="L497" t="str">
            <v>Brantas</v>
          </cell>
          <cell r="M497" t="str">
            <v>PHB</v>
          </cell>
          <cell r="N497" t="str">
            <v>-</v>
          </cell>
          <cell r="O497" t="str">
            <v>-</v>
          </cell>
          <cell r="P497" t="str">
            <v>-</v>
          </cell>
        </row>
        <row r="498">
          <cell r="B498">
            <v>350518013</v>
          </cell>
          <cell r="C498" t="str">
            <v>Kacangan</v>
          </cell>
          <cell r="D498" t="str">
            <v>-</v>
          </cell>
          <cell r="E498" t="str">
            <v>PSDA di Kediri</v>
          </cell>
          <cell r="F498" t="str">
            <v>Berbek</v>
          </cell>
          <cell r="G498" t="str">
            <v>Berbek</v>
          </cell>
          <cell r="H498" t="str">
            <v>Nganjuk</v>
          </cell>
          <cell r="I498" t="str">
            <v>'111.86427</v>
          </cell>
          <cell r="J498" t="str">
            <v>'-7.66266</v>
          </cell>
          <cell r="K498" t="str">
            <v>-</v>
          </cell>
          <cell r="L498" t="str">
            <v>Brantas</v>
          </cell>
          <cell r="M498" t="str">
            <v>PHB</v>
          </cell>
          <cell r="N498" t="str">
            <v>-</v>
          </cell>
          <cell r="O498" t="str">
            <v>-</v>
          </cell>
          <cell r="P498" t="str">
            <v>-</v>
          </cell>
        </row>
        <row r="499">
          <cell r="B499">
            <v>350518014</v>
          </cell>
          <cell r="C499" t="str">
            <v>Palu Ombo</v>
          </cell>
          <cell r="D499" t="str">
            <v>-</v>
          </cell>
          <cell r="E499" t="str">
            <v>PSDA di Kediri</v>
          </cell>
          <cell r="F499" t="str">
            <v>Siwalan</v>
          </cell>
          <cell r="G499" t="str">
            <v>Sawahan</v>
          </cell>
          <cell r="H499" t="str">
            <v>Nganjuk</v>
          </cell>
          <cell r="I499" t="str">
            <v>'111.80017</v>
          </cell>
          <cell r="J499" t="str">
            <v>'-7.69231</v>
          </cell>
          <cell r="K499" t="str">
            <v>-</v>
          </cell>
          <cell r="L499" t="str">
            <v>Brantas</v>
          </cell>
          <cell r="M499" t="str">
            <v>PHB</v>
          </cell>
          <cell r="N499" t="str">
            <v>-</v>
          </cell>
          <cell r="O499" t="str">
            <v>-</v>
          </cell>
          <cell r="P499" t="str">
            <v>-</v>
          </cell>
        </row>
        <row r="500">
          <cell r="B500">
            <v>350518015</v>
          </cell>
          <cell r="C500" t="str">
            <v>Sawahan</v>
          </cell>
          <cell r="D500" t="str">
            <v>-</v>
          </cell>
          <cell r="E500" t="str">
            <v>PSDA di Kediri</v>
          </cell>
          <cell r="F500" t="str">
            <v>Sidorejo</v>
          </cell>
          <cell r="G500" t="str">
            <v>Sawahan</v>
          </cell>
          <cell r="H500" t="str">
            <v>Nganjuk</v>
          </cell>
          <cell r="I500" t="str">
            <v>'111.773347</v>
          </cell>
          <cell r="J500" t="str">
            <v>'-7.724575</v>
          </cell>
          <cell r="K500" t="str">
            <v>-</v>
          </cell>
          <cell r="L500" t="str">
            <v>Brantas</v>
          </cell>
          <cell r="M500" t="str">
            <v>PHB</v>
          </cell>
          <cell r="N500" t="str">
            <v>-</v>
          </cell>
          <cell r="O500" t="str">
            <v>-</v>
          </cell>
          <cell r="P500" t="str">
            <v>-</v>
          </cell>
        </row>
        <row r="501">
          <cell r="B501">
            <v>350518016</v>
          </cell>
          <cell r="C501" t="str">
            <v>Klodan</v>
          </cell>
          <cell r="D501" t="str">
            <v>-</v>
          </cell>
          <cell r="E501" t="str">
            <v>PSDA di Kediri</v>
          </cell>
          <cell r="F501" t="str">
            <v>Blongko</v>
          </cell>
          <cell r="G501" t="str">
            <v>Ngetos</v>
          </cell>
          <cell r="H501" t="str">
            <v>Nganjuk</v>
          </cell>
          <cell r="I501" t="str">
            <v>'111.82886</v>
          </cell>
          <cell r="J501" t="str">
            <v>'-7.74286</v>
          </cell>
          <cell r="K501" t="str">
            <v>-</v>
          </cell>
          <cell r="L501" t="str">
            <v>Brantas</v>
          </cell>
          <cell r="M501" t="str">
            <v>PHB</v>
          </cell>
          <cell r="N501" t="str">
            <v>-</v>
          </cell>
          <cell r="O501" t="str">
            <v>-</v>
          </cell>
          <cell r="P501" t="str">
            <v>-</v>
          </cell>
        </row>
        <row r="502">
          <cell r="B502">
            <v>350518017</v>
          </cell>
          <cell r="C502" t="str">
            <v>Sekar Pudak</v>
          </cell>
          <cell r="D502" t="str">
            <v>-</v>
          </cell>
          <cell r="E502" t="str">
            <v>PSDA di Kediri</v>
          </cell>
          <cell r="F502" t="str">
            <v>Pinggir</v>
          </cell>
          <cell r="G502" t="str">
            <v>Lengkong</v>
          </cell>
          <cell r="H502" t="str">
            <v>Nganjuk</v>
          </cell>
          <cell r="I502" t="str">
            <v>'112.08242</v>
          </cell>
          <cell r="J502" t="str">
            <v>'-7.49545</v>
          </cell>
          <cell r="K502" t="str">
            <v>-</v>
          </cell>
          <cell r="L502" t="str">
            <v>Brantas</v>
          </cell>
          <cell r="M502" t="str">
            <v>PHB</v>
          </cell>
          <cell r="N502" t="str">
            <v>-</v>
          </cell>
          <cell r="O502" t="str">
            <v>-</v>
          </cell>
          <cell r="P502" t="str">
            <v>-</v>
          </cell>
        </row>
        <row r="503">
          <cell r="B503">
            <v>350518018</v>
          </cell>
          <cell r="C503" t="str">
            <v>Gunug Krikil</v>
          </cell>
          <cell r="D503" t="str">
            <v>-</v>
          </cell>
          <cell r="E503" t="str">
            <v>PSDA di Kediri</v>
          </cell>
          <cell r="F503" t="str">
            <v>Pinggir</v>
          </cell>
          <cell r="G503" t="str">
            <v>Lengkong</v>
          </cell>
          <cell r="H503" t="str">
            <v>Nganjuk</v>
          </cell>
          <cell r="I503" t="str">
            <v>'112.08277</v>
          </cell>
          <cell r="J503" t="str">
            <v>'-7.49036</v>
          </cell>
          <cell r="K503" t="str">
            <v>-</v>
          </cell>
          <cell r="L503" t="str">
            <v>Brantas</v>
          </cell>
          <cell r="M503" t="str">
            <v>PHB</v>
          </cell>
          <cell r="N503" t="str">
            <v>-</v>
          </cell>
          <cell r="O503" t="str">
            <v>-</v>
          </cell>
          <cell r="P503" t="str">
            <v>-</v>
          </cell>
        </row>
        <row r="504">
          <cell r="B504">
            <v>350518019</v>
          </cell>
          <cell r="C504" t="str">
            <v>Kedung Lumbung</v>
          </cell>
          <cell r="D504" t="str">
            <v>-</v>
          </cell>
          <cell r="E504" t="str">
            <v>PSDA di Kediri</v>
          </cell>
          <cell r="F504" t="str">
            <v>Sumbersono</v>
          </cell>
          <cell r="G504" t="str">
            <v>Lengkong</v>
          </cell>
          <cell r="H504" t="str">
            <v>Nganjuk</v>
          </cell>
          <cell r="I504" t="str">
            <v>'112.08319</v>
          </cell>
          <cell r="J504" t="str">
            <v>'-7.50118</v>
          </cell>
          <cell r="K504" t="str">
            <v>-</v>
          </cell>
          <cell r="L504" t="str">
            <v>Brantas</v>
          </cell>
          <cell r="M504" t="str">
            <v>PHB</v>
          </cell>
          <cell r="N504" t="str">
            <v>-</v>
          </cell>
          <cell r="O504" t="str">
            <v>-</v>
          </cell>
          <cell r="P504" t="str">
            <v>-</v>
          </cell>
        </row>
        <row r="505">
          <cell r="B505">
            <v>350518020</v>
          </cell>
          <cell r="C505" t="str">
            <v>Sumber Padas</v>
          </cell>
          <cell r="D505" t="str">
            <v>-</v>
          </cell>
          <cell r="E505" t="str">
            <v>PSDA di Kediri</v>
          </cell>
          <cell r="F505" t="str">
            <v>Sumbersono</v>
          </cell>
          <cell r="G505" t="str">
            <v>Lengkong</v>
          </cell>
          <cell r="H505" t="str">
            <v>Nganjuk</v>
          </cell>
          <cell r="I505" t="str">
            <v>'112.08945</v>
          </cell>
          <cell r="J505" t="str">
            <v>'-7.50277</v>
          </cell>
          <cell r="K505" t="str">
            <v>-</v>
          </cell>
          <cell r="L505" t="str">
            <v>Brantas</v>
          </cell>
          <cell r="M505" t="str">
            <v>PHB</v>
          </cell>
          <cell r="N505" t="str">
            <v>-</v>
          </cell>
          <cell r="O505" t="str">
            <v>-</v>
          </cell>
          <cell r="P505" t="str">
            <v>-</v>
          </cell>
        </row>
        <row r="506">
          <cell r="B506">
            <v>350518021</v>
          </cell>
          <cell r="C506" t="str">
            <v>Logawe</v>
          </cell>
          <cell r="D506" t="str">
            <v>-</v>
          </cell>
          <cell r="E506" t="str">
            <v>PSDA di Kediri</v>
          </cell>
          <cell r="F506" t="str">
            <v>Sumberkepuh</v>
          </cell>
          <cell r="G506" t="str">
            <v>Lengkong</v>
          </cell>
          <cell r="H506" t="str">
            <v>Nganjuk</v>
          </cell>
          <cell r="I506" t="str">
            <v>'112.07896</v>
          </cell>
          <cell r="J506" t="str">
            <v>'-7.49894</v>
          </cell>
          <cell r="K506" t="str">
            <v>-</v>
          </cell>
          <cell r="L506" t="str">
            <v>Brantas</v>
          </cell>
          <cell r="M506" t="str">
            <v>PHB</v>
          </cell>
          <cell r="N506" t="str">
            <v>-</v>
          </cell>
          <cell r="O506" t="str">
            <v>-</v>
          </cell>
          <cell r="P506" t="str">
            <v>-</v>
          </cell>
        </row>
        <row r="507">
          <cell r="B507">
            <v>350518022</v>
          </cell>
          <cell r="C507" t="str">
            <v>Sumber Sono</v>
          </cell>
          <cell r="D507" t="str">
            <v>-</v>
          </cell>
          <cell r="E507" t="str">
            <v>PSDA di Kediri</v>
          </cell>
          <cell r="F507" t="str">
            <v>Sumbersono</v>
          </cell>
          <cell r="G507" t="str">
            <v>Lengkong</v>
          </cell>
          <cell r="H507" t="str">
            <v>Nganjuk</v>
          </cell>
          <cell r="I507" t="str">
            <v>'112.08814</v>
          </cell>
          <cell r="J507" t="str">
            <v>'-7.50329</v>
          </cell>
          <cell r="K507" t="str">
            <v>-</v>
          </cell>
          <cell r="L507" t="str">
            <v>Brantas</v>
          </cell>
          <cell r="M507" t="str">
            <v>PHB</v>
          </cell>
          <cell r="N507" t="str">
            <v>-</v>
          </cell>
          <cell r="O507" t="str">
            <v>-</v>
          </cell>
          <cell r="P507" t="str">
            <v>-</v>
          </cell>
        </row>
        <row r="508">
          <cell r="B508">
            <v>350518023</v>
          </cell>
          <cell r="C508" t="str">
            <v>Lengkong Nganjuk</v>
          </cell>
          <cell r="D508" t="str">
            <v>-</v>
          </cell>
          <cell r="E508" t="str">
            <v>PSDA di Kediri</v>
          </cell>
          <cell r="F508" t="str">
            <v>Lengkong</v>
          </cell>
          <cell r="G508" t="str">
            <v>Lengkong</v>
          </cell>
          <cell r="H508" t="str">
            <v>Nganjuk</v>
          </cell>
          <cell r="I508" t="str">
            <v>'112.07607</v>
          </cell>
          <cell r="J508" t="str">
            <v>'-7.53519</v>
          </cell>
          <cell r="K508" t="str">
            <v>-</v>
          </cell>
          <cell r="L508" t="str">
            <v>Brantas</v>
          </cell>
          <cell r="M508" t="str">
            <v>PHB</v>
          </cell>
          <cell r="N508" t="str">
            <v>-</v>
          </cell>
          <cell r="O508" t="str">
            <v>-</v>
          </cell>
          <cell r="P508" t="str">
            <v>-</v>
          </cell>
        </row>
        <row r="509">
          <cell r="B509">
            <v>350518024</v>
          </cell>
          <cell r="C509" t="str">
            <v>Kedungrejo</v>
          </cell>
          <cell r="D509" t="str">
            <v>-</v>
          </cell>
          <cell r="E509" t="str">
            <v>PSDA di Kediri</v>
          </cell>
          <cell r="F509" t="str">
            <v>Ngudikan</v>
          </cell>
          <cell r="G509" t="str">
            <v>Wilangan</v>
          </cell>
          <cell r="H509" t="str">
            <v>Nganjuk</v>
          </cell>
          <cell r="I509" t="str">
            <v>'111.834219</v>
          </cell>
          <cell r="J509" t="str">
            <v>'-7.545689</v>
          </cell>
          <cell r="K509" t="str">
            <v>-</v>
          </cell>
          <cell r="L509" t="str">
            <v>Brantas</v>
          </cell>
          <cell r="M509" t="str">
            <v>PHB</v>
          </cell>
          <cell r="N509" t="str">
            <v>-</v>
          </cell>
          <cell r="O509" t="str">
            <v>-</v>
          </cell>
          <cell r="P509" t="str">
            <v>-</v>
          </cell>
        </row>
        <row r="510">
          <cell r="B510">
            <v>350518025</v>
          </cell>
          <cell r="C510" t="str">
            <v>Baron</v>
          </cell>
          <cell r="D510" t="str">
            <v>-</v>
          </cell>
          <cell r="E510" t="str">
            <v>PSDA di Kediri</v>
          </cell>
          <cell r="F510" t="str">
            <v>Kedungrejo</v>
          </cell>
          <cell r="G510" t="str">
            <v>Tanjunganom</v>
          </cell>
          <cell r="H510" t="str">
            <v>Nganjuk</v>
          </cell>
          <cell r="I510" t="str">
            <v>'112.02469</v>
          </cell>
          <cell r="J510" t="str">
            <v>'-7.60367</v>
          </cell>
          <cell r="K510" t="str">
            <v>-</v>
          </cell>
          <cell r="L510" t="str">
            <v>Brantas</v>
          </cell>
          <cell r="M510" t="str">
            <v>PHB</v>
          </cell>
          <cell r="N510" t="str">
            <v>-</v>
          </cell>
          <cell r="O510" t="str">
            <v>-</v>
          </cell>
          <cell r="P510" t="str">
            <v>-</v>
          </cell>
        </row>
        <row r="511">
          <cell r="B511">
            <v>350518026</v>
          </cell>
          <cell r="C511" t="str">
            <v>Kertosono</v>
          </cell>
          <cell r="D511" t="str">
            <v>-</v>
          </cell>
          <cell r="E511" t="str">
            <v>PSDA di Kediri</v>
          </cell>
          <cell r="F511" t="str">
            <v>Kutorejo</v>
          </cell>
          <cell r="G511" t="str">
            <v>Kertosono</v>
          </cell>
          <cell r="H511" t="str">
            <v>Nganjuk</v>
          </cell>
          <cell r="I511" t="str">
            <v>'112.10807</v>
          </cell>
          <cell r="J511" t="str">
            <v>'-7.59546</v>
          </cell>
          <cell r="K511" t="str">
            <v>-</v>
          </cell>
          <cell r="L511" t="str">
            <v>Brantas</v>
          </cell>
          <cell r="M511" t="str">
            <v>PHB</v>
          </cell>
          <cell r="N511" t="str">
            <v>-</v>
          </cell>
          <cell r="O511" t="str">
            <v>-</v>
          </cell>
          <cell r="P511" t="str">
            <v>-</v>
          </cell>
        </row>
        <row r="512">
          <cell r="B512">
            <v>350518027</v>
          </cell>
          <cell r="C512" t="str">
            <v>Warujayeng</v>
          </cell>
          <cell r="D512" t="str">
            <v>-</v>
          </cell>
          <cell r="E512" t="str">
            <v>PSDA di Kediri</v>
          </cell>
          <cell r="F512" t="str">
            <v>Jogomerto</v>
          </cell>
          <cell r="G512" t="str">
            <v>Tanjunganom</v>
          </cell>
          <cell r="H512" t="str">
            <v>Nganjuk</v>
          </cell>
          <cell r="I512" t="str">
            <v>'112.03913</v>
          </cell>
          <cell r="J512" t="str">
            <v>'-7.62684</v>
          </cell>
          <cell r="K512" t="str">
            <v>-</v>
          </cell>
          <cell r="L512" t="str">
            <v>Brantas</v>
          </cell>
          <cell r="M512" t="str">
            <v>PHB</v>
          </cell>
          <cell r="N512" t="str">
            <v>-</v>
          </cell>
          <cell r="O512" t="str">
            <v>-</v>
          </cell>
          <cell r="P512" t="str">
            <v>-</v>
          </cell>
        </row>
        <row r="513">
          <cell r="B513">
            <v>350518028</v>
          </cell>
          <cell r="C513" t="str">
            <v>Prambon</v>
          </cell>
          <cell r="D513" t="str">
            <v>-</v>
          </cell>
          <cell r="E513" t="str">
            <v>PSDA di Kediri</v>
          </cell>
          <cell r="F513" t="str">
            <v>Tegaron</v>
          </cell>
          <cell r="G513" t="str">
            <v>Prambon</v>
          </cell>
          <cell r="H513" t="str">
            <v>Nganjuk</v>
          </cell>
          <cell r="I513" t="str">
            <v>'112.02285</v>
          </cell>
          <cell r="J513" t="str">
            <v>'-7.72639</v>
          </cell>
          <cell r="K513" t="str">
            <v>-</v>
          </cell>
          <cell r="L513" t="str">
            <v>Brantas</v>
          </cell>
          <cell r="M513" t="str">
            <v>PHB</v>
          </cell>
          <cell r="N513" t="str">
            <v>-</v>
          </cell>
          <cell r="O513" t="str">
            <v>-</v>
          </cell>
          <cell r="P513" t="str">
            <v>-</v>
          </cell>
        </row>
        <row r="514">
          <cell r="B514">
            <v>350518029</v>
          </cell>
          <cell r="C514" t="str">
            <v>Dingin</v>
          </cell>
          <cell r="D514" t="str">
            <v>-</v>
          </cell>
          <cell r="E514" t="str">
            <v>PSDA di Kediri</v>
          </cell>
          <cell r="F514" t="str">
            <v>Klurahan</v>
          </cell>
          <cell r="G514" t="str">
            <v>Ngronggot</v>
          </cell>
          <cell r="H514" t="str">
            <v>Nganjuk</v>
          </cell>
          <cell r="I514" t="str">
            <v>'112.05634</v>
          </cell>
          <cell r="J514" t="str">
            <v>'-7.66312</v>
          </cell>
          <cell r="K514" t="str">
            <v>-</v>
          </cell>
          <cell r="L514" t="str">
            <v>Brantas</v>
          </cell>
          <cell r="M514" t="str">
            <v>PHB</v>
          </cell>
          <cell r="N514" t="str">
            <v>-</v>
          </cell>
          <cell r="O514" t="str">
            <v>-</v>
          </cell>
          <cell r="P514" t="str">
            <v>-</v>
          </cell>
        </row>
        <row r="515">
          <cell r="B515">
            <v>350518030</v>
          </cell>
          <cell r="C515" t="str">
            <v>Prayungan</v>
          </cell>
          <cell r="D515" t="str">
            <v>-</v>
          </cell>
          <cell r="E515" t="str">
            <v>PSDA di Kediri</v>
          </cell>
          <cell r="F515" t="str">
            <v>Prayungan</v>
          </cell>
          <cell r="G515" t="str">
            <v>Lengkong</v>
          </cell>
          <cell r="H515" t="str">
            <v>Nganjuk</v>
          </cell>
          <cell r="I515" t="str">
            <v>'112.09765</v>
          </cell>
          <cell r="J515" t="str">
            <v>'-7.50663</v>
          </cell>
          <cell r="K515" t="str">
            <v>-</v>
          </cell>
          <cell r="L515" t="str">
            <v>Brantas</v>
          </cell>
          <cell r="M515" t="str">
            <v>PHB</v>
          </cell>
          <cell r="N515" t="str">
            <v>-</v>
          </cell>
          <cell r="O515" t="str">
            <v>-</v>
          </cell>
          <cell r="P515" t="str">
            <v>-</v>
          </cell>
        </row>
        <row r="516">
          <cell r="B516">
            <v>350518031</v>
          </cell>
          <cell r="C516" t="str">
            <v>Ngasem</v>
          </cell>
          <cell r="D516" t="str">
            <v>-</v>
          </cell>
          <cell r="E516" t="str">
            <v>PSDA di Kediri</v>
          </cell>
          <cell r="F516" t="str">
            <v>Perning</v>
          </cell>
          <cell r="G516" t="str">
            <v>Jatikalen</v>
          </cell>
          <cell r="H516" t="str">
            <v>Nganjuk</v>
          </cell>
          <cell r="I516" t="str">
            <v>'112.11249</v>
          </cell>
          <cell r="J516" t="str">
            <v>'-7.50961</v>
          </cell>
          <cell r="K516" t="str">
            <v>-</v>
          </cell>
          <cell r="L516" t="str">
            <v>Brantas</v>
          </cell>
          <cell r="M516" t="str">
            <v>PHB</v>
          </cell>
          <cell r="N516" t="str">
            <v>-</v>
          </cell>
          <cell r="O516" t="str">
            <v>-</v>
          </cell>
          <cell r="P516" t="str">
            <v>-</v>
          </cell>
        </row>
        <row r="517">
          <cell r="B517">
            <v>350518032</v>
          </cell>
          <cell r="C517" t="str">
            <v>Sumber Kemiri</v>
          </cell>
          <cell r="D517" t="str">
            <v>-</v>
          </cell>
          <cell r="E517" t="str">
            <v>PSDA di Kediri</v>
          </cell>
          <cell r="F517" t="str">
            <v>Lumpangkuwik</v>
          </cell>
          <cell r="G517" t="str">
            <v>Jatikalen</v>
          </cell>
          <cell r="H517" t="str">
            <v>Nganjuk</v>
          </cell>
          <cell r="I517" t="str">
            <v>'112.13039</v>
          </cell>
          <cell r="J517" t="str">
            <v>'-7.50589</v>
          </cell>
          <cell r="K517" t="str">
            <v>-</v>
          </cell>
          <cell r="L517" t="str">
            <v>Brantas</v>
          </cell>
          <cell r="M517" t="str">
            <v>PHB</v>
          </cell>
          <cell r="N517" t="str">
            <v>-</v>
          </cell>
          <cell r="O517" t="str">
            <v>-</v>
          </cell>
          <cell r="P517" t="str">
            <v>-</v>
          </cell>
        </row>
        <row r="518">
          <cell r="B518">
            <v>350518033</v>
          </cell>
          <cell r="C518" t="str">
            <v>Sumbersoko</v>
          </cell>
          <cell r="D518" t="str">
            <v>-</v>
          </cell>
          <cell r="E518" t="str">
            <v>PSDA di Kediri</v>
          </cell>
          <cell r="F518" t="str">
            <v>Ngumpul</v>
          </cell>
          <cell r="G518" t="str">
            <v>Bagor</v>
          </cell>
          <cell r="H518" t="str">
            <v>Nganjuk</v>
          </cell>
          <cell r="I518" t="str">
            <v>'111.84243</v>
          </cell>
          <cell r="J518" t="str">
            <v>'-7.57949</v>
          </cell>
          <cell r="K518" t="str">
            <v>-</v>
          </cell>
          <cell r="L518" t="str">
            <v>Brantas</v>
          </cell>
          <cell r="M518" t="str">
            <v>PHB</v>
          </cell>
          <cell r="N518" t="str">
            <v>-</v>
          </cell>
          <cell r="O518" t="str">
            <v>-</v>
          </cell>
          <cell r="P518" t="str">
            <v>-</v>
          </cell>
        </row>
        <row r="519">
          <cell r="B519">
            <v>350518034</v>
          </cell>
          <cell r="C519" t="str">
            <v>Pace</v>
          </cell>
          <cell r="D519" t="str">
            <v>-</v>
          </cell>
          <cell r="E519" t="str">
            <v>PSDA di Kediri</v>
          </cell>
          <cell r="F519" t="str">
            <v>Cerme</v>
          </cell>
          <cell r="G519" t="str">
            <v>Pace</v>
          </cell>
          <cell r="H519" t="str">
            <v>Nganjuk</v>
          </cell>
          <cell r="I519" t="str">
            <v>'111.91663</v>
          </cell>
          <cell r="J519" t="str">
            <v>'-7.67753</v>
          </cell>
          <cell r="K519" t="str">
            <v>-</v>
          </cell>
          <cell r="L519" t="str">
            <v>Brantas</v>
          </cell>
          <cell r="M519" t="str">
            <v>PHB</v>
          </cell>
          <cell r="N519" t="str">
            <v>-</v>
          </cell>
          <cell r="O519" t="str">
            <v>-</v>
          </cell>
          <cell r="P519" t="str">
            <v>-</v>
          </cell>
        </row>
        <row r="520">
          <cell r="B520">
            <v>350518035</v>
          </cell>
          <cell r="C520" t="str">
            <v>Mlilir</v>
          </cell>
          <cell r="D520" t="str">
            <v>-</v>
          </cell>
          <cell r="E520" t="str">
            <v>PSDA di Kediri</v>
          </cell>
          <cell r="F520" t="str">
            <v>Ngrawan</v>
          </cell>
          <cell r="G520" t="str">
            <v>Berbek</v>
          </cell>
          <cell r="H520" t="str">
            <v>Nganjuk</v>
          </cell>
          <cell r="I520" t="str">
            <v>'111.88261</v>
          </cell>
          <cell r="J520" t="str">
            <v>'-7.66142</v>
          </cell>
          <cell r="K520" t="str">
            <v>-</v>
          </cell>
          <cell r="L520" t="str">
            <v>Brantas</v>
          </cell>
          <cell r="M520" t="str">
            <v>PHB</v>
          </cell>
          <cell r="N520" t="str">
            <v>-</v>
          </cell>
          <cell r="O520" t="str">
            <v>-</v>
          </cell>
          <cell r="P520" t="str">
            <v>-</v>
          </cell>
        </row>
        <row r="521">
          <cell r="B521">
            <v>350518036</v>
          </cell>
          <cell r="C521" t="str">
            <v>Ngudikan</v>
          </cell>
          <cell r="D521" t="str">
            <v>-</v>
          </cell>
          <cell r="E521" t="str">
            <v>PSDA di Kediri</v>
          </cell>
          <cell r="F521" t="str">
            <v>Ngudikan</v>
          </cell>
          <cell r="G521" t="str">
            <v>Wilangan</v>
          </cell>
          <cell r="H521" t="str">
            <v>Nganjuk</v>
          </cell>
          <cell r="I521" t="str">
            <v>'111.83956</v>
          </cell>
          <cell r="J521" t="str">
            <v>'-7.55517</v>
          </cell>
          <cell r="K521" t="str">
            <v>-</v>
          </cell>
          <cell r="L521" t="str">
            <v>Brantas</v>
          </cell>
          <cell r="M521" t="str">
            <v>PHB</v>
          </cell>
          <cell r="N521" t="str">
            <v>-</v>
          </cell>
          <cell r="O521" t="str">
            <v>-</v>
          </cell>
          <cell r="P521" t="str">
            <v>-</v>
          </cell>
        </row>
        <row r="522">
          <cell r="B522">
            <v>350518037</v>
          </cell>
          <cell r="C522" t="str">
            <v>Ngrambek</v>
          </cell>
          <cell r="D522" t="str">
            <v>-</v>
          </cell>
          <cell r="E522" t="str">
            <v>PSDA di Kediri</v>
          </cell>
          <cell r="F522" t="str">
            <v>Campur</v>
          </cell>
          <cell r="G522" t="str">
            <v>Gondang</v>
          </cell>
          <cell r="H522" t="str">
            <v>Nganjuk</v>
          </cell>
          <cell r="I522" t="str">
            <v>'111.95922</v>
          </cell>
          <cell r="J522" t="str">
            <v>'-7.54496</v>
          </cell>
          <cell r="K522" t="str">
            <v>-</v>
          </cell>
          <cell r="L522" t="str">
            <v>Brantas</v>
          </cell>
          <cell r="M522" t="str">
            <v>PHB</v>
          </cell>
          <cell r="N522" t="str">
            <v>-</v>
          </cell>
          <cell r="O522" t="str">
            <v>-</v>
          </cell>
          <cell r="P522" t="str">
            <v>-</v>
          </cell>
        </row>
        <row r="523">
          <cell r="B523">
            <v>350518038</v>
          </cell>
          <cell r="C523" t="str">
            <v>Glatik</v>
          </cell>
          <cell r="D523" t="str">
            <v>-</v>
          </cell>
          <cell r="E523" t="str">
            <v>PSDA di Kediri</v>
          </cell>
          <cell r="F523" t="str">
            <v>Mancon</v>
          </cell>
          <cell r="G523" t="str">
            <v>Wilangan</v>
          </cell>
          <cell r="H523" t="str">
            <v>Nganjuk</v>
          </cell>
          <cell r="I523" t="str">
            <v>'111.8272027</v>
          </cell>
          <cell r="J523" t="str">
            <v>'-7.54532777</v>
          </cell>
          <cell r="K523" t="str">
            <v>-</v>
          </cell>
          <cell r="L523" t="str">
            <v>Brantas</v>
          </cell>
          <cell r="M523" t="str">
            <v>PHB</v>
          </cell>
          <cell r="N523" t="str">
            <v>-</v>
          </cell>
          <cell r="O523" t="str">
            <v>-</v>
          </cell>
          <cell r="P523" t="str">
            <v>-</v>
          </cell>
        </row>
        <row r="524">
          <cell r="B524">
            <v>350518039</v>
          </cell>
          <cell r="C524" t="str">
            <v>Kedungsoko</v>
          </cell>
          <cell r="D524" t="str">
            <v>-</v>
          </cell>
          <cell r="E524" t="str">
            <v>PSDA di Kediri</v>
          </cell>
          <cell r="F524" t="str">
            <v>Malangsari</v>
          </cell>
          <cell r="G524" t="str">
            <v>Tanjunganom</v>
          </cell>
          <cell r="H524" t="str">
            <v>Nganjuk</v>
          </cell>
          <cell r="I524" t="str">
            <v>'111.96978</v>
          </cell>
          <cell r="J524" t="str">
            <v>'-7.65608</v>
          </cell>
          <cell r="K524" t="str">
            <v>-</v>
          </cell>
          <cell r="L524" t="str">
            <v>Brantas</v>
          </cell>
          <cell r="M524" t="str">
            <v>PHB</v>
          </cell>
          <cell r="N524" t="str">
            <v>-</v>
          </cell>
          <cell r="O524" t="str">
            <v>-</v>
          </cell>
          <cell r="P524" t="str">
            <v>-</v>
          </cell>
        </row>
        <row r="525">
          <cell r="B525">
            <v>350518040</v>
          </cell>
          <cell r="C525" t="str">
            <v>Patihan</v>
          </cell>
          <cell r="D525" t="str">
            <v>-</v>
          </cell>
          <cell r="E525" t="str">
            <v>PSDA di Kediri</v>
          </cell>
          <cell r="F525" t="str">
            <v>Patihan</v>
          </cell>
          <cell r="G525" t="str">
            <v>Loceret</v>
          </cell>
          <cell r="H525" t="str">
            <v>Nganjuk</v>
          </cell>
          <cell r="I525" t="str">
            <v>'111.90298</v>
          </cell>
          <cell r="J525" t="str">
            <v>'-7.65026</v>
          </cell>
          <cell r="K525" t="str">
            <v>-</v>
          </cell>
          <cell r="L525" t="str">
            <v>Brantas</v>
          </cell>
          <cell r="M525" t="str">
            <v>PHB</v>
          </cell>
          <cell r="N525" t="str">
            <v>-</v>
          </cell>
          <cell r="O525" t="str">
            <v>-</v>
          </cell>
          <cell r="P525" t="str">
            <v>-</v>
          </cell>
        </row>
        <row r="526">
          <cell r="B526">
            <v>350518041</v>
          </cell>
          <cell r="C526" t="str">
            <v>Badong NGK</v>
          </cell>
          <cell r="D526" t="str">
            <v>-</v>
          </cell>
          <cell r="E526" t="str">
            <v>PSDA di Kediri</v>
          </cell>
          <cell r="F526" t="str">
            <v>Mojoduwur</v>
          </cell>
          <cell r="G526" t="str">
            <v>Ngetos</v>
          </cell>
          <cell r="H526" t="str">
            <v>Nganjuk</v>
          </cell>
          <cell r="I526" t="str">
            <v>'111.86089</v>
          </cell>
          <cell r="J526" t="str">
            <v>'-7.67081</v>
          </cell>
          <cell r="K526" t="str">
            <v>-</v>
          </cell>
          <cell r="L526" t="str">
            <v>Brantas</v>
          </cell>
          <cell r="M526" t="str">
            <v>PHB</v>
          </cell>
          <cell r="N526" t="str">
            <v>-</v>
          </cell>
          <cell r="O526" t="str">
            <v>-</v>
          </cell>
          <cell r="P526" t="str">
            <v>-</v>
          </cell>
        </row>
        <row r="527">
          <cell r="B527">
            <v>350518042</v>
          </cell>
          <cell r="C527" t="str">
            <v>Banaran</v>
          </cell>
          <cell r="D527" t="str">
            <v>-</v>
          </cell>
          <cell r="E527" t="str">
            <v>PSDA di Kediri</v>
          </cell>
          <cell r="F527" t="str">
            <v>Kecubung</v>
          </cell>
          <cell r="G527" t="str">
            <v>Pace</v>
          </cell>
          <cell r="H527" t="str">
            <v>Nganjuk</v>
          </cell>
          <cell r="I527" t="str">
            <v>'111.92236</v>
          </cell>
          <cell r="J527" t="str">
            <v>'-7.65464</v>
          </cell>
          <cell r="K527" t="str">
            <v>-</v>
          </cell>
          <cell r="L527" t="str">
            <v>Brantas</v>
          </cell>
          <cell r="M527" t="str">
            <v>PHB</v>
          </cell>
          <cell r="N527" t="str">
            <v>-</v>
          </cell>
          <cell r="O527" t="str">
            <v>-</v>
          </cell>
          <cell r="P527" t="str">
            <v>-</v>
          </cell>
        </row>
        <row r="528">
          <cell r="B528">
            <v>350518043</v>
          </cell>
          <cell r="C528" t="str">
            <v>Genjeng</v>
          </cell>
          <cell r="D528" t="str">
            <v>-</v>
          </cell>
          <cell r="E528" t="str">
            <v>PSDA di Kediri</v>
          </cell>
          <cell r="F528" t="str">
            <v>Macanan</v>
          </cell>
          <cell r="G528" t="str">
            <v>Loceret</v>
          </cell>
          <cell r="H528" t="str">
            <v>Nganjuk</v>
          </cell>
          <cell r="I528" t="str">
            <v>'111.87918</v>
          </cell>
          <cell r="J528" t="str">
            <v>'-7.72188</v>
          </cell>
          <cell r="K528" t="str">
            <v>-</v>
          </cell>
          <cell r="L528" t="str">
            <v>Brantas</v>
          </cell>
          <cell r="M528" t="str">
            <v>PHB</v>
          </cell>
          <cell r="N528" t="str">
            <v>-</v>
          </cell>
          <cell r="O528" t="str">
            <v>-</v>
          </cell>
          <cell r="P528" t="str">
            <v>-</v>
          </cell>
        </row>
        <row r="529">
          <cell r="B529">
            <v>350518045</v>
          </cell>
          <cell r="C529" t="str">
            <v>Tritik</v>
          </cell>
          <cell r="D529" t="str">
            <v>-</v>
          </cell>
          <cell r="E529" t="str">
            <v>PSDA di Kediri</v>
          </cell>
          <cell r="F529" t="str">
            <v>Tritik</v>
          </cell>
          <cell r="G529" t="str">
            <v>Rejoso</v>
          </cell>
          <cell r="H529" t="str">
            <v>Nganjuk</v>
          </cell>
          <cell r="I529" t="str">
            <v>'111.8491</v>
          </cell>
          <cell r="J529" t="str">
            <v>'-7.47944</v>
          </cell>
          <cell r="K529" t="str">
            <v>-</v>
          </cell>
          <cell r="L529" t="str">
            <v>Brantas</v>
          </cell>
          <cell r="M529" t="str">
            <v>PHB</v>
          </cell>
          <cell r="N529" t="str">
            <v>-</v>
          </cell>
          <cell r="O529" t="str">
            <v>-</v>
          </cell>
          <cell r="P529" t="str">
            <v>-</v>
          </cell>
        </row>
        <row r="530">
          <cell r="B530">
            <v>350571001</v>
          </cell>
          <cell r="C530" t="str">
            <v>Gambiran</v>
          </cell>
          <cell r="D530" t="str">
            <v>-</v>
          </cell>
          <cell r="E530" t="str">
            <v>PSDA di Kediri</v>
          </cell>
          <cell r="F530" t="str">
            <v>Bandar Lor</v>
          </cell>
          <cell r="G530" t="str">
            <v>Mojoroto</v>
          </cell>
          <cell r="H530" t="str">
            <v>Kota Kediri</v>
          </cell>
          <cell r="I530" t="str">
            <v>'112.00664</v>
          </cell>
          <cell r="J530" t="str">
            <v>'-7.81429</v>
          </cell>
          <cell r="K530" t="str">
            <v>-</v>
          </cell>
          <cell r="L530" t="str">
            <v>Brantas</v>
          </cell>
          <cell r="M530" t="str">
            <v>PHB</v>
          </cell>
          <cell r="N530" t="str">
            <v>-</v>
          </cell>
          <cell r="O530" t="str">
            <v>-</v>
          </cell>
          <cell r="P530" t="str">
            <v>-</v>
          </cell>
        </row>
        <row r="531">
          <cell r="B531">
            <v>350571002</v>
          </cell>
          <cell r="C531" t="str">
            <v>Kantor Kediri</v>
          </cell>
          <cell r="D531" t="str">
            <v>-</v>
          </cell>
          <cell r="E531" t="str">
            <v>PSDA di Kediri</v>
          </cell>
          <cell r="F531" t="str">
            <v>Mojoroto</v>
          </cell>
          <cell r="G531" t="str">
            <v>Mojoroto</v>
          </cell>
          <cell r="H531" t="str">
            <v>Kota Kediri</v>
          </cell>
          <cell r="I531" t="str">
            <v>'112.004347</v>
          </cell>
          <cell r="J531" t="str">
            <v>'-7.805830</v>
          </cell>
          <cell r="K531" t="str">
            <v>-</v>
          </cell>
          <cell r="L531" t="str">
            <v>Brantas</v>
          </cell>
          <cell r="M531" t="str">
            <v>PHB</v>
          </cell>
          <cell r="N531" t="str">
            <v>-</v>
          </cell>
          <cell r="O531" t="str">
            <v>-</v>
          </cell>
          <cell r="P531" t="str">
            <v>-</v>
          </cell>
        </row>
        <row r="532">
          <cell r="B532">
            <v>350571004</v>
          </cell>
          <cell r="C532" t="str">
            <v>PG. Pesantren</v>
          </cell>
          <cell r="D532" t="str">
            <v>-</v>
          </cell>
          <cell r="E532" t="str">
            <v>PSDA di Kediri</v>
          </cell>
          <cell r="F532" t="str">
            <v>Pesantren</v>
          </cell>
          <cell r="G532" t="str">
            <v>Pesantren</v>
          </cell>
          <cell r="H532" t="str">
            <v>Kota Kediri</v>
          </cell>
          <cell r="I532" t="str">
            <v>'112.05453</v>
          </cell>
          <cell r="J532" t="str">
            <v>'-7.83438</v>
          </cell>
          <cell r="K532" t="str">
            <v>-</v>
          </cell>
          <cell r="L532" t="str">
            <v>Brantas</v>
          </cell>
          <cell r="M532" t="str">
            <v>PHB</v>
          </cell>
          <cell r="N532" t="str">
            <v>-</v>
          </cell>
          <cell r="O532" t="str">
            <v>-</v>
          </cell>
          <cell r="P532" t="str">
            <v>-</v>
          </cell>
        </row>
        <row r="533">
          <cell r="B533">
            <v>350571005</v>
          </cell>
          <cell r="C533" t="str">
            <v>Mrican</v>
          </cell>
          <cell r="D533" t="str">
            <v>-</v>
          </cell>
          <cell r="E533" t="str">
            <v>PSDA di Kediri</v>
          </cell>
          <cell r="F533" t="str">
            <v>Mrican</v>
          </cell>
          <cell r="G533" t="str">
            <v>Mojoroto</v>
          </cell>
          <cell r="H533" t="str">
            <v>Kota Kediri</v>
          </cell>
          <cell r="I533" t="str">
            <v>'112.001587</v>
          </cell>
          <cell r="J533" t="str">
            <v>'-7.783871</v>
          </cell>
          <cell r="K533" t="str">
            <v>-</v>
          </cell>
          <cell r="L533" t="str">
            <v>Brantas</v>
          </cell>
          <cell r="M533" t="str">
            <v>PHB</v>
          </cell>
          <cell r="N533" t="str">
            <v>-</v>
          </cell>
          <cell r="O533" t="str">
            <v>-</v>
          </cell>
          <cell r="P533" t="str">
            <v>-</v>
          </cell>
        </row>
        <row r="534">
          <cell r="B534">
            <v>350601001</v>
          </cell>
          <cell r="C534" t="str">
            <v>Pacitan</v>
          </cell>
          <cell r="D534" t="str">
            <v>-</v>
          </cell>
          <cell r="E534" t="str">
            <v>PSDA di Madiun</v>
          </cell>
          <cell r="F534" t="str">
            <v>Pacitan</v>
          </cell>
          <cell r="G534" t="str">
            <v>Pacitan</v>
          </cell>
          <cell r="H534" t="str">
            <v>Pacitan</v>
          </cell>
          <cell r="I534" t="str">
            <v>'111.106111</v>
          </cell>
          <cell r="J534" t="str">
            <v>'-8.193611</v>
          </cell>
          <cell r="K534" t="str">
            <v>-</v>
          </cell>
          <cell r="L534" t="str">
            <v>Bengawan Solo</v>
          </cell>
          <cell r="M534" t="str">
            <v>PHB</v>
          </cell>
          <cell r="N534" t="str">
            <v>-</v>
          </cell>
          <cell r="O534" t="str">
            <v>-</v>
          </cell>
          <cell r="P534" t="str">
            <v>-</v>
          </cell>
        </row>
        <row r="535">
          <cell r="B535">
            <v>350601002</v>
          </cell>
          <cell r="C535" t="str">
            <v>Kebonagung</v>
          </cell>
          <cell r="D535" t="str">
            <v>-</v>
          </cell>
          <cell r="E535" t="str">
            <v>PSDA di Madiun</v>
          </cell>
          <cell r="F535" t="str">
            <v>Kebonagung</v>
          </cell>
          <cell r="G535" t="str">
            <v>Kebonagung</v>
          </cell>
          <cell r="H535" t="str">
            <v>Pacitan</v>
          </cell>
          <cell r="I535" t="str">
            <v>'111.155556</v>
          </cell>
          <cell r="J535" t="str">
            <v>'-8.218889</v>
          </cell>
          <cell r="K535" t="str">
            <v>-</v>
          </cell>
          <cell r="L535" t="str">
            <v>Bengawan Solo</v>
          </cell>
          <cell r="M535" t="str">
            <v>PHB</v>
          </cell>
          <cell r="N535" t="str">
            <v>-</v>
          </cell>
          <cell r="O535" t="str">
            <v>-</v>
          </cell>
          <cell r="P535" t="str">
            <v>-</v>
          </cell>
        </row>
        <row r="536">
          <cell r="B536">
            <v>350601003</v>
          </cell>
          <cell r="C536" t="str">
            <v>Arjosari</v>
          </cell>
          <cell r="D536" t="str">
            <v>-</v>
          </cell>
          <cell r="E536" t="str">
            <v>PSDA di Madiun</v>
          </cell>
          <cell r="F536" t="str">
            <v>Arjosari</v>
          </cell>
          <cell r="G536" t="str">
            <v>Arjosari</v>
          </cell>
          <cell r="H536" t="str">
            <v>Pacitan</v>
          </cell>
          <cell r="I536" t="str">
            <v>'111.155523</v>
          </cell>
          <cell r="J536" t="str">
            <v>'-8.124747</v>
          </cell>
          <cell r="K536" t="str">
            <v>-</v>
          </cell>
          <cell r="L536" t="str">
            <v>Bengawan Solo</v>
          </cell>
          <cell r="M536" t="str">
            <v>PHB</v>
          </cell>
          <cell r="N536" t="str">
            <v>-</v>
          </cell>
          <cell r="O536" t="str">
            <v>-</v>
          </cell>
          <cell r="P536" t="str">
            <v>-</v>
          </cell>
        </row>
        <row r="537">
          <cell r="B537">
            <v>350601004</v>
          </cell>
          <cell r="C537" t="str">
            <v>Kerti</v>
          </cell>
          <cell r="D537" t="str">
            <v>-</v>
          </cell>
          <cell r="E537" t="str">
            <v>PSDA di Madiun</v>
          </cell>
          <cell r="F537" t="str">
            <v>Kerti</v>
          </cell>
          <cell r="G537" t="str">
            <v>Arjosari</v>
          </cell>
          <cell r="H537" t="str">
            <v>Pacitan</v>
          </cell>
          <cell r="I537" t="str">
            <v>'111.15217</v>
          </cell>
          <cell r="J537" t="str">
            <v>'-8.14227</v>
          </cell>
          <cell r="K537" t="str">
            <v>-</v>
          </cell>
          <cell r="L537" t="str">
            <v>Bengawan Solo</v>
          </cell>
          <cell r="M537" t="str">
            <v>PHB</v>
          </cell>
          <cell r="N537" t="str">
            <v>-</v>
          </cell>
          <cell r="O537" t="str">
            <v>-</v>
          </cell>
          <cell r="P537" t="str">
            <v>-</v>
          </cell>
        </row>
        <row r="538">
          <cell r="B538">
            <v>350601005</v>
          </cell>
          <cell r="C538" t="str">
            <v>Punung</v>
          </cell>
          <cell r="D538" t="str">
            <v>-</v>
          </cell>
          <cell r="E538" t="str">
            <v>PSDA di Madiun</v>
          </cell>
          <cell r="F538" t="str">
            <v>Punung</v>
          </cell>
          <cell r="G538" t="str">
            <v>Punung</v>
          </cell>
          <cell r="H538" t="str">
            <v>Pacitan</v>
          </cell>
          <cell r="I538" t="str">
            <v>'111.032727</v>
          </cell>
          <cell r="J538" t="str">
            <v>'-8.149991</v>
          </cell>
          <cell r="K538" t="str">
            <v>-</v>
          </cell>
          <cell r="L538" t="str">
            <v>Bengawan Solo</v>
          </cell>
          <cell r="M538" t="str">
            <v>PHB</v>
          </cell>
          <cell r="N538" t="str">
            <v>-</v>
          </cell>
          <cell r="O538" t="str">
            <v>-</v>
          </cell>
          <cell r="P538" t="str">
            <v>-</v>
          </cell>
        </row>
        <row r="539">
          <cell r="B539">
            <v>350601006</v>
          </cell>
          <cell r="C539" t="str">
            <v>Pringkuku</v>
          </cell>
          <cell r="D539" t="str">
            <v>-</v>
          </cell>
          <cell r="E539" t="str">
            <v>PSDA di Madiun</v>
          </cell>
          <cell r="F539" t="str">
            <v>Pringkuku</v>
          </cell>
          <cell r="G539" t="str">
            <v>Pringkuku</v>
          </cell>
          <cell r="H539" t="str">
            <v>Pacitan</v>
          </cell>
          <cell r="I539" t="str">
            <v>'111.039787</v>
          </cell>
          <cell r="J539" t="str">
            <v>'-8.190432</v>
          </cell>
          <cell r="K539" t="str">
            <v>-</v>
          </cell>
          <cell r="L539" t="str">
            <v>Bengawan Solo</v>
          </cell>
          <cell r="M539" t="str">
            <v>PHB</v>
          </cell>
          <cell r="N539" t="str">
            <v>-</v>
          </cell>
          <cell r="O539" t="str">
            <v>-</v>
          </cell>
          <cell r="P539" t="str">
            <v>-</v>
          </cell>
        </row>
        <row r="540">
          <cell r="B540">
            <v>350601007</v>
          </cell>
          <cell r="C540" t="str">
            <v>Donorojo</v>
          </cell>
          <cell r="D540" t="str">
            <v>-</v>
          </cell>
          <cell r="E540" t="str">
            <v>PSDA di Madiun</v>
          </cell>
          <cell r="F540" t="str">
            <v>Donorojo</v>
          </cell>
          <cell r="G540" t="str">
            <v>Donorojo</v>
          </cell>
          <cell r="H540" t="str">
            <v>Pacitan</v>
          </cell>
          <cell r="I540" t="str">
            <v>'110.986415</v>
          </cell>
          <cell r="J540" t="str">
            <v>'-8.092747</v>
          </cell>
          <cell r="K540" t="str">
            <v>-</v>
          </cell>
          <cell r="L540" t="str">
            <v>Bengawan Solo</v>
          </cell>
          <cell r="M540" t="str">
            <v>PHB</v>
          </cell>
          <cell r="N540" t="str">
            <v>-</v>
          </cell>
          <cell r="O540" t="str">
            <v>-</v>
          </cell>
          <cell r="P540" t="str">
            <v>-</v>
          </cell>
        </row>
        <row r="541">
          <cell r="B541">
            <v>350601008</v>
          </cell>
          <cell r="C541" t="str">
            <v>Ngadirojo</v>
          </cell>
          <cell r="D541" t="str">
            <v>-</v>
          </cell>
          <cell r="E541" t="str">
            <v>PSDA di Madiun</v>
          </cell>
          <cell r="F541" t="str">
            <v>Ngadorojo</v>
          </cell>
          <cell r="G541" t="str">
            <v>Lorog</v>
          </cell>
          <cell r="H541" t="str">
            <v>Pacitan</v>
          </cell>
          <cell r="I541" t="str">
            <v>'111.329435</v>
          </cell>
          <cell r="J541" t="str">
            <v>'-8.205248</v>
          </cell>
          <cell r="K541" t="str">
            <v>-</v>
          </cell>
          <cell r="L541" t="str">
            <v>Bengawan Solo</v>
          </cell>
          <cell r="M541" t="str">
            <v>PHB</v>
          </cell>
          <cell r="N541" t="str">
            <v>-</v>
          </cell>
          <cell r="O541" t="str">
            <v>-</v>
          </cell>
          <cell r="P541" t="str">
            <v>-</v>
          </cell>
        </row>
        <row r="542">
          <cell r="B542">
            <v>350601009</v>
          </cell>
          <cell r="C542" t="str">
            <v>Tulakan</v>
          </cell>
          <cell r="D542" t="str">
            <v>-</v>
          </cell>
          <cell r="E542" t="str">
            <v>PSDA di Madiun</v>
          </cell>
          <cell r="F542" t="str">
            <v>Tulakan</v>
          </cell>
          <cell r="G542" t="str">
            <v>Tulakan</v>
          </cell>
          <cell r="H542" t="str">
            <v>Pacitan</v>
          </cell>
          <cell r="I542" t="str">
            <v>'111.274918</v>
          </cell>
          <cell r="J542" t="str">
            <v>'-8.170895</v>
          </cell>
          <cell r="K542" t="str">
            <v>-</v>
          </cell>
          <cell r="L542" t="str">
            <v>Bengawan Solo</v>
          </cell>
          <cell r="M542" t="str">
            <v>PHB</v>
          </cell>
          <cell r="N542" t="str">
            <v>-</v>
          </cell>
          <cell r="O542" t="str">
            <v>-</v>
          </cell>
          <cell r="P542" t="str">
            <v>-</v>
          </cell>
        </row>
        <row r="543">
          <cell r="B543">
            <v>350601010</v>
          </cell>
          <cell r="C543" t="str">
            <v>Sudimoro</v>
          </cell>
          <cell r="D543" t="str">
            <v>-</v>
          </cell>
          <cell r="E543" t="str">
            <v>PSDA di Madiun</v>
          </cell>
          <cell r="F543" t="str">
            <v>Sudimoro</v>
          </cell>
          <cell r="G543" t="str">
            <v>Sudimoro</v>
          </cell>
          <cell r="H543" t="str">
            <v>Pacitan</v>
          </cell>
          <cell r="I543" t="str">
            <v>'111.381457</v>
          </cell>
          <cell r="J543" t="str">
            <v>'-8.249062</v>
          </cell>
          <cell r="K543" t="str">
            <v>-</v>
          </cell>
          <cell r="L543" t="str">
            <v>Bengawan Solo</v>
          </cell>
          <cell r="M543" t="str">
            <v>PHB</v>
          </cell>
          <cell r="N543" t="str">
            <v>-</v>
          </cell>
          <cell r="O543" t="str">
            <v>-</v>
          </cell>
          <cell r="P543" t="str">
            <v>-</v>
          </cell>
        </row>
        <row r="544">
          <cell r="B544">
            <v>350601011</v>
          </cell>
          <cell r="C544" t="str">
            <v>Tegalombo</v>
          </cell>
          <cell r="D544" t="str">
            <v>-</v>
          </cell>
          <cell r="E544" t="str">
            <v>PSDA di Madiun</v>
          </cell>
          <cell r="F544" t="str">
            <v>Tegalombo</v>
          </cell>
          <cell r="G544" t="str">
            <v>Tegalombo</v>
          </cell>
          <cell r="H544" t="str">
            <v>Pacitan</v>
          </cell>
          <cell r="I544" t="str">
            <v>'111.301974</v>
          </cell>
          <cell r="J544" t="str">
            <v>'-8.064102</v>
          </cell>
          <cell r="K544" t="str">
            <v>-</v>
          </cell>
          <cell r="L544" t="str">
            <v>Bengawan Solo</v>
          </cell>
          <cell r="M544" t="str">
            <v>PHB</v>
          </cell>
          <cell r="N544" t="str">
            <v>-</v>
          </cell>
          <cell r="O544" t="str">
            <v>-</v>
          </cell>
          <cell r="P544" t="str">
            <v>-</v>
          </cell>
        </row>
        <row r="545">
          <cell r="B545">
            <v>350601012</v>
          </cell>
          <cell r="C545" t="str">
            <v>Tahunan</v>
          </cell>
          <cell r="D545" t="str">
            <v>-</v>
          </cell>
          <cell r="E545" t="str">
            <v>PSDA di Madiun</v>
          </cell>
          <cell r="F545" t="str">
            <v>Tahunan</v>
          </cell>
          <cell r="G545" t="str">
            <v>Tegalombo</v>
          </cell>
          <cell r="H545" t="str">
            <v>Pacitan</v>
          </cell>
          <cell r="I545" t="str">
            <v>'111.333781</v>
          </cell>
          <cell r="J545" t="str">
            <v>'-8.017243</v>
          </cell>
          <cell r="K545" t="str">
            <v>-</v>
          </cell>
          <cell r="L545" t="str">
            <v>Bengawan Solo</v>
          </cell>
          <cell r="M545" t="str">
            <v>PHB</v>
          </cell>
          <cell r="N545" t="str">
            <v>-</v>
          </cell>
          <cell r="O545" t="str">
            <v>-</v>
          </cell>
          <cell r="P545" t="str">
            <v>-</v>
          </cell>
        </row>
        <row r="546">
          <cell r="B546">
            <v>350601013</v>
          </cell>
          <cell r="C546" t="str">
            <v>Bandar</v>
          </cell>
          <cell r="D546" t="str">
            <v>-</v>
          </cell>
          <cell r="E546" t="str">
            <v>PSDA di Madiun</v>
          </cell>
          <cell r="F546" t="str">
            <v>Bandar</v>
          </cell>
          <cell r="G546" t="str">
            <v>Bandar</v>
          </cell>
          <cell r="H546" t="str">
            <v>Pacitan</v>
          </cell>
          <cell r="I546" t="str">
            <v>'111.262858</v>
          </cell>
          <cell r="J546" t="str">
            <v>'-7.998199</v>
          </cell>
          <cell r="K546" t="str">
            <v>-</v>
          </cell>
          <cell r="L546" t="str">
            <v>Bengawan Solo</v>
          </cell>
          <cell r="M546" t="str">
            <v>PHB</v>
          </cell>
          <cell r="N546" t="str">
            <v>-</v>
          </cell>
          <cell r="O546" t="str">
            <v>-</v>
          </cell>
          <cell r="P546" t="str">
            <v>-</v>
          </cell>
        </row>
        <row r="547">
          <cell r="B547">
            <v>350601014</v>
          </cell>
          <cell r="C547" t="str">
            <v>Nawangan</v>
          </cell>
          <cell r="D547" t="str">
            <v>-</v>
          </cell>
          <cell r="E547" t="str">
            <v>PSDA di Madiun</v>
          </cell>
          <cell r="F547" t="str">
            <v>Nawangan</v>
          </cell>
          <cell r="G547" t="str">
            <v>Nawangan</v>
          </cell>
          <cell r="H547" t="str">
            <v>Pacitan</v>
          </cell>
          <cell r="I547" t="str">
            <v>'111.184703</v>
          </cell>
          <cell r="J547" t="str">
            <v>'-8.004193</v>
          </cell>
          <cell r="K547" t="str">
            <v>-</v>
          </cell>
          <cell r="L547" t="str">
            <v>Bengawan Solo</v>
          </cell>
          <cell r="M547" t="str">
            <v>PHB</v>
          </cell>
          <cell r="N547" t="str">
            <v>-</v>
          </cell>
          <cell r="O547" t="str">
            <v>-</v>
          </cell>
          <cell r="P547" t="str">
            <v>-</v>
          </cell>
        </row>
        <row r="548">
          <cell r="B548">
            <v>350601015</v>
          </cell>
          <cell r="C548" t="str">
            <v>Tinatar</v>
          </cell>
          <cell r="D548" t="str">
            <v>-</v>
          </cell>
          <cell r="E548" t="str">
            <v>PSDA di Madiun</v>
          </cell>
          <cell r="F548" t="str">
            <v>Tinatar</v>
          </cell>
          <cell r="G548" t="str">
            <v>Punung</v>
          </cell>
          <cell r="H548" t="str">
            <v>Pacitan</v>
          </cell>
          <cell r="I548" t="str">
            <v>'111.093686</v>
          </cell>
          <cell r="J548" t="str">
            <v>'-8.087283</v>
          </cell>
          <cell r="K548" t="str">
            <v>-</v>
          </cell>
          <cell r="L548" t="str">
            <v>Bengawan Solo</v>
          </cell>
          <cell r="M548" t="str">
            <v>PHB</v>
          </cell>
          <cell r="N548" t="str">
            <v>-</v>
          </cell>
          <cell r="O548" t="str">
            <v>-</v>
          </cell>
          <cell r="P548" t="str">
            <v>-</v>
          </cell>
        </row>
        <row r="549">
          <cell r="B549">
            <v>350602001</v>
          </cell>
          <cell r="C549" t="str">
            <v>Ponorogo</v>
          </cell>
          <cell r="D549" t="str">
            <v>-</v>
          </cell>
          <cell r="E549" t="str">
            <v>PSDA di Madiun</v>
          </cell>
          <cell r="F549" t="str">
            <v>Bangunsari</v>
          </cell>
          <cell r="G549" t="str">
            <v>Ponorogo</v>
          </cell>
          <cell r="H549" t="str">
            <v>Ponorogo</v>
          </cell>
          <cell r="I549" t="str">
            <v>'111.474208</v>
          </cell>
          <cell r="J549" t="str">
            <v>'-7.870981</v>
          </cell>
          <cell r="K549" t="str">
            <v>-</v>
          </cell>
          <cell r="L549" t="str">
            <v>Bengawan Solo</v>
          </cell>
          <cell r="M549" t="str">
            <v>PHB</v>
          </cell>
          <cell r="N549" t="str">
            <v>-</v>
          </cell>
          <cell r="O549" t="str">
            <v>-</v>
          </cell>
          <cell r="P549" t="str">
            <v>-</v>
          </cell>
        </row>
        <row r="550">
          <cell r="B550">
            <v>350602002</v>
          </cell>
          <cell r="C550" t="str">
            <v>Babadan PNG</v>
          </cell>
          <cell r="D550" t="str">
            <v>-</v>
          </cell>
          <cell r="E550" t="str">
            <v>PSDA di Madiun</v>
          </cell>
          <cell r="F550" t="str">
            <v>Pondok</v>
          </cell>
          <cell r="G550" t="str">
            <v>Babadan</v>
          </cell>
          <cell r="H550" t="str">
            <v>Ponorogo</v>
          </cell>
          <cell r="I550" t="str">
            <v>'111.500753</v>
          </cell>
          <cell r="J550" t="str">
            <v>'-7.813880</v>
          </cell>
          <cell r="K550" t="str">
            <v>-</v>
          </cell>
          <cell r="L550" t="str">
            <v>Bengawan Solo</v>
          </cell>
          <cell r="M550" t="str">
            <v>PHB</v>
          </cell>
          <cell r="N550" t="str">
            <v>-</v>
          </cell>
          <cell r="O550" t="str">
            <v>-</v>
          </cell>
          <cell r="P550" t="str">
            <v>-</v>
          </cell>
        </row>
        <row r="551">
          <cell r="B551">
            <v>350602003</v>
          </cell>
          <cell r="C551" t="str">
            <v>Kesugihan</v>
          </cell>
          <cell r="D551" t="str">
            <v>-</v>
          </cell>
          <cell r="E551" t="str">
            <v>PSDA di Madiun</v>
          </cell>
          <cell r="F551" t="str">
            <v>Plunturan</v>
          </cell>
          <cell r="G551" t="str">
            <v>Pulung</v>
          </cell>
          <cell r="H551" t="str">
            <v>Ponorogo</v>
          </cell>
          <cell r="I551" t="str">
            <v>'111.61390</v>
          </cell>
          <cell r="J551" t="str">
            <v>'-7.843900</v>
          </cell>
          <cell r="K551" t="str">
            <v>-</v>
          </cell>
          <cell r="L551" t="str">
            <v>Bengawan Solo</v>
          </cell>
          <cell r="M551" t="str">
            <v>PHB</v>
          </cell>
          <cell r="N551" t="str">
            <v>-</v>
          </cell>
          <cell r="O551" t="str">
            <v>-</v>
          </cell>
          <cell r="P551" t="str">
            <v>-</v>
          </cell>
        </row>
        <row r="552">
          <cell r="B552">
            <v>350602004</v>
          </cell>
          <cell r="C552" t="str">
            <v>Pulung</v>
          </cell>
          <cell r="D552" t="str">
            <v>-</v>
          </cell>
          <cell r="E552" t="str">
            <v>PSDA di Madiun</v>
          </cell>
          <cell r="F552" t="str">
            <v>Pulung</v>
          </cell>
          <cell r="G552" t="str">
            <v>Pulung</v>
          </cell>
          <cell r="H552" t="str">
            <v>Ponorogo</v>
          </cell>
          <cell r="I552" t="str">
            <v>'111.61890</v>
          </cell>
          <cell r="J552" t="str">
            <v>'-7.85830</v>
          </cell>
          <cell r="K552" t="str">
            <v>-</v>
          </cell>
          <cell r="L552" t="str">
            <v>Bengawan Solo</v>
          </cell>
          <cell r="M552" t="str">
            <v>PHB</v>
          </cell>
          <cell r="N552" t="str">
            <v>-</v>
          </cell>
          <cell r="O552" t="str">
            <v>-</v>
          </cell>
          <cell r="P552" t="str">
            <v>-</v>
          </cell>
        </row>
        <row r="553">
          <cell r="B553">
            <v>350602005</v>
          </cell>
          <cell r="C553" t="str">
            <v>Pudak</v>
          </cell>
          <cell r="D553" t="str">
            <v>-</v>
          </cell>
          <cell r="E553" t="str">
            <v>PSDA di Madiun</v>
          </cell>
          <cell r="F553" t="str">
            <v>Pudak</v>
          </cell>
          <cell r="G553" t="str">
            <v>Sooko</v>
          </cell>
          <cell r="H553" t="str">
            <v>Ponorogo</v>
          </cell>
          <cell r="I553" t="str">
            <v>'111.71280</v>
          </cell>
          <cell r="J553" t="str">
            <v>'-7.871100</v>
          </cell>
          <cell r="K553" t="str">
            <v>-</v>
          </cell>
          <cell r="L553" t="str">
            <v>Bengawan Solo</v>
          </cell>
          <cell r="M553" t="str">
            <v>PHB</v>
          </cell>
          <cell r="N553" t="str">
            <v>-</v>
          </cell>
          <cell r="O553" t="str">
            <v>-</v>
          </cell>
          <cell r="P553" t="str">
            <v>-</v>
          </cell>
        </row>
        <row r="554">
          <cell r="B554">
            <v>350602006</v>
          </cell>
          <cell r="C554" t="str">
            <v>Sooko</v>
          </cell>
          <cell r="D554" t="str">
            <v>-</v>
          </cell>
          <cell r="E554" t="str">
            <v>PSDA di Madiun</v>
          </cell>
          <cell r="F554" t="str">
            <v>Sooko</v>
          </cell>
          <cell r="G554" t="str">
            <v>Sooko</v>
          </cell>
          <cell r="H554" t="str">
            <v>Ponorogo</v>
          </cell>
          <cell r="I554" t="str">
            <v>'111.670114</v>
          </cell>
          <cell r="J554" t="str">
            <v>'-7.909158</v>
          </cell>
          <cell r="K554" t="str">
            <v>-</v>
          </cell>
          <cell r="L554" t="str">
            <v>Bengawan Solo</v>
          </cell>
          <cell r="M554" t="str">
            <v>PHB</v>
          </cell>
          <cell r="N554" t="str">
            <v>-</v>
          </cell>
          <cell r="O554" t="str">
            <v>-</v>
          </cell>
          <cell r="P554" t="str">
            <v>-</v>
          </cell>
        </row>
        <row r="555">
          <cell r="B555">
            <v>350602007</v>
          </cell>
          <cell r="C555" t="str">
            <v>Sawoo</v>
          </cell>
          <cell r="D555" t="str">
            <v>-</v>
          </cell>
          <cell r="E555" t="str">
            <v>PSDA di Madiun</v>
          </cell>
          <cell r="F555" t="str">
            <v>Prayungan</v>
          </cell>
          <cell r="G555" t="str">
            <v>Sooko</v>
          </cell>
          <cell r="H555" t="str">
            <v>Ponorogo</v>
          </cell>
          <cell r="I555" t="str">
            <v>'111.569200</v>
          </cell>
          <cell r="J555" t="str">
            <v>'-7.968900</v>
          </cell>
          <cell r="K555" t="str">
            <v>-</v>
          </cell>
          <cell r="L555" t="str">
            <v>Bengawan Solo</v>
          </cell>
          <cell r="M555" t="str">
            <v>PHB</v>
          </cell>
          <cell r="N555" t="str">
            <v>-</v>
          </cell>
          <cell r="O555" t="str">
            <v>-</v>
          </cell>
          <cell r="P555" t="str">
            <v>-</v>
          </cell>
        </row>
        <row r="556">
          <cell r="B556">
            <v>350602008</v>
          </cell>
          <cell r="C556" t="str">
            <v>Kori</v>
          </cell>
          <cell r="D556" t="str">
            <v>-</v>
          </cell>
          <cell r="E556" t="str">
            <v>PSDA di Madiun</v>
          </cell>
          <cell r="F556" t="str">
            <v>Kori</v>
          </cell>
          <cell r="G556" t="str">
            <v>Sambit</v>
          </cell>
          <cell r="H556" t="str">
            <v>Ponorogo</v>
          </cell>
          <cell r="I556" t="str">
            <v>'111.54530</v>
          </cell>
          <cell r="J556" t="str">
            <v>'-7.91371</v>
          </cell>
          <cell r="K556" t="str">
            <v>-</v>
          </cell>
          <cell r="L556" t="str">
            <v>Bengawan Solo</v>
          </cell>
          <cell r="M556" t="str">
            <v>PHB</v>
          </cell>
          <cell r="N556" t="str">
            <v>-</v>
          </cell>
          <cell r="O556" t="str">
            <v>-</v>
          </cell>
          <cell r="P556" t="str">
            <v>-</v>
          </cell>
        </row>
        <row r="557">
          <cell r="B557">
            <v>350602009</v>
          </cell>
          <cell r="C557" t="str">
            <v>Sewatu</v>
          </cell>
          <cell r="D557" t="str">
            <v>-</v>
          </cell>
          <cell r="E557" t="str">
            <v>PSDA di Madiun</v>
          </cell>
          <cell r="F557" t="str">
            <v>Serangan</v>
          </cell>
          <cell r="G557" t="str">
            <v>Mlarak</v>
          </cell>
          <cell r="H557" t="str">
            <v>Ponorogo</v>
          </cell>
          <cell r="I557" t="str">
            <v>'111.58471</v>
          </cell>
          <cell r="J557" t="str">
            <v>'-7.90763</v>
          </cell>
          <cell r="K557" t="str">
            <v>-</v>
          </cell>
          <cell r="L557" t="str">
            <v>Bengawan Solo</v>
          </cell>
          <cell r="M557" t="str">
            <v>PHB</v>
          </cell>
          <cell r="N557" t="str">
            <v>-</v>
          </cell>
          <cell r="O557" t="str">
            <v>-</v>
          </cell>
          <cell r="P557" t="str">
            <v>-</v>
          </cell>
        </row>
        <row r="558">
          <cell r="B558">
            <v>350602010</v>
          </cell>
          <cell r="C558" t="str">
            <v>Slahung</v>
          </cell>
          <cell r="D558" t="str">
            <v>-</v>
          </cell>
          <cell r="E558" t="str">
            <v>PSDA di Madiun</v>
          </cell>
          <cell r="F558" t="str">
            <v>Slahung</v>
          </cell>
          <cell r="G558" t="str">
            <v>Slahung</v>
          </cell>
          <cell r="H558" t="str">
            <v>Ponorogo</v>
          </cell>
          <cell r="I558" t="str">
            <v>'111.415300</v>
          </cell>
          <cell r="J558" t="str">
            <v>'-8.020800</v>
          </cell>
          <cell r="K558" t="str">
            <v>-</v>
          </cell>
          <cell r="L558" t="str">
            <v>Bengawan Solo</v>
          </cell>
          <cell r="M558" t="str">
            <v>PHB</v>
          </cell>
          <cell r="N558" t="str">
            <v>-</v>
          </cell>
          <cell r="O558" t="str">
            <v>-</v>
          </cell>
          <cell r="P558" t="str">
            <v>-</v>
          </cell>
        </row>
        <row r="559">
          <cell r="B559">
            <v>350602011</v>
          </cell>
          <cell r="C559" t="str">
            <v>Sampung</v>
          </cell>
          <cell r="D559" t="str">
            <v>-</v>
          </cell>
          <cell r="E559" t="str">
            <v>PSDA di Madiun</v>
          </cell>
          <cell r="F559" t="str">
            <v>Sampung</v>
          </cell>
          <cell r="G559" t="str">
            <v>Sampung</v>
          </cell>
          <cell r="H559" t="str">
            <v>Ponorogo</v>
          </cell>
          <cell r="I559" t="str">
            <v>'111.32621</v>
          </cell>
          <cell r="J559" t="str">
            <v>'-7.86455</v>
          </cell>
          <cell r="K559" t="str">
            <v>-</v>
          </cell>
          <cell r="L559" t="str">
            <v>Bengawan Solo</v>
          </cell>
          <cell r="M559" t="str">
            <v>PHB</v>
          </cell>
          <cell r="N559" t="str">
            <v>-</v>
          </cell>
          <cell r="O559" t="str">
            <v>-</v>
          </cell>
          <cell r="P559" t="str">
            <v>-</v>
          </cell>
        </row>
        <row r="560">
          <cell r="B560">
            <v>350602012</v>
          </cell>
          <cell r="C560" t="str">
            <v>Balong</v>
          </cell>
          <cell r="D560" t="str">
            <v>-</v>
          </cell>
          <cell r="E560" t="str">
            <v>PSDA di Madiun</v>
          </cell>
          <cell r="F560" t="str">
            <v>Balong</v>
          </cell>
          <cell r="G560" t="str">
            <v>Balong</v>
          </cell>
          <cell r="H560" t="str">
            <v>Ponorogo</v>
          </cell>
          <cell r="I560" t="str">
            <v>'111.42970</v>
          </cell>
          <cell r="J560" t="str">
            <v>'-7.95000</v>
          </cell>
          <cell r="K560" t="str">
            <v>-</v>
          </cell>
          <cell r="L560" t="str">
            <v>Bengawan Solo</v>
          </cell>
          <cell r="M560" t="str">
            <v>PHB</v>
          </cell>
          <cell r="N560" t="str">
            <v>-</v>
          </cell>
          <cell r="O560" t="str">
            <v>-</v>
          </cell>
          <cell r="P560" t="str">
            <v>-</v>
          </cell>
        </row>
        <row r="561">
          <cell r="B561">
            <v>350602013</v>
          </cell>
          <cell r="C561" t="str">
            <v>Sungkur</v>
          </cell>
          <cell r="D561" t="str">
            <v>-</v>
          </cell>
          <cell r="E561" t="str">
            <v>PSDA di Madiun</v>
          </cell>
          <cell r="F561" t="str">
            <v>Blembem</v>
          </cell>
          <cell r="G561" t="str">
            <v>Badegan</v>
          </cell>
          <cell r="H561" t="str">
            <v>Ponorogo</v>
          </cell>
          <cell r="I561" t="str">
            <v>'111.37460</v>
          </cell>
          <cell r="J561" t="str">
            <v>'-7.87855</v>
          </cell>
          <cell r="K561" t="str">
            <v>-</v>
          </cell>
          <cell r="L561" t="str">
            <v>Bengawan Solo</v>
          </cell>
          <cell r="M561" t="str">
            <v>PHB</v>
          </cell>
          <cell r="N561" t="str">
            <v>-</v>
          </cell>
          <cell r="O561" t="str">
            <v>-</v>
          </cell>
          <cell r="P561" t="str">
            <v>-</v>
          </cell>
        </row>
        <row r="562">
          <cell r="B562">
            <v>350602014</v>
          </cell>
          <cell r="C562" t="str">
            <v>Purwantoro</v>
          </cell>
          <cell r="D562" t="str">
            <v>-</v>
          </cell>
          <cell r="E562" t="str">
            <v>PSDA di Madiun</v>
          </cell>
          <cell r="F562" t="str">
            <v>Purwantoro</v>
          </cell>
          <cell r="G562" t="str">
            <v>Purwantoro</v>
          </cell>
          <cell r="H562" t="str">
            <v>Ponorogo</v>
          </cell>
          <cell r="I562" t="str">
            <v>'111.28161</v>
          </cell>
          <cell r="J562" t="str">
            <v>'-7.85224</v>
          </cell>
          <cell r="K562" t="str">
            <v>-</v>
          </cell>
          <cell r="L562" t="str">
            <v>Bengawan Solo</v>
          </cell>
          <cell r="M562" t="str">
            <v>PHB</v>
          </cell>
          <cell r="N562" t="str">
            <v>-</v>
          </cell>
          <cell r="O562" t="str">
            <v>-</v>
          </cell>
          <cell r="P562" t="str">
            <v>-</v>
          </cell>
        </row>
        <row r="563">
          <cell r="B563">
            <v>350602015</v>
          </cell>
          <cell r="C563" t="str">
            <v>Ngebel</v>
          </cell>
          <cell r="D563" t="str">
            <v>-</v>
          </cell>
          <cell r="E563" t="str">
            <v>PSDA di Madiun</v>
          </cell>
          <cell r="F563" t="str">
            <v>Wagir Lor</v>
          </cell>
          <cell r="G563" t="str">
            <v>Ngebel</v>
          </cell>
          <cell r="H563" t="str">
            <v>Ponorogo</v>
          </cell>
          <cell r="I563" t="str">
            <v>'111.63252</v>
          </cell>
          <cell r="J563" t="str">
            <v>'-7.80517</v>
          </cell>
          <cell r="K563" t="str">
            <v>-</v>
          </cell>
          <cell r="L563" t="str">
            <v>Bengawan Solo</v>
          </cell>
          <cell r="M563" t="str">
            <v>PHB</v>
          </cell>
          <cell r="N563" t="str">
            <v>-</v>
          </cell>
          <cell r="O563" t="str">
            <v>-</v>
          </cell>
          <cell r="P563" t="str">
            <v>-</v>
          </cell>
        </row>
        <row r="564">
          <cell r="B564">
            <v>350602016</v>
          </cell>
          <cell r="C564" t="str">
            <v>Talun PNG</v>
          </cell>
          <cell r="D564" t="str">
            <v>-</v>
          </cell>
          <cell r="E564" t="str">
            <v>PSDA di Madiun</v>
          </cell>
          <cell r="F564" t="str">
            <v>Talun</v>
          </cell>
          <cell r="G564" t="str">
            <v>Ngebel</v>
          </cell>
          <cell r="H564" t="str">
            <v>Ponorogo</v>
          </cell>
          <cell r="I564" t="str">
            <v>'111.65622</v>
          </cell>
          <cell r="J564" t="str">
            <v>'-7.81714</v>
          </cell>
          <cell r="K564" t="str">
            <v>-</v>
          </cell>
          <cell r="L564" t="str">
            <v>Bengawan Solo</v>
          </cell>
          <cell r="M564" t="str">
            <v>PHB</v>
          </cell>
          <cell r="N564" t="str">
            <v>-</v>
          </cell>
          <cell r="O564" t="str">
            <v>-</v>
          </cell>
          <cell r="P564" t="str">
            <v>-</v>
          </cell>
        </row>
        <row r="565">
          <cell r="B565">
            <v>350602017</v>
          </cell>
          <cell r="C565" t="str">
            <v>Bollu</v>
          </cell>
          <cell r="D565" t="str">
            <v>-</v>
          </cell>
          <cell r="E565" t="str">
            <v>PSDA di Madiun</v>
          </cell>
          <cell r="F565" t="str">
            <v>Jenangan</v>
          </cell>
          <cell r="G565" t="str">
            <v>Jenangan</v>
          </cell>
          <cell r="H565" t="str">
            <v>Ponorogo</v>
          </cell>
          <cell r="I565" t="str">
            <v>'111.5439</v>
          </cell>
          <cell r="J565" t="str">
            <v>'-7.82080</v>
          </cell>
          <cell r="K565" t="str">
            <v>-</v>
          </cell>
          <cell r="L565" t="str">
            <v>Bengawan Solo</v>
          </cell>
          <cell r="M565" t="str">
            <v>PHB</v>
          </cell>
          <cell r="N565" t="str">
            <v>-</v>
          </cell>
          <cell r="O565" t="str">
            <v>-</v>
          </cell>
          <cell r="P565" t="str">
            <v>-</v>
          </cell>
        </row>
        <row r="566">
          <cell r="B566">
            <v>350602018</v>
          </cell>
          <cell r="C566" t="str">
            <v>Wilangan</v>
          </cell>
          <cell r="D566" t="str">
            <v>-</v>
          </cell>
          <cell r="E566" t="str">
            <v>PSDA di Madiun</v>
          </cell>
          <cell r="F566" t="str">
            <v>Wilangan</v>
          </cell>
          <cell r="G566" t="str">
            <v>Sambit</v>
          </cell>
          <cell r="H566" t="str">
            <v>Ponorogo</v>
          </cell>
          <cell r="I566" t="str">
            <v>'111.52865</v>
          </cell>
          <cell r="J566" t="str">
            <v>'-7.95406</v>
          </cell>
          <cell r="K566" t="str">
            <v>-</v>
          </cell>
          <cell r="L566" t="str">
            <v>Bengawan Solo</v>
          </cell>
          <cell r="M566" t="str">
            <v>PHB</v>
          </cell>
          <cell r="N566" t="str">
            <v>-</v>
          </cell>
          <cell r="O566" t="str">
            <v>-</v>
          </cell>
          <cell r="P566" t="str">
            <v>-</v>
          </cell>
        </row>
        <row r="567">
          <cell r="B567">
            <v>350602019</v>
          </cell>
          <cell r="C567" t="str">
            <v>Ngilo - ilo</v>
          </cell>
          <cell r="D567" t="str">
            <v>-</v>
          </cell>
          <cell r="E567" t="str">
            <v>PSDA di Madiun</v>
          </cell>
          <cell r="F567" t="str">
            <v>Ngilo-Ilo</v>
          </cell>
          <cell r="G567" t="str">
            <v>Slahung</v>
          </cell>
          <cell r="H567" t="str">
            <v>Ponorogo</v>
          </cell>
          <cell r="I567" t="str">
            <v>'111.40925</v>
          </cell>
          <cell r="J567" t="str">
            <v>'-7.97655</v>
          </cell>
          <cell r="K567" t="str">
            <v>-</v>
          </cell>
          <cell r="L567" t="str">
            <v>Bengawan Solo</v>
          </cell>
          <cell r="M567" t="str">
            <v>PHB</v>
          </cell>
          <cell r="N567" t="str">
            <v>-</v>
          </cell>
          <cell r="O567" t="str">
            <v>-</v>
          </cell>
          <cell r="P567" t="str">
            <v>-</v>
          </cell>
        </row>
        <row r="568">
          <cell r="B568">
            <v>350602020</v>
          </cell>
          <cell r="C568" t="str">
            <v>Sumoroto</v>
          </cell>
          <cell r="D568" t="str">
            <v>-</v>
          </cell>
          <cell r="E568" t="str">
            <v>PSDA di Madiun</v>
          </cell>
          <cell r="F568" t="str">
            <v>Kauman</v>
          </cell>
          <cell r="G568" t="str">
            <v>Kauman</v>
          </cell>
          <cell r="H568" t="str">
            <v>Ponorogo</v>
          </cell>
          <cell r="I568" t="str">
            <v>'111.40484</v>
          </cell>
          <cell r="J568" t="str">
            <v>'-7.85474</v>
          </cell>
          <cell r="K568" t="str">
            <v>-</v>
          </cell>
          <cell r="L568" t="str">
            <v>Bengawan Solo</v>
          </cell>
          <cell r="M568" t="str">
            <v>PHB</v>
          </cell>
          <cell r="N568" t="str">
            <v>-</v>
          </cell>
          <cell r="O568" t="str">
            <v>-</v>
          </cell>
          <cell r="P568" t="str">
            <v>-</v>
          </cell>
        </row>
        <row r="569">
          <cell r="B569">
            <v>350602021</v>
          </cell>
          <cell r="C569" t="str">
            <v>Badegan</v>
          </cell>
          <cell r="D569" t="str">
            <v>-</v>
          </cell>
          <cell r="E569" t="str">
            <v>PSDA di Madiun</v>
          </cell>
          <cell r="F569" t="str">
            <v>Badegan</v>
          </cell>
          <cell r="G569" t="str">
            <v>Badegan</v>
          </cell>
          <cell r="H569" t="str">
            <v>Ponorogo</v>
          </cell>
          <cell r="I569" t="str">
            <v>'111.33132</v>
          </cell>
          <cell r="J569" t="str">
            <v>'-7.87215</v>
          </cell>
          <cell r="K569" t="str">
            <v>-</v>
          </cell>
          <cell r="L569" t="str">
            <v>Bengawan Solo</v>
          </cell>
          <cell r="M569" t="str">
            <v>PHB</v>
          </cell>
          <cell r="N569" t="str">
            <v>-</v>
          </cell>
          <cell r="O569" t="str">
            <v>-</v>
          </cell>
          <cell r="P569" t="str">
            <v>-</v>
          </cell>
        </row>
        <row r="570">
          <cell r="B570">
            <v>350602022</v>
          </cell>
          <cell r="C570" t="str">
            <v>Pohijo</v>
          </cell>
          <cell r="D570" t="str">
            <v>-</v>
          </cell>
          <cell r="E570" t="str">
            <v>PSDA di Madiun</v>
          </cell>
          <cell r="F570" t="str">
            <v>Pohijo</v>
          </cell>
          <cell r="G570" t="str">
            <v>Sampung</v>
          </cell>
          <cell r="H570" t="str">
            <v>Ponorogo</v>
          </cell>
          <cell r="I570" t="str">
            <v>'111.34108</v>
          </cell>
          <cell r="J570" t="str">
            <v>'-7.80963</v>
          </cell>
          <cell r="K570" t="str">
            <v>-</v>
          </cell>
          <cell r="L570" t="str">
            <v>Bengawan Solo</v>
          </cell>
          <cell r="M570" t="str">
            <v>PHB</v>
          </cell>
          <cell r="N570" t="str">
            <v>-</v>
          </cell>
          <cell r="O570" t="str">
            <v>-</v>
          </cell>
          <cell r="P570" t="str">
            <v>-</v>
          </cell>
        </row>
        <row r="571">
          <cell r="B571">
            <v>350602023</v>
          </cell>
          <cell r="C571" t="str">
            <v>Ngrayun</v>
          </cell>
          <cell r="D571" t="str">
            <v>-</v>
          </cell>
          <cell r="E571" t="str">
            <v>PSDA di Madiun</v>
          </cell>
          <cell r="F571" t="str">
            <v>Ngrayun</v>
          </cell>
          <cell r="G571" t="str">
            <v>Ngrayun</v>
          </cell>
          <cell r="H571" t="str">
            <v>Ponorogo</v>
          </cell>
          <cell r="I571" t="str">
            <v>'111.44670</v>
          </cell>
          <cell r="J571" t="str">
            <v>'-8.07280</v>
          </cell>
          <cell r="K571" t="str">
            <v>-</v>
          </cell>
          <cell r="L571" t="str">
            <v>Bengawan Solo</v>
          </cell>
          <cell r="M571" t="str">
            <v>PHB</v>
          </cell>
          <cell r="N571" t="str">
            <v>-</v>
          </cell>
          <cell r="O571" t="str">
            <v>-</v>
          </cell>
          <cell r="P571" t="str">
            <v>-</v>
          </cell>
        </row>
        <row r="572">
          <cell r="B572">
            <v>350619001</v>
          </cell>
          <cell r="C572" t="str">
            <v>Kantor Madiun</v>
          </cell>
          <cell r="D572" t="str">
            <v>-</v>
          </cell>
          <cell r="E572" t="str">
            <v>PSDA di Madiun</v>
          </cell>
          <cell r="F572" t="str">
            <v>Kartoharjo</v>
          </cell>
          <cell r="G572" t="str">
            <v>Kartoharjo</v>
          </cell>
          <cell r="H572" t="str">
            <v>Kota Madiun</v>
          </cell>
          <cell r="I572" t="str">
            <v>'111.52050</v>
          </cell>
          <cell r="J572" t="str">
            <v>'-7.624200</v>
          </cell>
          <cell r="K572" t="str">
            <v>-</v>
          </cell>
          <cell r="L572" t="str">
            <v>Bengawan Solo</v>
          </cell>
          <cell r="M572" t="str">
            <v>PHB</v>
          </cell>
          <cell r="N572" t="str">
            <v>-</v>
          </cell>
          <cell r="O572" t="str">
            <v>-</v>
          </cell>
          <cell r="P572" t="str">
            <v>-</v>
          </cell>
        </row>
        <row r="573">
          <cell r="B573">
            <v>350619002</v>
          </cell>
          <cell r="C573" t="str">
            <v>Pilang Kenceng</v>
          </cell>
          <cell r="D573" t="str">
            <v>-</v>
          </cell>
          <cell r="E573" t="str">
            <v>PSDA di Madiun</v>
          </cell>
          <cell r="F573" t="str">
            <v>Tlagan</v>
          </cell>
          <cell r="G573" t="str">
            <v>Pilangkenceng</v>
          </cell>
          <cell r="H573" t="str">
            <v>Madiun</v>
          </cell>
          <cell r="I573" t="str">
            <v>'111.660026</v>
          </cell>
          <cell r="J573" t="str">
            <v>'-7.484419</v>
          </cell>
          <cell r="K573" t="str">
            <v>-</v>
          </cell>
          <cell r="L573" t="str">
            <v>Bengawan Solo</v>
          </cell>
          <cell r="M573" t="str">
            <v>PHB</v>
          </cell>
          <cell r="N573" t="str">
            <v>-</v>
          </cell>
          <cell r="O573" t="str">
            <v>-</v>
          </cell>
          <cell r="P573" t="str">
            <v>-</v>
          </cell>
        </row>
        <row r="574">
          <cell r="B574">
            <v>350619003</v>
          </cell>
          <cell r="C574" t="str">
            <v>Tulung</v>
          </cell>
          <cell r="D574" t="str">
            <v>-</v>
          </cell>
          <cell r="E574" t="str">
            <v>PSDA di Madiun</v>
          </cell>
          <cell r="F574" t="str">
            <v>Saradan</v>
          </cell>
          <cell r="G574" t="str">
            <v>Saradan</v>
          </cell>
          <cell r="H574" t="str">
            <v>Madiun</v>
          </cell>
          <cell r="I574" t="str">
            <v>'111.70210</v>
          </cell>
          <cell r="J574" t="str">
            <v>'-7.50620</v>
          </cell>
          <cell r="K574" t="str">
            <v>-</v>
          </cell>
          <cell r="L574" t="str">
            <v>Bengawan Solo</v>
          </cell>
          <cell r="M574" t="str">
            <v>PHB</v>
          </cell>
          <cell r="N574" t="str">
            <v>-</v>
          </cell>
          <cell r="O574" t="str">
            <v>-</v>
          </cell>
          <cell r="P574" t="str">
            <v>-</v>
          </cell>
        </row>
        <row r="575">
          <cell r="B575">
            <v>350619004</v>
          </cell>
          <cell r="C575" t="str">
            <v>Saradan</v>
          </cell>
          <cell r="D575" t="str">
            <v>-</v>
          </cell>
          <cell r="E575" t="str">
            <v>PSDA di Madiun</v>
          </cell>
          <cell r="F575" t="str">
            <v>Sugihwaras</v>
          </cell>
          <cell r="G575" t="str">
            <v>Saradan</v>
          </cell>
          <cell r="H575" t="str">
            <v>Madiun</v>
          </cell>
          <cell r="I575" t="str">
            <v>'111.75030</v>
          </cell>
          <cell r="J575" t="str">
            <v>'-7.55330</v>
          </cell>
          <cell r="K575" t="str">
            <v>-</v>
          </cell>
          <cell r="L575" t="str">
            <v>Bengawan Solo</v>
          </cell>
          <cell r="M575" t="str">
            <v>PHB</v>
          </cell>
          <cell r="N575" t="str">
            <v>-</v>
          </cell>
          <cell r="O575" t="str">
            <v>-</v>
          </cell>
          <cell r="P575" t="str">
            <v>-</v>
          </cell>
        </row>
        <row r="576">
          <cell r="B576">
            <v>350619005</v>
          </cell>
          <cell r="C576" t="str">
            <v>Kedung Banteng</v>
          </cell>
          <cell r="D576" t="str">
            <v>-</v>
          </cell>
          <cell r="E576" t="str">
            <v>PSDA di Madiun</v>
          </cell>
          <cell r="F576" t="str">
            <v>Kedungbanteng</v>
          </cell>
          <cell r="G576" t="str">
            <v>Pilangkenceng</v>
          </cell>
          <cell r="H576" t="str">
            <v>Madiun</v>
          </cell>
          <cell r="I576" t="str">
            <v>'111.631724</v>
          </cell>
          <cell r="J576" t="str">
            <v>'-7.47483</v>
          </cell>
          <cell r="K576" t="str">
            <v>-</v>
          </cell>
          <cell r="L576" t="str">
            <v>Bengawan Solo</v>
          </cell>
          <cell r="M576" t="str">
            <v>PHB</v>
          </cell>
          <cell r="N576" t="str">
            <v>-</v>
          </cell>
          <cell r="O576" t="str">
            <v>-</v>
          </cell>
          <cell r="P576" t="str">
            <v>-</v>
          </cell>
        </row>
        <row r="577">
          <cell r="B577">
            <v>350619006</v>
          </cell>
          <cell r="C577" t="str">
            <v>Notopuro</v>
          </cell>
          <cell r="D577" t="str">
            <v>-</v>
          </cell>
          <cell r="E577" t="str">
            <v>PSDA di Madiun</v>
          </cell>
          <cell r="F577" t="str">
            <v>Duren</v>
          </cell>
          <cell r="G577" t="str">
            <v>Pilangkenceng</v>
          </cell>
          <cell r="H577" t="str">
            <v>Madiun</v>
          </cell>
          <cell r="I577" t="str">
            <v>'111.69190</v>
          </cell>
          <cell r="J577" t="str">
            <v>'-7.48370</v>
          </cell>
          <cell r="K577" t="str">
            <v>-</v>
          </cell>
          <cell r="L577" t="str">
            <v>Bengawan Solo</v>
          </cell>
          <cell r="M577" t="str">
            <v>PHB</v>
          </cell>
          <cell r="N577" t="str">
            <v>-</v>
          </cell>
          <cell r="O577" t="str">
            <v>-</v>
          </cell>
          <cell r="P577" t="str">
            <v>-</v>
          </cell>
        </row>
        <row r="578">
          <cell r="B578">
            <v>350619007</v>
          </cell>
          <cell r="C578" t="str">
            <v>Sumbersari</v>
          </cell>
          <cell r="D578" t="str">
            <v>-</v>
          </cell>
          <cell r="E578" t="str">
            <v>PSDA di Madiun</v>
          </cell>
          <cell r="F578" t="str">
            <v>Sumbersari</v>
          </cell>
          <cell r="G578" t="str">
            <v>Saradan</v>
          </cell>
          <cell r="H578" t="str">
            <v>Madiun</v>
          </cell>
          <cell r="I578" t="str">
            <v>'111.69130</v>
          </cell>
          <cell r="J578" t="str">
            <v>'-7.52310</v>
          </cell>
          <cell r="K578" t="str">
            <v>-</v>
          </cell>
          <cell r="L578" t="str">
            <v>Bengawan Solo</v>
          </cell>
          <cell r="M578" t="str">
            <v>PHB</v>
          </cell>
          <cell r="N578" t="str">
            <v>-</v>
          </cell>
          <cell r="O578" t="str">
            <v>-</v>
          </cell>
          <cell r="P578" t="str">
            <v>-</v>
          </cell>
        </row>
        <row r="579">
          <cell r="B579">
            <v>350619008</v>
          </cell>
          <cell r="C579" t="str">
            <v>Kuwu</v>
          </cell>
          <cell r="D579" t="str">
            <v>-</v>
          </cell>
          <cell r="E579" t="str">
            <v>PSDA di Madiun</v>
          </cell>
          <cell r="F579" t="str">
            <v>Kuwu</v>
          </cell>
          <cell r="G579" t="str">
            <v>Balerejo</v>
          </cell>
          <cell r="H579" t="str">
            <v>Madiun</v>
          </cell>
          <cell r="I579" t="str">
            <v>'111.616400</v>
          </cell>
          <cell r="J579" t="str">
            <v>'-7.518600</v>
          </cell>
          <cell r="K579" t="str">
            <v>-</v>
          </cell>
          <cell r="L579" t="str">
            <v>Bengawan Solo</v>
          </cell>
          <cell r="M579" t="str">
            <v>PHB</v>
          </cell>
          <cell r="N579" t="str">
            <v>-</v>
          </cell>
          <cell r="O579" t="str">
            <v>-</v>
          </cell>
          <cell r="P579" t="str">
            <v>-</v>
          </cell>
        </row>
        <row r="580">
          <cell r="B580">
            <v>350619009</v>
          </cell>
          <cell r="C580" t="str">
            <v>Muneng Madiun</v>
          </cell>
          <cell r="D580" t="str">
            <v>-</v>
          </cell>
          <cell r="E580" t="str">
            <v>PSDA di Madiun</v>
          </cell>
          <cell r="F580" t="str">
            <v>Muneng</v>
          </cell>
          <cell r="G580" t="str">
            <v>Pilangkenceng</v>
          </cell>
          <cell r="H580" t="str">
            <v>Madiun</v>
          </cell>
          <cell r="I580" t="str">
            <v>'111.616281</v>
          </cell>
          <cell r="J580" t="str">
            <v>'-7.499085</v>
          </cell>
          <cell r="K580" t="str">
            <v>-</v>
          </cell>
          <cell r="L580" t="str">
            <v>Bengawan Solo</v>
          </cell>
          <cell r="M580" t="str">
            <v>PHB</v>
          </cell>
          <cell r="N580" t="str">
            <v>-</v>
          </cell>
          <cell r="O580" t="str">
            <v>-</v>
          </cell>
          <cell r="P580" t="str">
            <v>-</v>
          </cell>
        </row>
        <row r="581">
          <cell r="B581">
            <v>350619010</v>
          </cell>
          <cell r="C581" t="str">
            <v>Sogo</v>
          </cell>
          <cell r="D581" t="str">
            <v>-</v>
          </cell>
          <cell r="E581" t="str">
            <v>PSDA di Madiun</v>
          </cell>
          <cell r="F581" t="str">
            <v>Sogo</v>
          </cell>
          <cell r="G581" t="str">
            <v>Balerejo</v>
          </cell>
          <cell r="H581" t="str">
            <v>Madiun</v>
          </cell>
          <cell r="I581" t="str">
            <v>'111.595771</v>
          </cell>
          <cell r="J581" t="str">
            <v>'-7.536114</v>
          </cell>
          <cell r="K581" t="str">
            <v>-</v>
          </cell>
          <cell r="L581" t="str">
            <v>Bengawan Solo</v>
          </cell>
          <cell r="M581" t="str">
            <v>PHB</v>
          </cell>
          <cell r="N581" t="str">
            <v>-</v>
          </cell>
          <cell r="O581" t="str">
            <v>-</v>
          </cell>
          <cell r="P581" t="str">
            <v>-</v>
          </cell>
        </row>
        <row r="582">
          <cell r="B582">
            <v>350619011</v>
          </cell>
          <cell r="C582" t="str">
            <v>Sumber Bendo</v>
          </cell>
          <cell r="D582" t="str">
            <v>-</v>
          </cell>
          <cell r="E582" t="str">
            <v>PSDA di Madiun</v>
          </cell>
          <cell r="F582" t="str">
            <v>Sumberbendo</v>
          </cell>
          <cell r="G582" t="str">
            <v>Saradan</v>
          </cell>
          <cell r="H582" t="str">
            <v>Madiun</v>
          </cell>
          <cell r="I582" t="str">
            <v>'111.741257</v>
          </cell>
          <cell r="J582" t="str">
            <v>'-7.490814</v>
          </cell>
          <cell r="K582" t="str">
            <v>-</v>
          </cell>
          <cell r="L582" t="str">
            <v>Bengawan Solo</v>
          </cell>
          <cell r="M582" t="str">
            <v>PHB</v>
          </cell>
          <cell r="N582" t="str">
            <v>-</v>
          </cell>
          <cell r="O582" t="str">
            <v>-</v>
          </cell>
          <cell r="P582" t="str">
            <v>-</v>
          </cell>
        </row>
        <row r="583">
          <cell r="B583">
            <v>350619012</v>
          </cell>
          <cell r="C583" t="str">
            <v>Kedung Rejo</v>
          </cell>
          <cell r="D583" t="str">
            <v>-</v>
          </cell>
          <cell r="E583" t="str">
            <v>PSDA di Madiun</v>
          </cell>
          <cell r="F583" t="str">
            <v>Kedungrejo</v>
          </cell>
          <cell r="G583" t="str">
            <v>Pilangkenceng</v>
          </cell>
          <cell r="H583" t="str">
            <v>Madiun</v>
          </cell>
          <cell r="I583" t="str">
            <v>'111.655600</v>
          </cell>
          <cell r="J583" t="str">
            <v>'-7.520000</v>
          </cell>
          <cell r="K583" t="str">
            <v>-</v>
          </cell>
          <cell r="L583" t="str">
            <v>Bengawan Solo</v>
          </cell>
          <cell r="M583" t="str">
            <v>PHB</v>
          </cell>
          <cell r="N583" t="str">
            <v>-</v>
          </cell>
          <cell r="O583" t="str">
            <v>-</v>
          </cell>
          <cell r="P583" t="str">
            <v>-</v>
          </cell>
        </row>
        <row r="584">
          <cell r="B584">
            <v>350619013</v>
          </cell>
          <cell r="C584" t="str">
            <v>Gemarang</v>
          </cell>
          <cell r="D584" t="str">
            <v>-</v>
          </cell>
          <cell r="E584" t="str">
            <v>PSDA di Madiun</v>
          </cell>
          <cell r="F584" t="str">
            <v>Gemarang</v>
          </cell>
          <cell r="G584" t="str">
            <v>Gemarang</v>
          </cell>
          <cell r="H584" t="str">
            <v>Madiun</v>
          </cell>
          <cell r="I584" t="str">
            <v>'111.739113</v>
          </cell>
          <cell r="J584" t="str">
            <v>'-7.665254</v>
          </cell>
          <cell r="K584" t="str">
            <v>-</v>
          </cell>
          <cell r="L584" t="str">
            <v>Bengawan Solo</v>
          </cell>
          <cell r="M584" t="str">
            <v>PHB</v>
          </cell>
          <cell r="N584" t="str">
            <v>-</v>
          </cell>
          <cell r="O584" t="str">
            <v>-</v>
          </cell>
          <cell r="P584" t="str">
            <v>-</v>
          </cell>
        </row>
        <row r="585">
          <cell r="B585">
            <v>350619014</v>
          </cell>
          <cell r="C585" t="str">
            <v>Sarangan</v>
          </cell>
          <cell r="D585" t="str">
            <v>-</v>
          </cell>
          <cell r="E585" t="str">
            <v>PSDA di Madiun</v>
          </cell>
          <cell r="F585" t="str">
            <v>Sidomulyo</v>
          </cell>
          <cell r="G585" t="str">
            <v>Wonoasri</v>
          </cell>
          <cell r="H585" t="str">
            <v>Madiun</v>
          </cell>
          <cell r="I585" t="str">
            <v>'111.62580</v>
          </cell>
          <cell r="J585" t="str">
            <v>'-7.58980</v>
          </cell>
          <cell r="K585" t="str">
            <v>-</v>
          </cell>
          <cell r="L585" t="str">
            <v>Bengawan Solo</v>
          </cell>
          <cell r="M585" t="str">
            <v>PHB</v>
          </cell>
          <cell r="N585" t="str">
            <v>-</v>
          </cell>
          <cell r="O585" t="str">
            <v>-</v>
          </cell>
          <cell r="P585" t="str">
            <v>-</v>
          </cell>
        </row>
        <row r="586">
          <cell r="B586">
            <v>350619015</v>
          </cell>
          <cell r="C586" t="str">
            <v>Caruban</v>
          </cell>
          <cell r="D586" t="str">
            <v>-</v>
          </cell>
          <cell r="E586" t="str">
            <v>PSDA di Madiun</v>
          </cell>
          <cell r="F586" t="str">
            <v>Krajan</v>
          </cell>
          <cell r="G586" t="str">
            <v>Mejayan</v>
          </cell>
          <cell r="H586" t="str">
            <v>Madiun</v>
          </cell>
          <cell r="I586" t="str">
            <v>'111.653470</v>
          </cell>
          <cell r="J586" t="str">
            <v>'-7.547690</v>
          </cell>
          <cell r="K586" t="str">
            <v>-</v>
          </cell>
          <cell r="L586" t="str">
            <v>Bengawan Solo</v>
          </cell>
          <cell r="M586" t="str">
            <v>PHB</v>
          </cell>
          <cell r="N586" t="str">
            <v>-</v>
          </cell>
          <cell r="O586" t="str">
            <v>-</v>
          </cell>
          <cell r="P586" t="str">
            <v>-</v>
          </cell>
        </row>
        <row r="587">
          <cell r="B587">
            <v>350619016</v>
          </cell>
          <cell r="C587" t="str">
            <v>Wates_MDN</v>
          </cell>
          <cell r="D587" t="str">
            <v>-</v>
          </cell>
          <cell r="E587" t="str">
            <v>PSDA di Madiun</v>
          </cell>
          <cell r="F587" t="str">
            <v>Kebonagung</v>
          </cell>
          <cell r="G587" t="str">
            <v>Mejayan</v>
          </cell>
          <cell r="H587" t="str">
            <v>Madiun</v>
          </cell>
          <cell r="I587" t="str">
            <v>'111.691190</v>
          </cell>
          <cell r="J587" t="str">
            <v>'-7.609710</v>
          </cell>
          <cell r="K587" t="str">
            <v>-</v>
          </cell>
          <cell r="L587" t="str">
            <v>Bengawan Solo</v>
          </cell>
          <cell r="M587" t="str">
            <v>PHB</v>
          </cell>
          <cell r="N587" t="str">
            <v>-</v>
          </cell>
          <cell r="O587" t="str">
            <v>-</v>
          </cell>
          <cell r="P587" t="str">
            <v>-</v>
          </cell>
        </row>
        <row r="588">
          <cell r="B588">
            <v>350619017</v>
          </cell>
          <cell r="C588" t="str">
            <v>Balerejo</v>
          </cell>
          <cell r="D588" t="str">
            <v>-</v>
          </cell>
          <cell r="E588" t="str">
            <v>PSDA di Madiun</v>
          </cell>
          <cell r="F588" t="str">
            <v>Balerejo</v>
          </cell>
          <cell r="G588" t="str">
            <v>Balerejo</v>
          </cell>
          <cell r="H588" t="str">
            <v>Madiun</v>
          </cell>
          <cell r="I588" t="str">
            <v>'111.604644</v>
          </cell>
          <cell r="J588" t="str">
            <v>'-7.553139</v>
          </cell>
          <cell r="K588" t="str">
            <v>-</v>
          </cell>
          <cell r="L588" t="str">
            <v>Bengawan Solo</v>
          </cell>
          <cell r="M588" t="str">
            <v>PHB</v>
          </cell>
          <cell r="N588" t="str">
            <v>-</v>
          </cell>
          <cell r="O588" t="str">
            <v>-</v>
          </cell>
          <cell r="P588" t="str">
            <v>-</v>
          </cell>
        </row>
        <row r="589">
          <cell r="B589">
            <v>350619018</v>
          </cell>
          <cell r="C589" t="str">
            <v>Cermo</v>
          </cell>
          <cell r="D589" t="str">
            <v>-</v>
          </cell>
          <cell r="E589" t="str">
            <v>PSDA di Madiun</v>
          </cell>
          <cell r="F589" t="str">
            <v>Cermo</v>
          </cell>
          <cell r="G589" t="str">
            <v>Kare</v>
          </cell>
          <cell r="H589" t="str">
            <v>Madiun</v>
          </cell>
          <cell r="I589" t="str">
            <v>'111.70093</v>
          </cell>
          <cell r="J589" t="str">
            <v>'-7.69337</v>
          </cell>
          <cell r="K589" t="str">
            <v>-</v>
          </cell>
          <cell r="L589" t="str">
            <v>Bengawan Solo</v>
          </cell>
          <cell r="M589" t="str">
            <v>PHB</v>
          </cell>
          <cell r="N589" t="str">
            <v>-</v>
          </cell>
          <cell r="O589" t="str">
            <v>-</v>
          </cell>
          <cell r="P589" t="str">
            <v>-</v>
          </cell>
        </row>
        <row r="590">
          <cell r="B590">
            <v>350619019</v>
          </cell>
          <cell r="C590" t="str">
            <v>Dawuhan</v>
          </cell>
          <cell r="D590" t="str">
            <v>-</v>
          </cell>
          <cell r="E590" t="str">
            <v>PSDA di Madiun</v>
          </cell>
          <cell r="F590" t="str">
            <v>Sidomulyo</v>
          </cell>
          <cell r="G590" t="str">
            <v>Wonoasri</v>
          </cell>
          <cell r="H590" t="str">
            <v>Madiun</v>
          </cell>
          <cell r="I590" t="str">
            <v>'111.627662</v>
          </cell>
          <cell r="J590" t="str">
            <v>'-7.594896</v>
          </cell>
          <cell r="K590" t="str">
            <v>-</v>
          </cell>
          <cell r="L590" t="str">
            <v>Bengawan Solo</v>
          </cell>
          <cell r="M590" t="str">
            <v>PHB</v>
          </cell>
          <cell r="N590" t="str">
            <v>-</v>
          </cell>
          <cell r="O590" t="str">
            <v>-</v>
          </cell>
          <cell r="P590" t="str">
            <v>-</v>
          </cell>
        </row>
        <row r="591">
          <cell r="B591">
            <v>350619020</v>
          </cell>
          <cell r="C591" t="str">
            <v>Babadan MDN</v>
          </cell>
          <cell r="D591" t="str">
            <v>-</v>
          </cell>
          <cell r="E591" t="str">
            <v>PSDA di Madiun</v>
          </cell>
          <cell r="F591" t="str">
            <v>Babadan</v>
          </cell>
          <cell r="G591" t="str">
            <v>Madiun</v>
          </cell>
          <cell r="H591" t="str">
            <v>Madiun</v>
          </cell>
          <cell r="I591" t="str">
            <v>'111.592339</v>
          </cell>
          <cell r="J591" t="str">
            <v>'-7.601461</v>
          </cell>
          <cell r="K591" t="str">
            <v>-</v>
          </cell>
          <cell r="L591" t="str">
            <v>Bengawan Solo</v>
          </cell>
          <cell r="M591" t="str">
            <v>PHB</v>
          </cell>
          <cell r="N591" t="str">
            <v>-</v>
          </cell>
          <cell r="O591" t="str">
            <v>-</v>
          </cell>
          <cell r="P591" t="str">
            <v>-</v>
          </cell>
        </row>
        <row r="592">
          <cell r="B592">
            <v>350619021</v>
          </cell>
          <cell r="C592" t="str">
            <v>Cau</v>
          </cell>
          <cell r="D592" t="str">
            <v>-</v>
          </cell>
          <cell r="E592" t="str">
            <v>PSDA di Madiun</v>
          </cell>
          <cell r="F592" t="str">
            <v>Kuwiran</v>
          </cell>
          <cell r="G592" t="str">
            <v>Kare</v>
          </cell>
          <cell r="H592" t="str">
            <v>Madiun</v>
          </cell>
          <cell r="I592" t="str">
            <v>'111.634900</v>
          </cell>
          <cell r="J592" t="str">
            <v>'-7.695600</v>
          </cell>
          <cell r="K592" t="str">
            <v>-</v>
          </cell>
          <cell r="L592" t="str">
            <v>Bengawan Solo</v>
          </cell>
          <cell r="M592" t="str">
            <v>PHB</v>
          </cell>
          <cell r="N592" t="str">
            <v>-</v>
          </cell>
          <cell r="O592" t="str">
            <v>-</v>
          </cell>
          <cell r="P592" t="str">
            <v>-</v>
          </cell>
        </row>
        <row r="593">
          <cell r="B593">
            <v>350619022</v>
          </cell>
          <cell r="C593" t="str">
            <v>Kandangan</v>
          </cell>
          <cell r="D593" t="str">
            <v>-</v>
          </cell>
          <cell r="E593" t="str">
            <v>PSDA di Madiun</v>
          </cell>
          <cell r="F593" t="str">
            <v>Kandangan</v>
          </cell>
          <cell r="G593" t="str">
            <v>Kare</v>
          </cell>
          <cell r="H593" t="str">
            <v>Madiun</v>
          </cell>
          <cell r="I593" t="str">
            <v>'111.69920</v>
          </cell>
          <cell r="J593" t="str">
            <v>'-7.75860</v>
          </cell>
          <cell r="K593" t="str">
            <v>-</v>
          </cell>
          <cell r="L593" t="str">
            <v>Bengawan Solo</v>
          </cell>
          <cell r="M593" t="str">
            <v>PHB</v>
          </cell>
          <cell r="N593" t="str">
            <v>-</v>
          </cell>
          <cell r="O593" t="str">
            <v>-</v>
          </cell>
          <cell r="P593" t="str">
            <v>-</v>
          </cell>
        </row>
        <row r="594">
          <cell r="B594">
            <v>350619023</v>
          </cell>
          <cell r="C594" t="str">
            <v>Catur</v>
          </cell>
          <cell r="D594" t="str">
            <v>-</v>
          </cell>
          <cell r="E594" t="str">
            <v>PSDA di Madiun</v>
          </cell>
          <cell r="F594" t="str">
            <v>Kare</v>
          </cell>
          <cell r="G594" t="str">
            <v>Kare</v>
          </cell>
          <cell r="H594" t="str">
            <v>Madiun</v>
          </cell>
          <cell r="I594" t="str">
            <v>'111.68280</v>
          </cell>
          <cell r="J594" t="str">
            <v>'-7.73670</v>
          </cell>
          <cell r="K594" t="str">
            <v>-</v>
          </cell>
          <cell r="L594" t="str">
            <v>Bengawan Solo</v>
          </cell>
          <cell r="M594" t="str">
            <v>PHB</v>
          </cell>
          <cell r="N594" t="str">
            <v>-</v>
          </cell>
          <cell r="O594" t="str">
            <v>-</v>
          </cell>
          <cell r="P594" t="str">
            <v>-</v>
          </cell>
        </row>
        <row r="595">
          <cell r="B595">
            <v>350619024</v>
          </cell>
          <cell r="C595" t="str">
            <v>Giringan</v>
          </cell>
          <cell r="D595" t="str">
            <v>-</v>
          </cell>
          <cell r="E595" t="str">
            <v>PSDA di Madiun</v>
          </cell>
          <cell r="F595" t="str">
            <v>Kare</v>
          </cell>
          <cell r="G595" t="str">
            <v>Kare</v>
          </cell>
          <cell r="H595" t="str">
            <v>Madiun</v>
          </cell>
          <cell r="I595" t="str">
            <v>'111.67420</v>
          </cell>
          <cell r="J595" t="str">
            <v>'-7.72110</v>
          </cell>
          <cell r="K595" t="str">
            <v>-</v>
          </cell>
          <cell r="L595" t="str">
            <v>Bengawan Solo</v>
          </cell>
          <cell r="M595" t="str">
            <v>PHB</v>
          </cell>
          <cell r="N595" t="str">
            <v>-</v>
          </cell>
          <cell r="O595" t="str">
            <v>-</v>
          </cell>
          <cell r="P595" t="str">
            <v>-</v>
          </cell>
        </row>
        <row r="596">
          <cell r="B596">
            <v>350619025</v>
          </cell>
          <cell r="C596" t="str">
            <v>Dungus</v>
          </cell>
          <cell r="D596" t="str">
            <v>-</v>
          </cell>
          <cell r="E596" t="str">
            <v>PSDA di Madiun</v>
          </cell>
          <cell r="F596" t="str">
            <v>Dungus</v>
          </cell>
          <cell r="G596" t="str">
            <v>Wungu</v>
          </cell>
          <cell r="H596" t="str">
            <v>Madiun</v>
          </cell>
          <cell r="I596" t="str">
            <v>'111.61112</v>
          </cell>
          <cell r="J596" t="str">
            <v>'-7.686470</v>
          </cell>
          <cell r="K596" t="str">
            <v>-</v>
          </cell>
          <cell r="L596" t="str">
            <v>Bengawan Solo</v>
          </cell>
          <cell r="M596" t="str">
            <v>PHB</v>
          </cell>
          <cell r="N596" t="str">
            <v>-</v>
          </cell>
          <cell r="O596" t="str">
            <v>-</v>
          </cell>
          <cell r="P596" t="str">
            <v>-</v>
          </cell>
        </row>
        <row r="597">
          <cell r="B597">
            <v>350619026</v>
          </cell>
          <cell r="C597" t="str">
            <v>Kare</v>
          </cell>
          <cell r="D597" t="str">
            <v>-</v>
          </cell>
          <cell r="E597" t="str">
            <v>PSDA di Madiun</v>
          </cell>
          <cell r="F597" t="str">
            <v>Gondosuli</v>
          </cell>
          <cell r="G597" t="str">
            <v>Kare</v>
          </cell>
          <cell r="H597" t="str">
            <v>Madiun</v>
          </cell>
          <cell r="I597" t="str">
            <v>'111.688600</v>
          </cell>
          <cell r="J597" t="str">
            <v>'-7.718900</v>
          </cell>
          <cell r="K597" t="str">
            <v>-</v>
          </cell>
          <cell r="L597" t="str">
            <v>Bengawan Solo</v>
          </cell>
          <cell r="M597" t="str">
            <v>PHB</v>
          </cell>
          <cell r="N597" t="str">
            <v>-</v>
          </cell>
          <cell r="O597" t="str">
            <v>-</v>
          </cell>
          <cell r="P597" t="str">
            <v>-</v>
          </cell>
        </row>
        <row r="598">
          <cell r="B598">
            <v>350619027</v>
          </cell>
          <cell r="C598" t="str">
            <v>Pg. Rejoagung</v>
          </cell>
          <cell r="D598" t="str">
            <v>-</v>
          </cell>
          <cell r="E598" t="str">
            <v>PSDA di Madiun</v>
          </cell>
          <cell r="F598" t="str">
            <v>Patihan</v>
          </cell>
          <cell r="G598" t="str">
            <v>Manguharjo</v>
          </cell>
          <cell r="H598" t="str">
            <v>Kota Madiun</v>
          </cell>
          <cell r="I598" t="str">
            <v>'111.52890</v>
          </cell>
          <cell r="J598" t="str">
            <v>'-7.608400</v>
          </cell>
          <cell r="K598" t="str">
            <v>-</v>
          </cell>
          <cell r="L598" t="str">
            <v>Bengawan Solo</v>
          </cell>
          <cell r="M598" t="str">
            <v>PHB</v>
          </cell>
          <cell r="N598" t="str">
            <v>-</v>
          </cell>
          <cell r="O598" t="str">
            <v>-</v>
          </cell>
          <cell r="P598" t="str">
            <v>-</v>
          </cell>
        </row>
        <row r="599">
          <cell r="B599">
            <v>350619028</v>
          </cell>
          <cell r="C599" t="str">
            <v>Pg.Kanigoro</v>
          </cell>
          <cell r="D599" t="str">
            <v>-</v>
          </cell>
          <cell r="E599" t="str">
            <v>PSDA di Madiun</v>
          </cell>
          <cell r="F599" t="str">
            <v>Kanigoro</v>
          </cell>
          <cell r="G599" t="str">
            <v>Geger</v>
          </cell>
          <cell r="H599" t="str">
            <v>Madiun</v>
          </cell>
          <cell r="I599" t="str">
            <v>'111.53610</v>
          </cell>
          <cell r="J599" t="str">
            <v>'-7.65970</v>
          </cell>
          <cell r="K599" t="str">
            <v>-</v>
          </cell>
          <cell r="L599" t="str">
            <v>Bengawan Solo</v>
          </cell>
          <cell r="M599" t="str">
            <v>PHB</v>
          </cell>
          <cell r="N599" t="str">
            <v>-</v>
          </cell>
          <cell r="O599" t="str">
            <v>-</v>
          </cell>
          <cell r="P599" t="str">
            <v>-</v>
          </cell>
        </row>
        <row r="600">
          <cell r="B600">
            <v>350619029</v>
          </cell>
          <cell r="C600" t="str">
            <v>Kertobanyon</v>
          </cell>
          <cell r="D600" t="str">
            <v>-</v>
          </cell>
          <cell r="E600" t="str">
            <v>PSDA di Madiun</v>
          </cell>
          <cell r="F600" t="str">
            <v>Kertobanyon</v>
          </cell>
          <cell r="G600" t="str">
            <v>Geger</v>
          </cell>
          <cell r="H600" t="str">
            <v>Madiun</v>
          </cell>
          <cell r="I600" t="str">
            <v>'111.531717</v>
          </cell>
          <cell r="J600" t="str">
            <v>'-7.672231</v>
          </cell>
          <cell r="K600" t="str">
            <v>-</v>
          </cell>
          <cell r="L600" t="str">
            <v>Bengawan Solo</v>
          </cell>
          <cell r="M600" t="str">
            <v>PHB</v>
          </cell>
          <cell r="N600" t="str">
            <v>-</v>
          </cell>
          <cell r="O600" t="str">
            <v>-</v>
          </cell>
          <cell r="P600" t="str">
            <v>-</v>
          </cell>
        </row>
        <row r="601">
          <cell r="B601">
            <v>350619030</v>
          </cell>
          <cell r="C601" t="str">
            <v>Klegen</v>
          </cell>
          <cell r="D601" t="str">
            <v>-</v>
          </cell>
          <cell r="E601" t="str">
            <v>PSDA di Madiun</v>
          </cell>
          <cell r="F601" t="str">
            <v>Klegen</v>
          </cell>
          <cell r="G601" t="str">
            <v>Kartoharjo</v>
          </cell>
          <cell r="H601" t="str">
            <v>Kota Madiun</v>
          </cell>
          <cell r="I601" t="str">
            <v>'111.531766</v>
          </cell>
          <cell r="J601" t="str">
            <v>'-7.625089</v>
          </cell>
          <cell r="K601" t="str">
            <v>-</v>
          </cell>
          <cell r="L601" t="str">
            <v>Bengawan Solo</v>
          </cell>
          <cell r="M601" t="str">
            <v>PHB</v>
          </cell>
          <cell r="N601" t="str">
            <v>-</v>
          </cell>
          <cell r="O601" t="str">
            <v>-</v>
          </cell>
          <cell r="P601" t="str">
            <v>-</v>
          </cell>
        </row>
        <row r="602">
          <cell r="B602">
            <v>350619031</v>
          </cell>
          <cell r="C602" t="str">
            <v>Pg.Pagotan</v>
          </cell>
          <cell r="D602" t="str">
            <v>-</v>
          </cell>
          <cell r="E602" t="str">
            <v>PSDA di Madiun</v>
          </cell>
          <cell r="F602" t="str">
            <v>Pagotan</v>
          </cell>
          <cell r="G602" t="str">
            <v>Geger</v>
          </cell>
          <cell r="H602" t="str">
            <v>Madiun</v>
          </cell>
          <cell r="I602" t="str">
            <v>'111.53690</v>
          </cell>
          <cell r="J602" t="str">
            <v>'-7.70280</v>
          </cell>
          <cell r="K602" t="str">
            <v>-</v>
          </cell>
          <cell r="L602" t="str">
            <v>Bengawan Solo</v>
          </cell>
          <cell r="M602" t="str">
            <v>PHB</v>
          </cell>
          <cell r="N602" t="str">
            <v>-</v>
          </cell>
          <cell r="O602" t="str">
            <v>-</v>
          </cell>
          <cell r="P602" t="str">
            <v>-</v>
          </cell>
        </row>
        <row r="603">
          <cell r="B603">
            <v>350619032</v>
          </cell>
          <cell r="C603" t="str">
            <v>Gombal</v>
          </cell>
          <cell r="D603" t="str">
            <v>-</v>
          </cell>
          <cell r="E603" t="str">
            <v>PSDA di Madiun</v>
          </cell>
          <cell r="F603" t="str">
            <v>Mlilir</v>
          </cell>
          <cell r="G603" t="str">
            <v>Dolopo</v>
          </cell>
          <cell r="H603" t="str">
            <v>Madiun</v>
          </cell>
          <cell r="I603" t="str">
            <v>'111.521043</v>
          </cell>
          <cell r="J603" t="str">
            <v>'-7.798504</v>
          </cell>
          <cell r="K603" t="str">
            <v>-</v>
          </cell>
          <cell r="L603" t="str">
            <v>Bengawan Solo</v>
          </cell>
          <cell r="M603" t="str">
            <v>PHB</v>
          </cell>
          <cell r="N603" t="str">
            <v>-</v>
          </cell>
          <cell r="O603" t="str">
            <v>-</v>
          </cell>
          <cell r="P603" t="str">
            <v>-</v>
          </cell>
        </row>
        <row r="604">
          <cell r="B604">
            <v>350619033</v>
          </cell>
          <cell r="C604" t="str">
            <v>Sareng</v>
          </cell>
          <cell r="D604" t="str">
            <v>-</v>
          </cell>
          <cell r="E604" t="str">
            <v>PSDA di Madiun</v>
          </cell>
          <cell r="F604" t="str">
            <v>Sareng</v>
          </cell>
          <cell r="G604" t="str">
            <v>Geger</v>
          </cell>
          <cell r="H604" t="str">
            <v>Madiun</v>
          </cell>
          <cell r="I604" t="str">
            <v>'111.554317</v>
          </cell>
          <cell r="J604" t="str">
            <v>'-7.746804</v>
          </cell>
          <cell r="K604" t="str">
            <v>-</v>
          </cell>
          <cell r="L604" t="str">
            <v>Bengawan Solo</v>
          </cell>
          <cell r="M604" t="str">
            <v>PHB</v>
          </cell>
          <cell r="N604" t="str">
            <v>-</v>
          </cell>
          <cell r="O604" t="str">
            <v>-</v>
          </cell>
          <cell r="P604" t="str">
            <v>-</v>
          </cell>
        </row>
        <row r="605">
          <cell r="B605">
            <v>350619034</v>
          </cell>
          <cell r="C605" t="str">
            <v>Dolopo</v>
          </cell>
          <cell r="D605" t="str">
            <v>-</v>
          </cell>
          <cell r="E605" t="str">
            <v>PSDA di Madiun</v>
          </cell>
          <cell r="F605" t="str">
            <v>Dolopo</v>
          </cell>
          <cell r="G605" t="str">
            <v>Dolopo</v>
          </cell>
          <cell r="H605" t="str">
            <v>Madiun</v>
          </cell>
          <cell r="I605" t="str">
            <v>'111.528969</v>
          </cell>
          <cell r="J605" t="str">
            <v>'-7.751308</v>
          </cell>
          <cell r="K605" t="str">
            <v>-</v>
          </cell>
          <cell r="L605" t="str">
            <v>Bengawan Solo</v>
          </cell>
          <cell r="M605" t="str">
            <v>PHB</v>
          </cell>
          <cell r="N605" t="str">
            <v>-</v>
          </cell>
          <cell r="O605" t="str">
            <v>-</v>
          </cell>
          <cell r="P605" t="str">
            <v>-</v>
          </cell>
        </row>
        <row r="606">
          <cell r="B606">
            <v>350619035</v>
          </cell>
          <cell r="C606" t="str">
            <v>Karanganyar</v>
          </cell>
          <cell r="D606" t="str">
            <v>-</v>
          </cell>
          <cell r="E606" t="str">
            <v>PSDA di Madiun</v>
          </cell>
          <cell r="F606" t="str">
            <v>Kajang</v>
          </cell>
          <cell r="G606" t="str">
            <v>Sawahan</v>
          </cell>
          <cell r="H606" t="str">
            <v>Madiun</v>
          </cell>
          <cell r="I606" t="str">
            <v>'111.525933</v>
          </cell>
          <cell r="J606" t="str">
            <v>'-7.576931</v>
          </cell>
          <cell r="K606" t="str">
            <v>-</v>
          </cell>
          <cell r="L606" t="str">
            <v>Bengawan Solo</v>
          </cell>
          <cell r="M606" t="str">
            <v>PHB</v>
          </cell>
          <cell r="N606" t="str">
            <v>-</v>
          </cell>
          <cell r="O606" t="str">
            <v>-</v>
          </cell>
          <cell r="P606" t="str">
            <v>-</v>
          </cell>
        </row>
        <row r="607">
          <cell r="B607">
            <v>350619036</v>
          </cell>
          <cell r="C607" t="str">
            <v>Krangkeng</v>
          </cell>
          <cell r="D607" t="str">
            <v>-</v>
          </cell>
          <cell r="E607" t="str">
            <v>PSDA di Madiun</v>
          </cell>
          <cell r="F607" t="str">
            <v>Krangkeng</v>
          </cell>
          <cell r="G607" t="str">
            <v>Wungu</v>
          </cell>
          <cell r="H607" t="str">
            <v>Madiun</v>
          </cell>
          <cell r="I607" t="str">
            <v>'111.547560</v>
          </cell>
          <cell r="J607" t="str">
            <v>'-7.678367</v>
          </cell>
          <cell r="K607" t="str">
            <v>-</v>
          </cell>
          <cell r="L607" t="str">
            <v>Bengawan Solo</v>
          </cell>
          <cell r="M607" t="str">
            <v>PHB</v>
          </cell>
          <cell r="N607" t="str">
            <v>-</v>
          </cell>
          <cell r="O607" t="str">
            <v>-</v>
          </cell>
          <cell r="P607" t="str">
            <v>-</v>
          </cell>
        </row>
        <row r="608">
          <cell r="B608">
            <v>350620001</v>
          </cell>
          <cell r="C608" t="str">
            <v>Kantor Barat</v>
          </cell>
          <cell r="D608" t="str">
            <v>-</v>
          </cell>
          <cell r="E608" t="str">
            <v>PSDA di Madiun</v>
          </cell>
          <cell r="F608" t="str">
            <v>Karangsono</v>
          </cell>
          <cell r="G608" t="str">
            <v>Barat</v>
          </cell>
          <cell r="H608" t="str">
            <v>Magetan</v>
          </cell>
          <cell r="I608" t="str">
            <v>'111.44980</v>
          </cell>
          <cell r="J608" t="str">
            <v>'-7.56220</v>
          </cell>
          <cell r="K608" t="str">
            <v>-</v>
          </cell>
          <cell r="L608" t="str">
            <v>Bengawan Solo</v>
          </cell>
          <cell r="M608" t="str">
            <v>PHB</v>
          </cell>
          <cell r="N608" t="str">
            <v>-</v>
          </cell>
          <cell r="O608" t="str">
            <v>-</v>
          </cell>
          <cell r="P608" t="str">
            <v>-</v>
          </cell>
        </row>
        <row r="609">
          <cell r="B609">
            <v>350620002</v>
          </cell>
          <cell r="C609" t="str">
            <v>Karangmojo</v>
          </cell>
          <cell r="D609" t="str">
            <v>-</v>
          </cell>
          <cell r="E609" t="str">
            <v>PSDA di Madiun</v>
          </cell>
          <cell r="F609" t="str">
            <v>Karangmojo</v>
          </cell>
          <cell r="G609" t="str">
            <v>Kartoharjo</v>
          </cell>
          <cell r="H609" t="str">
            <v>Magetan</v>
          </cell>
          <cell r="I609" t="str">
            <v>'111.46205</v>
          </cell>
          <cell r="J609" t="str">
            <v>'-7.523389</v>
          </cell>
          <cell r="K609" t="str">
            <v>-</v>
          </cell>
          <cell r="L609" t="str">
            <v>Bengawan Solo</v>
          </cell>
          <cell r="M609" t="str">
            <v>PHB</v>
          </cell>
          <cell r="N609" t="str">
            <v>-</v>
          </cell>
          <cell r="O609" t="str">
            <v>-</v>
          </cell>
          <cell r="P609" t="str">
            <v>-</v>
          </cell>
        </row>
        <row r="610">
          <cell r="B610">
            <v>350620003</v>
          </cell>
          <cell r="C610" t="str">
            <v>Taji</v>
          </cell>
          <cell r="D610" t="str">
            <v>-</v>
          </cell>
          <cell r="E610" t="str">
            <v>PSDA di Madiun</v>
          </cell>
          <cell r="F610" t="str">
            <v>Taji</v>
          </cell>
          <cell r="G610" t="str">
            <v>Karangrejo</v>
          </cell>
          <cell r="H610" t="str">
            <v>Magetan</v>
          </cell>
          <cell r="I610" t="str">
            <v>'111.368389</v>
          </cell>
          <cell r="J610" t="str">
            <v>'-7.582472</v>
          </cell>
          <cell r="K610" t="str">
            <v>-</v>
          </cell>
          <cell r="L610" t="str">
            <v>Bengawan Solo</v>
          </cell>
          <cell r="M610" t="str">
            <v>PHB</v>
          </cell>
          <cell r="N610" t="str">
            <v>-</v>
          </cell>
          <cell r="O610" t="str">
            <v>-</v>
          </cell>
          <cell r="P610" t="str">
            <v>-</v>
          </cell>
        </row>
        <row r="611">
          <cell r="B611">
            <v>350620004</v>
          </cell>
          <cell r="C611" t="str">
            <v>Purwodadi</v>
          </cell>
          <cell r="D611" t="str">
            <v>-</v>
          </cell>
          <cell r="E611" t="str">
            <v>PSDA di Madiun</v>
          </cell>
          <cell r="F611" t="str">
            <v>Pelem</v>
          </cell>
          <cell r="G611" t="str">
            <v>Karangrejo</v>
          </cell>
          <cell r="H611" t="str">
            <v>Magetan</v>
          </cell>
          <cell r="I611" t="str">
            <v>'111.425972</v>
          </cell>
          <cell r="J611" t="str">
            <v>'-7.558694</v>
          </cell>
          <cell r="K611" t="str">
            <v>-</v>
          </cell>
          <cell r="L611" t="str">
            <v>Bengawan Solo</v>
          </cell>
          <cell r="M611" t="str">
            <v>PHB</v>
          </cell>
          <cell r="N611" t="str">
            <v>-</v>
          </cell>
          <cell r="O611" t="str">
            <v>-</v>
          </cell>
          <cell r="P611" t="str">
            <v>-</v>
          </cell>
        </row>
        <row r="612">
          <cell r="B612">
            <v>350620005</v>
          </cell>
          <cell r="C612" t="str">
            <v>Jungke</v>
          </cell>
          <cell r="D612" t="str">
            <v>-</v>
          </cell>
          <cell r="E612" t="str">
            <v>PSDA di Madiun</v>
          </cell>
          <cell r="F612" t="str">
            <v>Geplak</v>
          </cell>
          <cell r="G612" t="str">
            <v>Karangrejo</v>
          </cell>
          <cell r="H612" t="str">
            <v>Magetan</v>
          </cell>
          <cell r="I612" t="str">
            <v>'111.404175</v>
          </cell>
          <cell r="J612" t="str">
            <v>'-7.568958</v>
          </cell>
          <cell r="K612" t="str">
            <v>-</v>
          </cell>
          <cell r="L612" t="str">
            <v>Bengawan Solo</v>
          </cell>
          <cell r="M612" t="str">
            <v>PHB</v>
          </cell>
          <cell r="N612" t="str">
            <v>-</v>
          </cell>
          <cell r="O612" t="str">
            <v>-</v>
          </cell>
          <cell r="P612" t="str">
            <v>-</v>
          </cell>
        </row>
        <row r="613">
          <cell r="B613">
            <v>350620006</v>
          </cell>
          <cell r="C613" t="str">
            <v>Tinap</v>
          </cell>
          <cell r="D613" t="str">
            <v>-</v>
          </cell>
          <cell r="E613" t="str">
            <v>PSDA di Madiun</v>
          </cell>
          <cell r="F613" t="str">
            <v>Sugihwaras</v>
          </cell>
          <cell r="G613" t="str">
            <v>Maospati</v>
          </cell>
          <cell r="H613" t="str">
            <v>Magetan</v>
          </cell>
          <cell r="I613" t="str">
            <v>'111.413450</v>
          </cell>
          <cell r="J613" t="str">
            <v>'-7.604150</v>
          </cell>
          <cell r="K613" t="str">
            <v>-</v>
          </cell>
          <cell r="L613" t="str">
            <v>Bengawan Solo</v>
          </cell>
          <cell r="M613" t="str">
            <v>PHB</v>
          </cell>
          <cell r="N613" t="str">
            <v>-</v>
          </cell>
          <cell r="O613" t="str">
            <v>-</v>
          </cell>
          <cell r="P613" t="str">
            <v>-</v>
          </cell>
        </row>
        <row r="614">
          <cell r="B614">
            <v>350620007</v>
          </cell>
          <cell r="C614" t="str">
            <v>Bendo MGT</v>
          </cell>
          <cell r="D614" t="str">
            <v>-</v>
          </cell>
          <cell r="E614" t="str">
            <v>PSDA di Madiun</v>
          </cell>
          <cell r="F614" t="str">
            <v>Bendo</v>
          </cell>
          <cell r="G614" t="str">
            <v>Bendo</v>
          </cell>
          <cell r="H614" t="str">
            <v>Magetan</v>
          </cell>
          <cell r="I614" t="str">
            <v>'111.429575</v>
          </cell>
          <cell r="J614" t="str">
            <v>'-7.637028</v>
          </cell>
          <cell r="K614" t="str">
            <v>-</v>
          </cell>
          <cell r="L614" t="str">
            <v>Bengawan Solo</v>
          </cell>
          <cell r="M614" t="str">
            <v>PHB</v>
          </cell>
          <cell r="N614" t="str">
            <v>-</v>
          </cell>
          <cell r="O614" t="str">
            <v>-</v>
          </cell>
          <cell r="P614" t="str">
            <v>-</v>
          </cell>
        </row>
        <row r="615">
          <cell r="B615">
            <v>350620008</v>
          </cell>
          <cell r="C615" t="str">
            <v>Gandongkerik</v>
          </cell>
          <cell r="D615" t="str">
            <v>-</v>
          </cell>
          <cell r="E615" t="str">
            <v>PSDA di Madiun</v>
          </cell>
          <cell r="F615" t="str">
            <v>Tanjung</v>
          </cell>
          <cell r="G615" t="str">
            <v>Bendo</v>
          </cell>
          <cell r="H615" t="str">
            <v>Magetan</v>
          </cell>
          <cell r="I615" t="str">
            <v>'111.457806</v>
          </cell>
          <cell r="J615" t="str">
            <v>'-7.659889</v>
          </cell>
          <cell r="K615" t="str">
            <v>-</v>
          </cell>
          <cell r="L615" t="str">
            <v>Bengawan Solo</v>
          </cell>
          <cell r="M615" t="str">
            <v>PHB</v>
          </cell>
          <cell r="N615" t="str">
            <v>-</v>
          </cell>
          <cell r="O615" t="str">
            <v>-</v>
          </cell>
          <cell r="P615" t="str">
            <v>-</v>
          </cell>
        </row>
        <row r="616">
          <cell r="B616">
            <v>350620009</v>
          </cell>
          <cell r="C616" t="str">
            <v>Jejeruk</v>
          </cell>
          <cell r="D616" t="str">
            <v>-</v>
          </cell>
          <cell r="E616" t="str">
            <v>PSDA di Madiun</v>
          </cell>
          <cell r="F616" t="str">
            <v>Ringinagung</v>
          </cell>
          <cell r="G616" t="str">
            <v>Magetan</v>
          </cell>
          <cell r="H616" t="str">
            <v>Magetan</v>
          </cell>
          <cell r="I616" t="str">
            <v>'111.315222</v>
          </cell>
          <cell r="J616" t="str">
            <v>'-7.662361</v>
          </cell>
          <cell r="K616" t="str">
            <v>-</v>
          </cell>
          <cell r="L616" t="str">
            <v>Bengawan Solo</v>
          </cell>
          <cell r="M616" t="str">
            <v>PHB</v>
          </cell>
          <cell r="N616" t="str">
            <v>-</v>
          </cell>
          <cell r="O616" t="str">
            <v>-</v>
          </cell>
          <cell r="P616" t="str">
            <v>-</v>
          </cell>
        </row>
        <row r="617">
          <cell r="B617">
            <v>350620010</v>
          </cell>
          <cell r="C617" t="str">
            <v>Sumberdodol</v>
          </cell>
          <cell r="D617" t="str">
            <v>-</v>
          </cell>
          <cell r="E617" t="str">
            <v>PSDA di Madiun</v>
          </cell>
          <cell r="F617" t="str">
            <v>Sumberdodol</v>
          </cell>
          <cell r="G617" t="str">
            <v>Panekan</v>
          </cell>
          <cell r="H617" t="str">
            <v>Magetan</v>
          </cell>
          <cell r="I617" t="str">
            <v>'111.283398</v>
          </cell>
          <cell r="J617" t="str">
            <v>'-7.630775</v>
          </cell>
          <cell r="K617" t="str">
            <v>-</v>
          </cell>
          <cell r="L617" t="str">
            <v>Bengawan Solo</v>
          </cell>
          <cell r="M617" t="str">
            <v>PHB</v>
          </cell>
          <cell r="N617" t="str">
            <v>-</v>
          </cell>
          <cell r="O617" t="str">
            <v>-</v>
          </cell>
          <cell r="P617" t="str">
            <v>-</v>
          </cell>
        </row>
        <row r="618">
          <cell r="B618">
            <v>350620011</v>
          </cell>
          <cell r="C618" t="str">
            <v>Sarangan_MGT</v>
          </cell>
          <cell r="D618" t="str">
            <v>-</v>
          </cell>
          <cell r="E618" t="str">
            <v>PSDA di Madiun</v>
          </cell>
          <cell r="F618" t="str">
            <v>Sarangan</v>
          </cell>
          <cell r="G618" t="str">
            <v>Plaosan</v>
          </cell>
          <cell r="H618" t="str">
            <v>Magetan</v>
          </cell>
          <cell r="I618" t="str">
            <v>'111.21640</v>
          </cell>
          <cell r="J618" t="str">
            <v>'-7.679600</v>
          </cell>
          <cell r="K618" t="str">
            <v>-</v>
          </cell>
          <cell r="L618" t="str">
            <v>Bengawan Solo</v>
          </cell>
          <cell r="M618" t="str">
            <v>PHB</v>
          </cell>
          <cell r="N618" t="str">
            <v>-</v>
          </cell>
          <cell r="O618" t="str">
            <v>-</v>
          </cell>
          <cell r="P618" t="str">
            <v>-</v>
          </cell>
        </row>
        <row r="619">
          <cell r="B619">
            <v>350620012</v>
          </cell>
          <cell r="C619" t="str">
            <v>Nitikan</v>
          </cell>
          <cell r="D619" t="str">
            <v>-</v>
          </cell>
          <cell r="E619" t="str">
            <v>PSDA di Madiun</v>
          </cell>
          <cell r="F619" t="str">
            <v>Nitikan</v>
          </cell>
          <cell r="G619" t="str">
            <v>Plaosan</v>
          </cell>
          <cell r="H619" t="str">
            <v>Magetan</v>
          </cell>
          <cell r="I619" t="str">
            <v>'111.29662</v>
          </cell>
          <cell r="J619" t="str">
            <v>'-7.675010</v>
          </cell>
          <cell r="K619" t="str">
            <v>-</v>
          </cell>
          <cell r="L619" t="str">
            <v>Bengawan Solo</v>
          </cell>
          <cell r="M619" t="str">
            <v>PHB</v>
          </cell>
          <cell r="N619" t="str">
            <v>-</v>
          </cell>
          <cell r="O619" t="str">
            <v>-</v>
          </cell>
          <cell r="P619" t="str">
            <v>-</v>
          </cell>
        </row>
        <row r="620">
          <cell r="B620">
            <v>350620013</v>
          </cell>
          <cell r="C620" t="str">
            <v>Slagreng</v>
          </cell>
          <cell r="D620" t="str">
            <v>-</v>
          </cell>
          <cell r="E620" t="str">
            <v>PSDA di Madiun</v>
          </cell>
          <cell r="F620" t="str">
            <v>Sidorejo</v>
          </cell>
          <cell r="G620" t="str">
            <v>Plaosan</v>
          </cell>
          <cell r="H620" t="str">
            <v>Magetan</v>
          </cell>
          <cell r="I620" t="str">
            <v>'111.278161</v>
          </cell>
          <cell r="J620" t="str">
            <v>'-7.658408</v>
          </cell>
          <cell r="K620" t="str">
            <v>-</v>
          </cell>
          <cell r="L620" t="str">
            <v>Bengawan Solo</v>
          </cell>
          <cell r="M620" t="str">
            <v>PHB</v>
          </cell>
          <cell r="N620" t="str">
            <v>-</v>
          </cell>
          <cell r="O620" t="str">
            <v>-</v>
          </cell>
          <cell r="P620" t="str">
            <v>-</v>
          </cell>
        </row>
        <row r="621">
          <cell r="B621">
            <v>350620014</v>
          </cell>
          <cell r="C621" t="str">
            <v>Jati</v>
          </cell>
          <cell r="D621" t="str">
            <v>-</v>
          </cell>
          <cell r="E621" t="str">
            <v>PSDA di Madiun</v>
          </cell>
          <cell r="F621" t="str">
            <v>Gorang - gareng</v>
          </cell>
          <cell r="G621" t="str">
            <v>Takeran</v>
          </cell>
          <cell r="H621" t="str">
            <v>Magetan</v>
          </cell>
          <cell r="I621" t="str">
            <v>'111.459847</v>
          </cell>
          <cell r="J621" t="str">
            <v>'-7.755469</v>
          </cell>
          <cell r="K621" t="str">
            <v>-</v>
          </cell>
          <cell r="L621" t="str">
            <v>Bengawan Solo</v>
          </cell>
          <cell r="M621" t="str">
            <v>PHB</v>
          </cell>
          <cell r="N621" t="str">
            <v>-</v>
          </cell>
          <cell r="O621" t="str">
            <v>-</v>
          </cell>
          <cell r="P621" t="str">
            <v>-</v>
          </cell>
        </row>
        <row r="622">
          <cell r="B622">
            <v>350620015</v>
          </cell>
          <cell r="C622" t="str">
            <v>Kawedanan</v>
          </cell>
          <cell r="D622" t="str">
            <v>-</v>
          </cell>
          <cell r="E622" t="str">
            <v>PSDA di Madiun</v>
          </cell>
          <cell r="F622" t="str">
            <v>Tulung</v>
          </cell>
          <cell r="G622" t="str">
            <v>Kawedanan</v>
          </cell>
          <cell r="H622" t="str">
            <v>Magetan</v>
          </cell>
          <cell r="I622" t="str">
            <v>'111.417806</v>
          </cell>
          <cell r="J622" t="str">
            <v>'-7.695417</v>
          </cell>
          <cell r="K622" t="str">
            <v>-</v>
          </cell>
          <cell r="L622" t="str">
            <v>Bengawan Solo</v>
          </cell>
          <cell r="M622" t="str">
            <v>PHB</v>
          </cell>
          <cell r="N622" t="str">
            <v>-</v>
          </cell>
          <cell r="O622" t="str">
            <v>-</v>
          </cell>
          <cell r="P622" t="str">
            <v>-</v>
          </cell>
        </row>
        <row r="623">
          <cell r="B623">
            <v>350620016</v>
          </cell>
          <cell r="C623" t="str">
            <v>Bogem Rejosari</v>
          </cell>
          <cell r="D623" t="str">
            <v>-</v>
          </cell>
          <cell r="E623" t="str">
            <v>PSDA di Madiun</v>
          </cell>
          <cell r="F623" t="str">
            <v>Rejosari</v>
          </cell>
          <cell r="G623" t="str">
            <v>Kawedanan</v>
          </cell>
          <cell r="H623" t="str">
            <v>Magetan</v>
          </cell>
          <cell r="I623" t="str">
            <v>'111.413167</v>
          </cell>
          <cell r="J623" t="str">
            <v>'-7.680028</v>
          </cell>
          <cell r="K623" t="str">
            <v>-</v>
          </cell>
          <cell r="L623" t="str">
            <v>Bengawan Solo</v>
          </cell>
          <cell r="M623" t="str">
            <v>PHB</v>
          </cell>
          <cell r="N623" t="str">
            <v>-</v>
          </cell>
          <cell r="O623" t="str">
            <v>-</v>
          </cell>
          <cell r="P623" t="str">
            <v>-</v>
          </cell>
        </row>
        <row r="624">
          <cell r="B624">
            <v>350620017</v>
          </cell>
          <cell r="C624" t="str">
            <v>Lembeyan</v>
          </cell>
          <cell r="D624" t="str">
            <v>-</v>
          </cell>
          <cell r="E624" t="str">
            <v>PSDA di Madiun</v>
          </cell>
          <cell r="F624" t="str">
            <v>Lembeyan</v>
          </cell>
          <cell r="G624" t="str">
            <v>Lembeyan</v>
          </cell>
          <cell r="H624" t="str">
            <v>Magetan</v>
          </cell>
          <cell r="I624" t="str">
            <v>'111.40300</v>
          </cell>
          <cell r="J624" t="str">
            <v>'-7.76166</v>
          </cell>
          <cell r="K624" t="str">
            <v>-</v>
          </cell>
          <cell r="L624" t="str">
            <v>Bengawan Solo</v>
          </cell>
          <cell r="M624" t="str">
            <v>PHB</v>
          </cell>
          <cell r="N624" t="str">
            <v>-</v>
          </cell>
          <cell r="O624" t="str">
            <v>-</v>
          </cell>
          <cell r="P624" t="str">
            <v>-</v>
          </cell>
        </row>
        <row r="625">
          <cell r="B625">
            <v>350620018</v>
          </cell>
          <cell r="C625" t="str">
            <v>Parang</v>
          </cell>
          <cell r="D625" t="str">
            <v>-</v>
          </cell>
          <cell r="E625" t="str">
            <v>PSDA di Madiun</v>
          </cell>
          <cell r="F625" t="str">
            <v>Parang</v>
          </cell>
          <cell r="G625" t="str">
            <v>Parang</v>
          </cell>
          <cell r="H625" t="str">
            <v>Magetan</v>
          </cell>
          <cell r="I625" t="str">
            <v>'111.31342</v>
          </cell>
          <cell r="J625" t="str">
            <v>'-7.741110</v>
          </cell>
          <cell r="K625" t="str">
            <v>-</v>
          </cell>
          <cell r="L625" t="str">
            <v>Bengawan Solo</v>
          </cell>
          <cell r="M625" t="str">
            <v>PHB</v>
          </cell>
          <cell r="N625" t="str">
            <v>-</v>
          </cell>
          <cell r="O625" t="str">
            <v>-</v>
          </cell>
          <cell r="P625" t="str">
            <v>-</v>
          </cell>
        </row>
        <row r="626">
          <cell r="B626">
            <v>350620019</v>
          </cell>
          <cell r="C626" t="str">
            <v>Poncol</v>
          </cell>
          <cell r="D626" t="str">
            <v>-</v>
          </cell>
          <cell r="E626" t="str">
            <v>PSDA di Madiun</v>
          </cell>
          <cell r="F626" t="str">
            <v>Poncol</v>
          </cell>
          <cell r="G626" t="str">
            <v>Poncol</v>
          </cell>
          <cell r="H626" t="str">
            <v>Magetan</v>
          </cell>
          <cell r="I626" t="str">
            <v>'111.265583</v>
          </cell>
          <cell r="J626" t="str">
            <v>'-7.730647</v>
          </cell>
          <cell r="K626" t="str">
            <v>-</v>
          </cell>
          <cell r="L626" t="str">
            <v>Bengawan Solo</v>
          </cell>
          <cell r="M626" t="str">
            <v>PHB</v>
          </cell>
          <cell r="N626" t="str">
            <v>-</v>
          </cell>
          <cell r="O626" t="str">
            <v>-</v>
          </cell>
          <cell r="P626" t="str">
            <v>-</v>
          </cell>
        </row>
        <row r="627">
          <cell r="B627">
            <v>350620020</v>
          </cell>
          <cell r="C627" t="str">
            <v>Lemi</v>
          </cell>
          <cell r="D627" t="str">
            <v>-</v>
          </cell>
          <cell r="E627" t="str">
            <v>PSDA di Madiun</v>
          </cell>
          <cell r="F627" t="str">
            <v>Jajar</v>
          </cell>
          <cell r="G627" t="str">
            <v>Kartoharjo</v>
          </cell>
          <cell r="H627" t="str">
            <v>Magetan</v>
          </cell>
          <cell r="I627" t="str">
            <v>'111.486917</v>
          </cell>
          <cell r="J627" t="str">
            <v>'-7.525528</v>
          </cell>
          <cell r="K627" t="str">
            <v>-</v>
          </cell>
          <cell r="L627" t="str">
            <v>Bengawan Solo</v>
          </cell>
          <cell r="M627" t="str">
            <v>PHB</v>
          </cell>
          <cell r="N627" t="str">
            <v>-</v>
          </cell>
          <cell r="O627" t="str">
            <v>-</v>
          </cell>
          <cell r="P627" t="str">
            <v>-</v>
          </cell>
        </row>
        <row r="628">
          <cell r="B628">
            <v>350621001</v>
          </cell>
          <cell r="C628" t="str">
            <v>Mantingan</v>
          </cell>
          <cell r="D628" t="str">
            <v>-</v>
          </cell>
          <cell r="E628" t="str">
            <v>PSDA di Madiun</v>
          </cell>
          <cell r="F628" t="str">
            <v>Kedungrejo</v>
          </cell>
          <cell r="G628" t="str">
            <v>Mantingan</v>
          </cell>
          <cell r="H628" t="str">
            <v>Ngawi</v>
          </cell>
          <cell r="I628" t="str">
            <v>'111.149977</v>
          </cell>
          <cell r="J628" t="str">
            <v>'-7.385899</v>
          </cell>
          <cell r="K628" t="str">
            <v>-</v>
          </cell>
          <cell r="L628" t="str">
            <v>Bengawan Solo</v>
          </cell>
          <cell r="M628" t="str">
            <v>PHB</v>
          </cell>
          <cell r="N628" t="str">
            <v>-</v>
          </cell>
          <cell r="O628" t="str">
            <v>-</v>
          </cell>
          <cell r="P628" t="str">
            <v>-</v>
          </cell>
        </row>
        <row r="629">
          <cell r="B629">
            <v>350621002</v>
          </cell>
          <cell r="C629" t="str">
            <v>Kab.Ngawi</v>
          </cell>
          <cell r="D629" t="str">
            <v>-</v>
          </cell>
          <cell r="E629" t="str">
            <v>PSDA di Madiun</v>
          </cell>
          <cell r="F629" t="str">
            <v>Margomulyo</v>
          </cell>
          <cell r="G629" t="str">
            <v>Ngawi</v>
          </cell>
          <cell r="H629" t="str">
            <v>Ngawi</v>
          </cell>
          <cell r="I629" t="str">
            <v>'111.446200</v>
          </cell>
          <cell r="J629" t="str">
            <v>'-7.404700</v>
          </cell>
          <cell r="K629" t="str">
            <v>-</v>
          </cell>
          <cell r="L629" t="str">
            <v>Bengawan Solo</v>
          </cell>
          <cell r="M629" t="str">
            <v>PHB</v>
          </cell>
          <cell r="N629" t="str">
            <v>-</v>
          </cell>
          <cell r="O629" t="str">
            <v>-</v>
          </cell>
          <cell r="P629" t="str">
            <v>-</v>
          </cell>
        </row>
        <row r="630">
          <cell r="B630">
            <v>350621003</v>
          </cell>
          <cell r="C630" t="str">
            <v>Ngrambe</v>
          </cell>
          <cell r="D630" t="str">
            <v>-</v>
          </cell>
          <cell r="E630" t="str">
            <v>PSDA di Madiun</v>
          </cell>
          <cell r="F630" t="str">
            <v>Ngrambe</v>
          </cell>
          <cell r="G630" t="str">
            <v>Ngrambe</v>
          </cell>
          <cell r="H630" t="str">
            <v>Ngawi</v>
          </cell>
          <cell r="I630" t="str">
            <v>'111.205921</v>
          </cell>
          <cell r="J630" t="str">
            <v>'-7.5148688</v>
          </cell>
          <cell r="K630" t="str">
            <v>-</v>
          </cell>
          <cell r="L630" t="str">
            <v>Bengawan Solo</v>
          </cell>
          <cell r="M630" t="str">
            <v>PHB</v>
          </cell>
          <cell r="N630" t="str">
            <v>-</v>
          </cell>
          <cell r="O630" t="str">
            <v>-</v>
          </cell>
          <cell r="P630" t="str">
            <v>-</v>
          </cell>
        </row>
        <row r="631">
          <cell r="B631">
            <v>350621004</v>
          </cell>
          <cell r="C631" t="str">
            <v>Kedung Urung-urung</v>
          </cell>
          <cell r="D631" t="str">
            <v>-</v>
          </cell>
          <cell r="E631" t="str">
            <v>PSDA di Madiun</v>
          </cell>
          <cell r="F631" t="str">
            <v>Ked. Urung-urung</v>
          </cell>
          <cell r="G631" t="str">
            <v>Ked. Urung-urung</v>
          </cell>
          <cell r="H631" t="str">
            <v>Ngawi</v>
          </cell>
          <cell r="I631" t="str">
            <v>'111.164633</v>
          </cell>
          <cell r="J631" t="str">
            <v>'-7.510233</v>
          </cell>
          <cell r="K631" t="str">
            <v>-</v>
          </cell>
          <cell r="L631" t="str">
            <v>Bengawan Solo</v>
          </cell>
          <cell r="M631" t="str">
            <v>PHB</v>
          </cell>
          <cell r="N631" t="str">
            <v>-</v>
          </cell>
          <cell r="O631" t="str">
            <v>-</v>
          </cell>
          <cell r="P631" t="str">
            <v>-</v>
          </cell>
        </row>
        <row r="632">
          <cell r="B632">
            <v>350621005</v>
          </cell>
          <cell r="C632" t="str">
            <v>Tretes Ngawi</v>
          </cell>
          <cell r="D632" t="str">
            <v>-</v>
          </cell>
          <cell r="E632" t="str">
            <v>PSDA di Madiun</v>
          </cell>
          <cell r="F632" t="str">
            <v>Tretes</v>
          </cell>
          <cell r="G632" t="str">
            <v>Sine</v>
          </cell>
          <cell r="H632" t="str">
            <v>Ngawi</v>
          </cell>
          <cell r="I632" t="str">
            <v>'111.171889</v>
          </cell>
          <cell r="J632" t="str">
            <v>'-7.453846</v>
          </cell>
          <cell r="K632" t="str">
            <v>-</v>
          </cell>
          <cell r="L632" t="str">
            <v>Bengawan Solo</v>
          </cell>
          <cell r="M632" t="str">
            <v>PHB</v>
          </cell>
          <cell r="N632" t="str">
            <v>-</v>
          </cell>
          <cell r="O632" t="str">
            <v>-</v>
          </cell>
          <cell r="P632" t="str">
            <v>-</v>
          </cell>
        </row>
        <row r="633">
          <cell r="B633">
            <v>350621006</v>
          </cell>
          <cell r="C633" t="str">
            <v>Walikukun / Widodaren</v>
          </cell>
          <cell r="D633" t="str">
            <v>-</v>
          </cell>
          <cell r="E633" t="str">
            <v>PSDA di Madiun</v>
          </cell>
          <cell r="F633" t="str">
            <v>Widodaren</v>
          </cell>
          <cell r="G633" t="str">
            <v>Widodaren</v>
          </cell>
          <cell r="H633" t="str">
            <v>Ngawi</v>
          </cell>
          <cell r="I633" t="str">
            <v>'111.223161</v>
          </cell>
          <cell r="J633" t="str">
            <v>'-7.402047</v>
          </cell>
          <cell r="K633" t="str">
            <v>-</v>
          </cell>
          <cell r="L633" t="str">
            <v>Bengawan Solo</v>
          </cell>
          <cell r="M633" t="str">
            <v>PHB</v>
          </cell>
          <cell r="N633" t="str">
            <v>-</v>
          </cell>
          <cell r="O633" t="str">
            <v>-</v>
          </cell>
          <cell r="P633" t="str">
            <v>-</v>
          </cell>
        </row>
        <row r="634">
          <cell r="B634">
            <v>350621007</v>
          </cell>
          <cell r="C634" t="str">
            <v>Jogorogo</v>
          </cell>
          <cell r="D634" t="str">
            <v>-</v>
          </cell>
          <cell r="E634" t="str">
            <v>PSDA di Madiun</v>
          </cell>
          <cell r="F634" t="str">
            <v>Jogorogo</v>
          </cell>
          <cell r="G634" t="str">
            <v>Jogorogo</v>
          </cell>
          <cell r="H634" t="str">
            <v>Ngawi</v>
          </cell>
          <cell r="I634" t="str">
            <v>'111.26060</v>
          </cell>
          <cell r="J634" t="str">
            <v>'-7.499200</v>
          </cell>
          <cell r="K634" t="str">
            <v>-</v>
          </cell>
          <cell r="L634" t="str">
            <v>Bengawan Solo</v>
          </cell>
          <cell r="M634" t="str">
            <v>PHB</v>
          </cell>
          <cell r="N634" t="str">
            <v>-</v>
          </cell>
          <cell r="O634" t="str">
            <v>-</v>
          </cell>
          <cell r="P634" t="str">
            <v>-</v>
          </cell>
        </row>
        <row r="635">
          <cell r="B635">
            <v>350621008</v>
          </cell>
          <cell r="C635" t="str">
            <v>Kendal</v>
          </cell>
          <cell r="D635" t="str">
            <v>-</v>
          </cell>
          <cell r="E635" t="str">
            <v>PSDA di Madiun</v>
          </cell>
          <cell r="F635" t="str">
            <v>Kendal</v>
          </cell>
          <cell r="G635" t="str">
            <v>Kendal</v>
          </cell>
          <cell r="H635" t="str">
            <v>Ngawi</v>
          </cell>
          <cell r="I635" t="str">
            <v>'111.288719</v>
          </cell>
          <cell r="J635" t="str">
            <v>'-7.56055</v>
          </cell>
          <cell r="K635" t="str">
            <v>-</v>
          </cell>
          <cell r="L635" t="str">
            <v>Bengawan Solo</v>
          </cell>
          <cell r="M635" t="str">
            <v>PHB</v>
          </cell>
          <cell r="N635" t="str">
            <v>-</v>
          </cell>
          <cell r="O635" t="str">
            <v>-</v>
          </cell>
          <cell r="P635" t="str">
            <v>-</v>
          </cell>
        </row>
        <row r="636">
          <cell r="B636">
            <v>350621009</v>
          </cell>
          <cell r="C636" t="str">
            <v>Kedung Galar</v>
          </cell>
          <cell r="D636" t="str">
            <v>-</v>
          </cell>
          <cell r="E636" t="str">
            <v>PSDA di Madiun</v>
          </cell>
          <cell r="F636" t="str">
            <v>Kedunggalar</v>
          </cell>
          <cell r="G636" t="str">
            <v>Kedunggalar</v>
          </cell>
          <cell r="H636" t="str">
            <v>Ngawi</v>
          </cell>
          <cell r="I636" t="str">
            <v>'111.31240</v>
          </cell>
          <cell r="J636" t="str">
            <v>'-7.41650</v>
          </cell>
          <cell r="K636" t="str">
            <v>-</v>
          </cell>
          <cell r="L636" t="str">
            <v>Bengawan Solo</v>
          </cell>
          <cell r="M636" t="str">
            <v>PHB</v>
          </cell>
          <cell r="N636" t="str">
            <v>-</v>
          </cell>
          <cell r="O636" t="str">
            <v>-</v>
          </cell>
          <cell r="P636" t="str">
            <v>-</v>
          </cell>
        </row>
        <row r="637">
          <cell r="B637">
            <v>350621010</v>
          </cell>
          <cell r="C637" t="str">
            <v>Kedung Bendo</v>
          </cell>
          <cell r="D637" t="str">
            <v>-</v>
          </cell>
          <cell r="E637" t="str">
            <v>PSDA di Madiun</v>
          </cell>
          <cell r="F637" t="str">
            <v>Gunungsari</v>
          </cell>
          <cell r="G637" t="str">
            <v>Padas</v>
          </cell>
          <cell r="H637" t="str">
            <v>Ngawi</v>
          </cell>
          <cell r="I637" t="str">
            <v>'111.54260</v>
          </cell>
          <cell r="J637" t="str">
            <v>'-7.38720</v>
          </cell>
          <cell r="K637" t="str">
            <v>-</v>
          </cell>
          <cell r="L637" t="str">
            <v>Bengawan Solo</v>
          </cell>
          <cell r="M637" t="str">
            <v>PHB</v>
          </cell>
          <cell r="N637" t="str">
            <v>-</v>
          </cell>
          <cell r="O637" t="str">
            <v>-</v>
          </cell>
          <cell r="P637" t="str">
            <v>-</v>
          </cell>
        </row>
        <row r="638">
          <cell r="B638">
            <v>350621011</v>
          </cell>
          <cell r="C638" t="str">
            <v>Paron</v>
          </cell>
          <cell r="D638" t="str">
            <v>-</v>
          </cell>
          <cell r="E638" t="str">
            <v>PSDA di Madiun</v>
          </cell>
          <cell r="F638" t="str">
            <v>Paron</v>
          </cell>
          <cell r="G638" t="str">
            <v>Paron</v>
          </cell>
          <cell r="H638" t="str">
            <v>Ngawi</v>
          </cell>
          <cell r="I638" t="str">
            <v>'111.39570</v>
          </cell>
          <cell r="J638" t="str">
            <v>'-7.437400</v>
          </cell>
          <cell r="K638" t="str">
            <v>-</v>
          </cell>
          <cell r="L638" t="str">
            <v>Bengawan Solo</v>
          </cell>
          <cell r="M638" t="str">
            <v>PHB</v>
          </cell>
          <cell r="N638" t="str">
            <v>-</v>
          </cell>
          <cell r="O638" t="str">
            <v>-</v>
          </cell>
          <cell r="P638" t="str">
            <v>-</v>
          </cell>
        </row>
        <row r="639">
          <cell r="B639">
            <v>350621012</v>
          </cell>
          <cell r="C639" t="str">
            <v>Mardiasri</v>
          </cell>
          <cell r="D639" t="str">
            <v>-</v>
          </cell>
          <cell r="E639" t="str">
            <v>PSDA di Madiun</v>
          </cell>
          <cell r="F639" t="str">
            <v>Mardiasri</v>
          </cell>
          <cell r="G639" t="str">
            <v>Paron</v>
          </cell>
          <cell r="H639" t="str">
            <v>Ngawi</v>
          </cell>
          <cell r="I639" t="str">
            <v>'111.405600</v>
          </cell>
          <cell r="J639" t="str">
            <v>'-7.428100</v>
          </cell>
          <cell r="K639" t="str">
            <v>-</v>
          </cell>
          <cell r="L639" t="str">
            <v>Bengawan Solo</v>
          </cell>
          <cell r="M639" t="str">
            <v>PHB</v>
          </cell>
          <cell r="N639" t="str">
            <v>-</v>
          </cell>
          <cell r="O639" t="str">
            <v>-</v>
          </cell>
          <cell r="P639" t="str">
            <v>-</v>
          </cell>
        </row>
        <row r="640">
          <cell r="B640">
            <v>350621013</v>
          </cell>
          <cell r="C640" t="str">
            <v>Ngale</v>
          </cell>
          <cell r="D640" t="str">
            <v>-</v>
          </cell>
          <cell r="E640" t="str">
            <v>PSDA di Madiun</v>
          </cell>
          <cell r="F640" t="str">
            <v>Ngale</v>
          </cell>
          <cell r="G640" t="str">
            <v>Ngale</v>
          </cell>
          <cell r="H640" t="str">
            <v>Ngawi</v>
          </cell>
          <cell r="I640" t="str">
            <v>'111.3715677</v>
          </cell>
          <cell r="J640" t="str">
            <v>'-7.408989</v>
          </cell>
          <cell r="K640" t="str">
            <v>-</v>
          </cell>
          <cell r="L640" t="str">
            <v>Bengawan Solo</v>
          </cell>
          <cell r="M640" t="str">
            <v>PHB</v>
          </cell>
          <cell r="N640" t="str">
            <v>-</v>
          </cell>
          <cell r="O640" t="str">
            <v>-</v>
          </cell>
          <cell r="P640" t="str">
            <v>-</v>
          </cell>
        </row>
        <row r="641">
          <cell r="B641">
            <v>350621014</v>
          </cell>
          <cell r="C641" t="str">
            <v>Padas</v>
          </cell>
          <cell r="D641" t="str">
            <v>-</v>
          </cell>
          <cell r="E641" t="str">
            <v>PSDA di Madiun</v>
          </cell>
          <cell r="F641" t="str">
            <v>Padas</v>
          </cell>
          <cell r="G641" t="str">
            <v>Padas</v>
          </cell>
          <cell r="H641" t="str">
            <v>Ngawi</v>
          </cell>
          <cell r="I641" t="str">
            <v>'111.50450</v>
          </cell>
          <cell r="J641" t="str">
            <v>'-7.420147</v>
          </cell>
          <cell r="K641" t="str">
            <v>-</v>
          </cell>
          <cell r="L641" t="str">
            <v>Bengawan Solo</v>
          </cell>
          <cell r="M641" t="str">
            <v>PHB</v>
          </cell>
          <cell r="N641" t="str">
            <v>-</v>
          </cell>
          <cell r="O641" t="str">
            <v>-</v>
          </cell>
          <cell r="P641" t="str">
            <v>-</v>
          </cell>
        </row>
        <row r="642">
          <cell r="B642">
            <v>350621015</v>
          </cell>
          <cell r="C642" t="str">
            <v>Karangjati</v>
          </cell>
          <cell r="D642" t="str">
            <v>-</v>
          </cell>
          <cell r="E642" t="str">
            <v>PSDA di Madiun</v>
          </cell>
          <cell r="F642" t="str">
            <v>Karangjati</v>
          </cell>
          <cell r="G642" t="str">
            <v>Karangjati</v>
          </cell>
          <cell r="H642" t="str">
            <v>Ngawi</v>
          </cell>
          <cell r="I642" t="str">
            <v>'111.61310</v>
          </cell>
          <cell r="J642" t="str">
            <v>'-7.46080</v>
          </cell>
          <cell r="K642" t="str">
            <v>-</v>
          </cell>
          <cell r="L642" t="str">
            <v>Bengawan Solo</v>
          </cell>
          <cell r="M642" t="str">
            <v>PHB</v>
          </cell>
          <cell r="N642" t="str">
            <v>-</v>
          </cell>
          <cell r="O642" t="str">
            <v>-</v>
          </cell>
          <cell r="P642" t="str">
            <v>-</v>
          </cell>
        </row>
        <row r="643">
          <cell r="B643">
            <v>350621016</v>
          </cell>
          <cell r="C643" t="str">
            <v>Sambiroto Ngawi</v>
          </cell>
          <cell r="D643" t="str">
            <v>-</v>
          </cell>
          <cell r="E643" t="str">
            <v>PSDA di Madiun</v>
          </cell>
          <cell r="F643" t="str">
            <v>Sambiroto</v>
          </cell>
          <cell r="G643" t="str">
            <v>Karangjati</v>
          </cell>
          <cell r="H643" t="str">
            <v>Ngawi</v>
          </cell>
          <cell r="I643" t="str">
            <v>'111.55480</v>
          </cell>
          <cell r="J643" t="str">
            <v>'-7.44540</v>
          </cell>
          <cell r="K643" t="str">
            <v>-</v>
          </cell>
          <cell r="L643" t="str">
            <v>Bengawan Solo</v>
          </cell>
          <cell r="M643" t="str">
            <v>PHB</v>
          </cell>
          <cell r="N643" t="str">
            <v>-</v>
          </cell>
          <cell r="O643" t="str">
            <v>-</v>
          </cell>
          <cell r="P643" t="str">
            <v>-</v>
          </cell>
        </row>
        <row r="644">
          <cell r="B644">
            <v>350621017</v>
          </cell>
          <cell r="C644" t="str">
            <v>Babadan Ngawi</v>
          </cell>
          <cell r="D644" t="str">
            <v>-</v>
          </cell>
          <cell r="E644" t="str">
            <v>PSDA di Madiun</v>
          </cell>
          <cell r="F644" t="str">
            <v>Babadan</v>
          </cell>
          <cell r="G644" t="str">
            <v>Sine</v>
          </cell>
          <cell r="H644" t="str">
            <v>Ngawi</v>
          </cell>
          <cell r="I644" t="str">
            <v>'111.2200</v>
          </cell>
          <cell r="J644" t="str">
            <v>'-7.50440</v>
          </cell>
          <cell r="K644" t="str">
            <v>-</v>
          </cell>
          <cell r="L644" t="str">
            <v>Bengawan Solo</v>
          </cell>
          <cell r="M644" t="str">
            <v>PHB</v>
          </cell>
          <cell r="N644" t="str">
            <v>-</v>
          </cell>
          <cell r="O644" t="str">
            <v>-</v>
          </cell>
          <cell r="P644" t="str">
            <v>-</v>
          </cell>
        </row>
        <row r="645">
          <cell r="B645">
            <v>350621018</v>
          </cell>
          <cell r="C645" t="str">
            <v>Begal</v>
          </cell>
          <cell r="D645" t="str">
            <v>-</v>
          </cell>
          <cell r="E645" t="str">
            <v>PSDA di Madiun</v>
          </cell>
          <cell r="F645" t="str">
            <v>Begal</v>
          </cell>
          <cell r="G645" t="str">
            <v>Kedunggalar</v>
          </cell>
          <cell r="H645" t="str">
            <v>Ngawi</v>
          </cell>
          <cell r="I645" t="str">
            <v>'111.270850</v>
          </cell>
          <cell r="J645" t="str">
            <v>'-7.469650</v>
          </cell>
          <cell r="K645" t="str">
            <v>-</v>
          </cell>
          <cell r="L645" t="str">
            <v>Bengawan Solo</v>
          </cell>
          <cell r="M645" t="str">
            <v>PHB</v>
          </cell>
          <cell r="N645" t="str">
            <v>-</v>
          </cell>
          <cell r="O645" t="str">
            <v>-</v>
          </cell>
          <cell r="P645" t="str">
            <v>-</v>
          </cell>
        </row>
        <row r="646">
          <cell r="B646">
            <v>350621019</v>
          </cell>
          <cell r="C646" t="str">
            <v>Bekoh</v>
          </cell>
          <cell r="D646" t="str">
            <v>-</v>
          </cell>
          <cell r="E646" t="str">
            <v>PSDA di Madiun</v>
          </cell>
          <cell r="F646" t="str">
            <v>Gentong</v>
          </cell>
          <cell r="G646" t="str">
            <v>Paron</v>
          </cell>
          <cell r="H646" t="str">
            <v>Ngawi</v>
          </cell>
          <cell r="I646" t="str">
            <v>'111.301261</v>
          </cell>
          <cell r="J646" t="str">
            <v>'-7.500386</v>
          </cell>
          <cell r="K646" t="str">
            <v>-</v>
          </cell>
          <cell r="L646" t="str">
            <v>Bengawan Solo</v>
          </cell>
          <cell r="M646" t="str">
            <v>PHB</v>
          </cell>
          <cell r="N646" t="str">
            <v>-</v>
          </cell>
          <cell r="O646" t="str">
            <v>-</v>
          </cell>
          <cell r="P646" t="str">
            <v>-</v>
          </cell>
        </row>
        <row r="647">
          <cell r="B647">
            <v>350621020</v>
          </cell>
          <cell r="C647" t="str">
            <v>Papungan</v>
          </cell>
          <cell r="D647" t="str">
            <v>-</v>
          </cell>
          <cell r="E647" t="str">
            <v>PSDA di Madiun</v>
          </cell>
          <cell r="F647" t="str">
            <v>Karanggeneng</v>
          </cell>
          <cell r="G647" t="str">
            <v>Kedunggalar</v>
          </cell>
          <cell r="H647" t="str">
            <v>Ngawi</v>
          </cell>
          <cell r="I647" t="str">
            <v>'111.3692</v>
          </cell>
          <cell r="J647" t="str">
            <v>'-7.38330</v>
          </cell>
          <cell r="K647" t="str">
            <v>-</v>
          </cell>
          <cell r="L647" t="str">
            <v>Bengawan Solo</v>
          </cell>
          <cell r="M647" t="str">
            <v>PHB</v>
          </cell>
          <cell r="N647" t="str">
            <v>-</v>
          </cell>
          <cell r="O647" t="str">
            <v>-</v>
          </cell>
          <cell r="P647" t="str">
            <v>-</v>
          </cell>
        </row>
        <row r="648">
          <cell r="B648">
            <v>350621021</v>
          </cell>
          <cell r="C648" t="str">
            <v>Kricak</v>
          </cell>
          <cell r="D648" t="str">
            <v>-</v>
          </cell>
          <cell r="E648" t="str">
            <v>PSDA di Madiun</v>
          </cell>
          <cell r="F648" t="str">
            <v>Karanggeneng</v>
          </cell>
          <cell r="G648" t="str">
            <v>Kedunggalar</v>
          </cell>
          <cell r="H648" t="str">
            <v>Ngawi</v>
          </cell>
          <cell r="I648" t="str">
            <v>'111.34430</v>
          </cell>
          <cell r="J648" t="str">
            <v>'-7.394556</v>
          </cell>
          <cell r="K648" t="str">
            <v>-</v>
          </cell>
          <cell r="L648" t="str">
            <v>Bengawan Solo</v>
          </cell>
          <cell r="M648" t="str">
            <v>PHB</v>
          </cell>
          <cell r="N648" t="str">
            <v>-</v>
          </cell>
          <cell r="O648" t="str">
            <v>-</v>
          </cell>
          <cell r="P648" t="str">
            <v>-</v>
          </cell>
        </row>
        <row r="649">
          <cell r="B649">
            <v>350621022</v>
          </cell>
          <cell r="C649" t="str">
            <v>Guyung</v>
          </cell>
          <cell r="D649" t="str">
            <v>-</v>
          </cell>
          <cell r="E649" t="str">
            <v>PSDA di Madiun</v>
          </cell>
          <cell r="F649" t="str">
            <v>Guyung</v>
          </cell>
          <cell r="G649" t="str">
            <v>Geneng</v>
          </cell>
          <cell r="H649" t="str">
            <v>Ngawi</v>
          </cell>
          <cell r="I649" t="str">
            <v>'111.41030</v>
          </cell>
          <cell r="J649" t="str">
            <v>'-7.50600</v>
          </cell>
          <cell r="K649" t="str">
            <v>-</v>
          </cell>
          <cell r="L649" t="str">
            <v>Bengawan Solo</v>
          </cell>
          <cell r="M649" t="str">
            <v>PHB</v>
          </cell>
          <cell r="N649" t="str">
            <v>-</v>
          </cell>
          <cell r="O649" t="str">
            <v>-</v>
          </cell>
          <cell r="P649" t="str">
            <v>-</v>
          </cell>
        </row>
        <row r="650">
          <cell r="B650">
            <v>350621023</v>
          </cell>
          <cell r="C650" t="str">
            <v>Sudhono</v>
          </cell>
          <cell r="D650" t="str">
            <v>-</v>
          </cell>
          <cell r="E650" t="str">
            <v>PSDA di Madiun</v>
          </cell>
          <cell r="F650" t="str">
            <v>Tepas</v>
          </cell>
          <cell r="G650" t="str">
            <v>Geneng</v>
          </cell>
          <cell r="H650" t="str">
            <v>Ngawi</v>
          </cell>
          <cell r="I650" t="str">
            <v>'111.42150</v>
          </cell>
          <cell r="J650" t="str">
            <v>'-7.49510</v>
          </cell>
          <cell r="K650" t="str">
            <v>-</v>
          </cell>
          <cell r="L650" t="str">
            <v>Bengawan Solo</v>
          </cell>
          <cell r="M650" t="str">
            <v>PHB</v>
          </cell>
          <cell r="N650" t="str">
            <v>-</v>
          </cell>
          <cell r="O650" t="str">
            <v>-</v>
          </cell>
          <cell r="P650" t="str">
            <v>-</v>
          </cell>
        </row>
        <row r="651">
          <cell r="B651">
            <v>350621024</v>
          </cell>
          <cell r="C651" t="str">
            <v>Soko / Ngadirejo</v>
          </cell>
          <cell r="D651" t="str">
            <v>-</v>
          </cell>
          <cell r="E651" t="str">
            <v>PSDA di Madiun</v>
          </cell>
          <cell r="F651" t="str">
            <v>Soko</v>
          </cell>
          <cell r="G651" t="str">
            <v>Kedunggalar</v>
          </cell>
          <cell r="H651" t="str">
            <v>Ngawi</v>
          </cell>
          <cell r="I651" t="str">
            <v>'111.36600</v>
          </cell>
          <cell r="J651" t="str">
            <v>'-7.39660</v>
          </cell>
          <cell r="K651" t="str">
            <v>-</v>
          </cell>
          <cell r="L651" t="str">
            <v>Bengawan Solo</v>
          </cell>
          <cell r="M651" t="str">
            <v>PHB</v>
          </cell>
          <cell r="N651" t="str">
            <v>-</v>
          </cell>
          <cell r="O651" t="str">
            <v>-</v>
          </cell>
          <cell r="P651" t="str">
            <v>-</v>
          </cell>
        </row>
        <row r="652">
          <cell r="B652">
            <v>350621025</v>
          </cell>
          <cell r="C652" t="str">
            <v>Buduk / Kwadungan</v>
          </cell>
          <cell r="D652" t="str">
            <v>-</v>
          </cell>
          <cell r="E652" t="str">
            <v>PSDA di Madiun</v>
          </cell>
          <cell r="F652" t="str">
            <v>Budug</v>
          </cell>
          <cell r="G652" t="str">
            <v>Kwadungan</v>
          </cell>
          <cell r="H652" t="str">
            <v>Ngawi</v>
          </cell>
          <cell r="I652" t="str">
            <v>'111.53560</v>
          </cell>
          <cell r="J652" t="str">
            <v>'-7.54440</v>
          </cell>
          <cell r="K652" t="str">
            <v>-</v>
          </cell>
          <cell r="L652" t="str">
            <v>Bengawan Solo</v>
          </cell>
          <cell r="M652" t="str">
            <v>PHB</v>
          </cell>
          <cell r="N652" t="str">
            <v>-</v>
          </cell>
          <cell r="O652" t="str">
            <v>-</v>
          </cell>
          <cell r="P652" t="str">
            <v>-</v>
          </cell>
        </row>
        <row r="653">
          <cell r="B653">
            <v>350621026</v>
          </cell>
          <cell r="C653" t="str">
            <v>Tejo</v>
          </cell>
          <cell r="D653" t="str">
            <v>-</v>
          </cell>
          <cell r="E653" t="str">
            <v>PSDA di Madiun</v>
          </cell>
          <cell r="F653" t="str">
            <v>Gerih</v>
          </cell>
          <cell r="G653" t="str">
            <v>Geneng</v>
          </cell>
          <cell r="H653" t="str">
            <v>Ngawi</v>
          </cell>
          <cell r="I653" t="str">
            <v>'111.40470</v>
          </cell>
          <cell r="J653" t="str">
            <v>'-7.545740</v>
          </cell>
          <cell r="K653" t="str">
            <v>-</v>
          </cell>
          <cell r="L653" t="str">
            <v>Bengawan Solo</v>
          </cell>
          <cell r="M653" t="str">
            <v>PHB</v>
          </cell>
          <cell r="N653" t="str">
            <v>-</v>
          </cell>
          <cell r="O653" t="str">
            <v>-</v>
          </cell>
          <cell r="P653" t="str">
            <v>-</v>
          </cell>
        </row>
        <row r="654">
          <cell r="B654">
            <v>350710001</v>
          </cell>
          <cell r="C654" t="str">
            <v>Alas Buluh</v>
          </cell>
          <cell r="D654" t="str">
            <v>-</v>
          </cell>
          <cell r="E654" t="str">
            <v>PSDA di Bondowoso</v>
          </cell>
          <cell r="F654" t="str">
            <v>Alas Bulu</v>
          </cell>
          <cell r="G654" t="str">
            <v>Wongsorejo</v>
          </cell>
          <cell r="H654" t="str">
            <v>Banyuwangi</v>
          </cell>
          <cell r="I654" t="str">
            <v>'114.40690</v>
          </cell>
          <cell r="J654" t="str">
            <v>'-8.00980</v>
          </cell>
          <cell r="K654" t="str">
            <v>-</v>
          </cell>
          <cell r="L654" t="str">
            <v>Baru Bajulmati</v>
          </cell>
          <cell r="M654" t="str">
            <v>PHB</v>
          </cell>
          <cell r="N654" t="str">
            <v>-</v>
          </cell>
          <cell r="O654" t="str">
            <v>-</v>
          </cell>
          <cell r="P654" t="str">
            <v>-</v>
          </cell>
        </row>
        <row r="655">
          <cell r="B655">
            <v>350710002</v>
          </cell>
          <cell r="C655" t="str">
            <v>Alas Malang BWI</v>
          </cell>
          <cell r="D655" t="str">
            <v>-</v>
          </cell>
          <cell r="E655" t="str">
            <v>PSDA di Bondowoso</v>
          </cell>
          <cell r="F655" t="str">
            <v>Alasmalang</v>
          </cell>
          <cell r="G655" t="str">
            <v>Singojuruh</v>
          </cell>
          <cell r="H655" t="str">
            <v>Banyuwangi</v>
          </cell>
          <cell r="I655" t="str">
            <v>'114.251100</v>
          </cell>
          <cell r="J655" t="str">
            <v>'-8.320600</v>
          </cell>
          <cell r="K655" t="str">
            <v>-</v>
          </cell>
          <cell r="L655" t="str">
            <v>Baru Bajulmati</v>
          </cell>
          <cell r="M655" t="str">
            <v>PHB</v>
          </cell>
          <cell r="N655" t="str">
            <v>-</v>
          </cell>
          <cell r="O655" t="str">
            <v>-</v>
          </cell>
          <cell r="P655" t="str">
            <v>-</v>
          </cell>
        </row>
        <row r="656">
          <cell r="B656">
            <v>350710003</v>
          </cell>
          <cell r="C656" t="str">
            <v>Bajulmati</v>
          </cell>
          <cell r="D656" t="str">
            <v>-</v>
          </cell>
          <cell r="E656" t="str">
            <v>PSDA di Bondowoso</v>
          </cell>
          <cell r="F656" t="str">
            <v>Bajulmati</v>
          </cell>
          <cell r="G656" t="str">
            <v>Wongsorejo</v>
          </cell>
          <cell r="H656" t="str">
            <v>Banyuwangi</v>
          </cell>
          <cell r="I656" t="str">
            <v>'114.38630000000</v>
          </cell>
          <cell r="J656" t="str">
            <v>'-7.92660000000</v>
          </cell>
          <cell r="K656" t="str">
            <v>-</v>
          </cell>
          <cell r="L656" t="str">
            <v>Baru Bajulmati</v>
          </cell>
          <cell r="M656" t="str">
            <v>PHB</v>
          </cell>
          <cell r="N656" t="str">
            <v>-</v>
          </cell>
          <cell r="O656" t="str">
            <v>-</v>
          </cell>
          <cell r="P656" t="str">
            <v>-</v>
          </cell>
        </row>
        <row r="657">
          <cell r="B657">
            <v>350710004</v>
          </cell>
          <cell r="C657" t="str">
            <v>Blambangan BWI</v>
          </cell>
          <cell r="D657" t="str">
            <v>-</v>
          </cell>
          <cell r="E657" t="str">
            <v>PSDA di Bondowoso</v>
          </cell>
          <cell r="F657" t="str">
            <v>Blambangan</v>
          </cell>
          <cell r="G657" t="str">
            <v>Muncar</v>
          </cell>
          <cell r="H657" t="str">
            <v>Banyuwangi</v>
          </cell>
          <cell r="I657" t="str">
            <v>'114.283508</v>
          </cell>
          <cell r="J657" t="str">
            <v>'-8.414039</v>
          </cell>
          <cell r="K657" t="str">
            <v>-</v>
          </cell>
          <cell r="L657" t="str">
            <v>Baru Bajulmati</v>
          </cell>
          <cell r="M657" t="str">
            <v>PHB</v>
          </cell>
          <cell r="N657" t="str">
            <v>-</v>
          </cell>
          <cell r="O657" t="str">
            <v>-</v>
          </cell>
          <cell r="P657" t="str">
            <v>-</v>
          </cell>
        </row>
        <row r="658">
          <cell r="B658">
            <v>350710005</v>
          </cell>
          <cell r="C658" t="str">
            <v>Cab.Din. Banyuwangi</v>
          </cell>
          <cell r="D658" t="str">
            <v>-</v>
          </cell>
          <cell r="E658" t="str">
            <v>PSDA di Bondowoso</v>
          </cell>
          <cell r="F658" t="str">
            <v>Penganjuran</v>
          </cell>
          <cell r="G658" t="str">
            <v>Banyuwangi</v>
          </cell>
          <cell r="H658" t="str">
            <v>Banyuwangi</v>
          </cell>
          <cell r="I658" t="str">
            <v>'114.362222</v>
          </cell>
          <cell r="J658" t="str">
            <v>'-8.217806</v>
          </cell>
          <cell r="K658" t="str">
            <v>-</v>
          </cell>
          <cell r="L658" t="str">
            <v>Baru Bajulmati</v>
          </cell>
          <cell r="M658" t="str">
            <v>PHB</v>
          </cell>
          <cell r="N658" t="str">
            <v>-</v>
          </cell>
          <cell r="O658" t="str">
            <v>-</v>
          </cell>
          <cell r="P658" t="str">
            <v>-</v>
          </cell>
        </row>
        <row r="659">
          <cell r="B659">
            <v>350710006</v>
          </cell>
          <cell r="C659" t="str">
            <v>Cluring</v>
          </cell>
          <cell r="D659" t="str">
            <v>-</v>
          </cell>
          <cell r="E659" t="str">
            <v>PSDA di Bondowoso</v>
          </cell>
          <cell r="F659" t="str">
            <v>Cluring</v>
          </cell>
          <cell r="G659" t="str">
            <v>Cluring</v>
          </cell>
          <cell r="H659" t="str">
            <v>Banyuwangi</v>
          </cell>
          <cell r="I659" t="str">
            <v>'114.200222</v>
          </cell>
          <cell r="J659" t="str">
            <v>'-8.437778</v>
          </cell>
          <cell r="K659" t="str">
            <v>-</v>
          </cell>
          <cell r="L659" t="str">
            <v>Baru Bajulmati</v>
          </cell>
          <cell r="M659" t="str">
            <v>PHB</v>
          </cell>
          <cell r="N659" t="str">
            <v>-</v>
          </cell>
          <cell r="O659" t="str">
            <v>-</v>
          </cell>
          <cell r="P659" t="str">
            <v>-</v>
          </cell>
        </row>
        <row r="660">
          <cell r="B660">
            <v>350710007</v>
          </cell>
          <cell r="C660" t="str">
            <v>Dadapan</v>
          </cell>
          <cell r="D660" t="str">
            <v>-</v>
          </cell>
          <cell r="E660" t="str">
            <v>PSDA di Bondowoso</v>
          </cell>
          <cell r="F660" t="str">
            <v>Dadapan</v>
          </cell>
          <cell r="G660" t="str">
            <v>Kabat</v>
          </cell>
          <cell r="H660" t="str">
            <v>Banyuwangi</v>
          </cell>
          <cell r="I660" t="str">
            <v>'114.337722</v>
          </cell>
          <cell r="J660" t="str">
            <v>'-8.258028</v>
          </cell>
          <cell r="K660" t="str">
            <v>-</v>
          </cell>
          <cell r="L660" t="str">
            <v>Baru Bajulmati</v>
          </cell>
          <cell r="M660" t="str">
            <v>PHB</v>
          </cell>
          <cell r="N660" t="str">
            <v>-</v>
          </cell>
          <cell r="O660" t="str">
            <v>-</v>
          </cell>
          <cell r="P660" t="str">
            <v>-</v>
          </cell>
        </row>
        <row r="661">
          <cell r="B661">
            <v>350710008</v>
          </cell>
          <cell r="C661" t="str">
            <v>Gambor</v>
          </cell>
          <cell r="D661" t="str">
            <v>-</v>
          </cell>
          <cell r="E661" t="str">
            <v>PSDA di Bondowoso</v>
          </cell>
          <cell r="F661" t="str">
            <v>Gambor</v>
          </cell>
          <cell r="G661" t="str">
            <v>Singojuruh</v>
          </cell>
          <cell r="H661" t="str">
            <v>Banyuwangi</v>
          </cell>
          <cell r="I661" t="str">
            <v>'114.2431</v>
          </cell>
          <cell r="J661" t="str">
            <v>'-8.3367</v>
          </cell>
          <cell r="K661" t="str">
            <v>-</v>
          </cell>
          <cell r="L661" t="str">
            <v>Baru Bajulmati</v>
          </cell>
          <cell r="M661" t="str">
            <v>PHB</v>
          </cell>
          <cell r="N661" t="str">
            <v>-</v>
          </cell>
          <cell r="O661" t="str">
            <v>-</v>
          </cell>
          <cell r="P661" t="str">
            <v>-</v>
          </cell>
        </row>
        <row r="662">
          <cell r="B662">
            <v>350710009</v>
          </cell>
          <cell r="C662" t="str">
            <v>Genteng I</v>
          </cell>
          <cell r="D662" t="str">
            <v>-</v>
          </cell>
          <cell r="E662" t="str">
            <v>PSDA di Bondowoso</v>
          </cell>
          <cell r="F662" t="str">
            <v>Gentengkulon</v>
          </cell>
          <cell r="G662" t="str">
            <v>Genteng</v>
          </cell>
          <cell r="H662" t="str">
            <v>Banyuwangi</v>
          </cell>
          <cell r="I662" t="str">
            <v>'114.1458</v>
          </cell>
          <cell r="J662" t="str">
            <v>'-8.3625</v>
          </cell>
          <cell r="K662" t="str">
            <v>-</v>
          </cell>
          <cell r="L662" t="str">
            <v>Baru Bajulmati</v>
          </cell>
          <cell r="M662" t="str">
            <v>PHB</v>
          </cell>
          <cell r="N662" t="str">
            <v>-</v>
          </cell>
          <cell r="O662" t="str">
            <v>-</v>
          </cell>
          <cell r="P662" t="str">
            <v>-</v>
          </cell>
        </row>
        <row r="663">
          <cell r="B663">
            <v>350710010</v>
          </cell>
          <cell r="C663" t="str">
            <v>Genteng II</v>
          </cell>
          <cell r="D663" t="str">
            <v>-</v>
          </cell>
          <cell r="E663" t="str">
            <v>PSDA di Bondowoso</v>
          </cell>
          <cell r="F663" t="str">
            <v>Gentengkulon</v>
          </cell>
          <cell r="G663" t="str">
            <v>Genteng</v>
          </cell>
          <cell r="H663" t="str">
            <v>Banyuwangi</v>
          </cell>
          <cell r="I663" t="str">
            <v>'114.1456</v>
          </cell>
          <cell r="J663" t="str">
            <v>'-8.3481</v>
          </cell>
          <cell r="K663" t="str">
            <v>-</v>
          </cell>
          <cell r="L663" t="str">
            <v>Baru Bajulmati</v>
          </cell>
          <cell r="M663" t="str">
            <v>PHB</v>
          </cell>
          <cell r="N663" t="str">
            <v>-</v>
          </cell>
          <cell r="O663" t="str">
            <v>-</v>
          </cell>
          <cell r="P663" t="str">
            <v>-</v>
          </cell>
        </row>
        <row r="664">
          <cell r="B664">
            <v>350710011</v>
          </cell>
          <cell r="C664" t="str">
            <v>Glagah BWI</v>
          </cell>
          <cell r="D664" t="str">
            <v>-</v>
          </cell>
          <cell r="E664" t="str">
            <v>PSDA di Bondowoso</v>
          </cell>
          <cell r="F664" t="str">
            <v>Glagah</v>
          </cell>
          <cell r="G664" t="str">
            <v>Glagah</v>
          </cell>
          <cell r="H664" t="str">
            <v>Banyuwangi</v>
          </cell>
          <cell r="I664" t="str">
            <v>'114.3186</v>
          </cell>
          <cell r="J664" t="str">
            <v>'-8.2045</v>
          </cell>
          <cell r="K664" t="str">
            <v>-</v>
          </cell>
          <cell r="L664" t="str">
            <v>Baru Bajulmati</v>
          </cell>
          <cell r="M664" t="str">
            <v>PHB</v>
          </cell>
          <cell r="N664" t="str">
            <v>-</v>
          </cell>
          <cell r="O664" t="str">
            <v>-</v>
          </cell>
          <cell r="P664" t="str">
            <v>-</v>
          </cell>
        </row>
        <row r="665">
          <cell r="B665">
            <v>350710012</v>
          </cell>
          <cell r="C665" t="str">
            <v>Glenfaloch</v>
          </cell>
          <cell r="D665" t="str">
            <v>-</v>
          </cell>
          <cell r="E665" t="str">
            <v>PSDA di Lumajang</v>
          </cell>
          <cell r="F665" t="str">
            <v>Tegalharjo</v>
          </cell>
          <cell r="G665" t="str">
            <v>Glenmore</v>
          </cell>
          <cell r="H665" t="str">
            <v>Banyuwangi</v>
          </cell>
          <cell r="I665" t="str">
            <v>'114.020006</v>
          </cell>
          <cell r="J665" t="str">
            <v>'-8.307286</v>
          </cell>
          <cell r="K665" t="str">
            <v>-</v>
          </cell>
          <cell r="L665" t="str">
            <v>Baru Bajulmati</v>
          </cell>
          <cell r="M665" t="str">
            <v>PHB</v>
          </cell>
          <cell r="N665" t="str">
            <v>-</v>
          </cell>
          <cell r="O665" t="str">
            <v>-</v>
          </cell>
          <cell r="P665" t="str">
            <v>-</v>
          </cell>
        </row>
        <row r="666">
          <cell r="B666">
            <v>350710013</v>
          </cell>
          <cell r="C666" t="str">
            <v>Grajagan</v>
          </cell>
          <cell r="D666" t="str">
            <v>-</v>
          </cell>
          <cell r="E666" t="str">
            <v>PSDA di Lumajang</v>
          </cell>
          <cell r="F666" t="str">
            <v>Grajagan</v>
          </cell>
          <cell r="G666" t="str">
            <v>Purwoharjo</v>
          </cell>
          <cell r="H666" t="str">
            <v>Banyuwangi</v>
          </cell>
          <cell r="I666" t="str">
            <v>'114.250222</v>
          </cell>
          <cell r="J666" t="str">
            <v>'-8.552056</v>
          </cell>
          <cell r="K666" t="str">
            <v>-</v>
          </cell>
          <cell r="L666" t="str">
            <v>Baru Bajulmati</v>
          </cell>
          <cell r="M666" t="str">
            <v>PHB</v>
          </cell>
          <cell r="N666" t="str">
            <v>-</v>
          </cell>
          <cell r="O666" t="str">
            <v>-</v>
          </cell>
          <cell r="P666" t="str">
            <v>-</v>
          </cell>
        </row>
        <row r="667">
          <cell r="B667">
            <v>350710014</v>
          </cell>
          <cell r="C667" t="str">
            <v>Jambewangi</v>
          </cell>
          <cell r="D667" t="str">
            <v>-</v>
          </cell>
          <cell r="E667" t="str">
            <v>PSDA di Lumajang</v>
          </cell>
          <cell r="F667" t="str">
            <v>Jambewangi</v>
          </cell>
          <cell r="G667" t="str">
            <v>Sempu</v>
          </cell>
          <cell r="H667" t="str">
            <v>Banyuwangi</v>
          </cell>
          <cell r="I667" t="str">
            <v>'114.1358</v>
          </cell>
          <cell r="J667" t="str">
            <v>'-8.2989</v>
          </cell>
          <cell r="K667" t="str">
            <v>-</v>
          </cell>
          <cell r="L667" t="str">
            <v>Baru Bajulmati</v>
          </cell>
          <cell r="M667" t="str">
            <v>PHB</v>
          </cell>
          <cell r="N667" t="str">
            <v>-</v>
          </cell>
          <cell r="O667" t="str">
            <v>-</v>
          </cell>
          <cell r="P667" t="str">
            <v>-</v>
          </cell>
        </row>
        <row r="668">
          <cell r="B668">
            <v>350710015</v>
          </cell>
          <cell r="C668" t="str">
            <v>Jatirono</v>
          </cell>
          <cell r="D668" t="str">
            <v>-</v>
          </cell>
          <cell r="E668" t="str">
            <v>PSDA di Lumajang</v>
          </cell>
          <cell r="F668" t="str">
            <v>Karangharjo</v>
          </cell>
          <cell r="G668" t="str">
            <v>Kalibaru</v>
          </cell>
          <cell r="H668" t="str">
            <v>Banyuwangi</v>
          </cell>
          <cell r="I668" t="str">
            <v>'114.008511</v>
          </cell>
          <cell r="J668" t="str">
            <v>'-8.275278</v>
          </cell>
          <cell r="K668" t="str">
            <v>-</v>
          </cell>
          <cell r="L668" t="str">
            <v>Baru Bajulmati</v>
          </cell>
          <cell r="M668" t="str">
            <v>PHB</v>
          </cell>
          <cell r="N668" t="str">
            <v>-</v>
          </cell>
          <cell r="O668" t="str">
            <v>-</v>
          </cell>
          <cell r="P668" t="str">
            <v>-</v>
          </cell>
        </row>
        <row r="669">
          <cell r="B669">
            <v>350710016</v>
          </cell>
          <cell r="C669" t="str">
            <v>Kabat / Macan Putih</v>
          </cell>
          <cell r="D669" t="str">
            <v>-</v>
          </cell>
          <cell r="E669" t="str">
            <v>PSDA di Bondowoso</v>
          </cell>
          <cell r="F669" t="str">
            <v>Macanputih</v>
          </cell>
          <cell r="G669" t="str">
            <v>Kabat</v>
          </cell>
          <cell r="H669" t="str">
            <v>Banyuwangi</v>
          </cell>
          <cell r="I669" t="str">
            <v>'114.290861</v>
          </cell>
          <cell r="J669" t="str">
            <v>'-8.273944</v>
          </cell>
          <cell r="K669" t="str">
            <v>-</v>
          </cell>
          <cell r="L669" t="str">
            <v>Baru Bajulmati</v>
          </cell>
          <cell r="M669" t="str">
            <v>PHB</v>
          </cell>
          <cell r="N669" t="str">
            <v>-</v>
          </cell>
          <cell r="O669" t="str">
            <v>-</v>
          </cell>
          <cell r="P669" t="str">
            <v>-</v>
          </cell>
        </row>
        <row r="670">
          <cell r="B670">
            <v>350710017</v>
          </cell>
          <cell r="C670" t="str">
            <v>Kalibaru</v>
          </cell>
          <cell r="D670" t="str">
            <v>-</v>
          </cell>
          <cell r="E670" t="str">
            <v>PSDA di Lumajang</v>
          </cell>
          <cell r="F670" t="str">
            <v>Kalibarukulon</v>
          </cell>
          <cell r="G670" t="str">
            <v>Kalibaru</v>
          </cell>
          <cell r="H670" t="str">
            <v>Banyuwangi</v>
          </cell>
          <cell r="I670" t="str">
            <v>'113.9708</v>
          </cell>
          <cell r="J670" t="str">
            <v>'-8.2889</v>
          </cell>
          <cell r="K670" t="str">
            <v>-</v>
          </cell>
          <cell r="L670" t="str">
            <v>Baru Bajulmati</v>
          </cell>
          <cell r="M670" t="str">
            <v>PHB</v>
          </cell>
          <cell r="N670" t="str">
            <v>-</v>
          </cell>
          <cell r="O670" t="str">
            <v>-</v>
          </cell>
          <cell r="P670" t="str">
            <v>-</v>
          </cell>
        </row>
        <row r="671">
          <cell r="B671">
            <v>350710018</v>
          </cell>
          <cell r="C671" t="str">
            <v>Kalipuro</v>
          </cell>
          <cell r="D671" t="str">
            <v>-</v>
          </cell>
          <cell r="E671" t="str">
            <v>PSDA di Bondowoso</v>
          </cell>
          <cell r="F671" t="str">
            <v>Kalipuro</v>
          </cell>
          <cell r="G671" t="str">
            <v>Kalipuro</v>
          </cell>
          <cell r="H671" t="str">
            <v>Banyuwangi</v>
          </cell>
          <cell r="I671" t="str">
            <v>'114.359972</v>
          </cell>
          <cell r="J671" t="str">
            <v>'-8.155472</v>
          </cell>
          <cell r="K671" t="str">
            <v>-</v>
          </cell>
          <cell r="L671" t="str">
            <v>Baru Bajulmati</v>
          </cell>
          <cell r="M671" t="str">
            <v>PHB</v>
          </cell>
          <cell r="N671" t="str">
            <v>-</v>
          </cell>
          <cell r="O671" t="str">
            <v>-</v>
          </cell>
          <cell r="P671" t="str">
            <v>-</v>
          </cell>
        </row>
        <row r="672">
          <cell r="B672">
            <v>350710019</v>
          </cell>
          <cell r="C672" t="str">
            <v>Kali Sepanjang</v>
          </cell>
          <cell r="D672" t="str">
            <v>-</v>
          </cell>
          <cell r="E672" t="str">
            <v>PSDA di Lumajang</v>
          </cell>
          <cell r="F672" t="str">
            <v>Sepanjang</v>
          </cell>
          <cell r="G672" t="str">
            <v>Glenmore</v>
          </cell>
          <cell r="H672" t="str">
            <v>Banyuwangi</v>
          </cell>
          <cell r="I672" t="str">
            <v>'114.0771</v>
          </cell>
          <cell r="J672" t="str">
            <v>'-8.2992</v>
          </cell>
          <cell r="K672" t="str">
            <v>-</v>
          </cell>
          <cell r="L672" t="str">
            <v>Baru Bajulmati</v>
          </cell>
          <cell r="M672" t="str">
            <v>PHB</v>
          </cell>
          <cell r="N672" t="str">
            <v>-</v>
          </cell>
          <cell r="O672" t="str">
            <v>-</v>
          </cell>
          <cell r="P672" t="str">
            <v>-</v>
          </cell>
        </row>
        <row r="673">
          <cell r="B673">
            <v>350710020</v>
          </cell>
          <cell r="C673" t="str">
            <v>Karang Harjo</v>
          </cell>
          <cell r="D673" t="str">
            <v>-</v>
          </cell>
          <cell r="E673" t="str">
            <v>PSDA di Lumajang</v>
          </cell>
          <cell r="F673" t="str">
            <v>Karangharjo</v>
          </cell>
          <cell r="G673" t="str">
            <v>Glenmore</v>
          </cell>
          <cell r="H673" t="str">
            <v>Banyuwangi</v>
          </cell>
          <cell r="I673" t="str">
            <v>'114.05234</v>
          </cell>
          <cell r="J673" t="str">
            <v>'-8.30925</v>
          </cell>
          <cell r="K673" t="str">
            <v>-</v>
          </cell>
          <cell r="L673" t="str">
            <v>Baru Bajulmati</v>
          </cell>
          <cell r="M673" t="str">
            <v>PHB</v>
          </cell>
          <cell r="N673" t="str">
            <v>-</v>
          </cell>
          <cell r="O673" t="str">
            <v>-</v>
          </cell>
          <cell r="P673" t="str">
            <v>-</v>
          </cell>
        </row>
        <row r="674">
          <cell r="B674">
            <v>350710021</v>
          </cell>
          <cell r="C674" t="str">
            <v>Karangdoro</v>
          </cell>
          <cell r="D674" t="str">
            <v>-</v>
          </cell>
          <cell r="E674" t="str">
            <v>PSDA di Lumajang</v>
          </cell>
          <cell r="F674" t="str">
            <v>Karangdoro</v>
          </cell>
          <cell r="G674" t="str">
            <v>Tegalsari</v>
          </cell>
          <cell r="H674" t="str">
            <v>Banyuwangi</v>
          </cell>
          <cell r="I674" t="str">
            <v>'114.100894</v>
          </cell>
          <cell r="J674" t="str">
            <v>'-8.439514</v>
          </cell>
          <cell r="K674" t="str">
            <v>-</v>
          </cell>
          <cell r="L674" t="str">
            <v>Baru Bajulmati</v>
          </cell>
          <cell r="M674" t="str">
            <v>PHB</v>
          </cell>
          <cell r="N674" t="str">
            <v>-</v>
          </cell>
          <cell r="O674" t="str">
            <v>-</v>
          </cell>
          <cell r="P674" t="str">
            <v>-</v>
          </cell>
        </row>
        <row r="675">
          <cell r="B675">
            <v>350710022</v>
          </cell>
          <cell r="C675" t="str">
            <v>Karang Tambak</v>
          </cell>
          <cell r="D675" t="str">
            <v>-</v>
          </cell>
          <cell r="E675" t="str">
            <v>PSDA di Lumajang</v>
          </cell>
          <cell r="F675" t="str">
            <v>Kandangan</v>
          </cell>
          <cell r="G675" t="str">
            <v>Pesanggaran</v>
          </cell>
          <cell r="H675" t="str">
            <v>Banyuwangi</v>
          </cell>
          <cell r="I675" t="str">
            <v>'113.986639</v>
          </cell>
          <cell r="J675" t="str">
            <v>'-8.505944</v>
          </cell>
          <cell r="K675" t="str">
            <v>-</v>
          </cell>
          <cell r="L675" t="str">
            <v>Baru Bajulmati</v>
          </cell>
          <cell r="M675" t="str">
            <v>PHB</v>
          </cell>
          <cell r="N675" t="str">
            <v>-</v>
          </cell>
          <cell r="O675" t="str">
            <v>-</v>
          </cell>
          <cell r="P675" t="str">
            <v>-</v>
          </cell>
        </row>
        <row r="676">
          <cell r="B676">
            <v>350710023</v>
          </cell>
          <cell r="C676" t="str">
            <v>Kawah Ijen</v>
          </cell>
          <cell r="D676" t="str">
            <v>-</v>
          </cell>
          <cell r="E676" t="str">
            <v>PSDA di Bondowoso</v>
          </cell>
          <cell r="F676" t="str">
            <v>Tamansari</v>
          </cell>
          <cell r="G676" t="str">
            <v>Glagah</v>
          </cell>
          <cell r="H676" t="str">
            <v>Banyuwangi</v>
          </cell>
          <cell r="I676" t="str">
            <v>'114.237056</v>
          </cell>
          <cell r="J676" t="str">
            <v>'-8.065056</v>
          </cell>
          <cell r="K676" t="str">
            <v>-</v>
          </cell>
          <cell r="L676" t="str">
            <v>Baru Bajulmati</v>
          </cell>
          <cell r="M676" t="str">
            <v>PHB</v>
          </cell>
          <cell r="N676" t="str">
            <v>-</v>
          </cell>
          <cell r="O676" t="str">
            <v>-</v>
          </cell>
          <cell r="P676" t="str">
            <v>-</v>
          </cell>
        </row>
        <row r="677">
          <cell r="B677">
            <v>350710024</v>
          </cell>
          <cell r="C677" t="str">
            <v>Kebondalem</v>
          </cell>
          <cell r="D677" t="str">
            <v>-</v>
          </cell>
          <cell r="E677" t="str">
            <v>PSDA di Lumajang</v>
          </cell>
          <cell r="F677" t="str">
            <v>Kebondalem</v>
          </cell>
          <cell r="G677" t="str">
            <v>Bangorejo</v>
          </cell>
          <cell r="H677" t="str">
            <v>Banyuwangi</v>
          </cell>
          <cell r="I677" t="str">
            <v>'114.1345</v>
          </cell>
          <cell r="J677" t="str">
            <v>'-8.4565</v>
          </cell>
          <cell r="K677" t="str">
            <v>-</v>
          </cell>
          <cell r="L677" t="str">
            <v>Baru Bajulmati</v>
          </cell>
          <cell r="M677" t="str">
            <v>PHB</v>
          </cell>
          <cell r="N677" t="str">
            <v>-</v>
          </cell>
          <cell r="O677" t="str">
            <v>-</v>
          </cell>
          <cell r="P677" t="str">
            <v>-</v>
          </cell>
        </row>
        <row r="678">
          <cell r="B678">
            <v>350710025</v>
          </cell>
          <cell r="C678" t="str">
            <v>Kesilir BWI</v>
          </cell>
          <cell r="D678" t="str">
            <v>-</v>
          </cell>
          <cell r="E678" t="str">
            <v>PSDA di Lumajang</v>
          </cell>
          <cell r="F678" t="str">
            <v>Kesilir</v>
          </cell>
          <cell r="G678" t="str">
            <v>Siliragung</v>
          </cell>
          <cell r="H678" t="str">
            <v>Banyuwangi</v>
          </cell>
          <cell r="I678" t="str">
            <v>'114.128722</v>
          </cell>
          <cell r="J678" t="str">
            <v>'-8.525167</v>
          </cell>
          <cell r="K678" t="str">
            <v>-</v>
          </cell>
          <cell r="L678" t="str">
            <v>Baru Bajulmati</v>
          </cell>
          <cell r="M678" t="str">
            <v>PHB</v>
          </cell>
          <cell r="N678" t="str">
            <v>-</v>
          </cell>
          <cell r="O678" t="str">
            <v>-</v>
          </cell>
          <cell r="P678" t="str">
            <v>-</v>
          </cell>
        </row>
        <row r="679">
          <cell r="B679">
            <v>350710026</v>
          </cell>
          <cell r="C679" t="str">
            <v>Licin</v>
          </cell>
          <cell r="D679" t="str">
            <v>-</v>
          </cell>
          <cell r="E679" t="str">
            <v>PSDA di Bondowoso</v>
          </cell>
          <cell r="F679" t="str">
            <v>Licin</v>
          </cell>
          <cell r="G679" t="str">
            <v>Licin</v>
          </cell>
          <cell r="H679" t="str">
            <v>Banyuwangi</v>
          </cell>
          <cell r="I679" t="str">
            <v>'114.267861</v>
          </cell>
          <cell r="J679" t="str">
            <v>'-8.198167</v>
          </cell>
          <cell r="K679" t="str">
            <v>-</v>
          </cell>
          <cell r="L679" t="str">
            <v>Baru Bajulmati</v>
          </cell>
          <cell r="M679" t="str">
            <v>PHB</v>
          </cell>
          <cell r="N679" t="str">
            <v>-</v>
          </cell>
          <cell r="O679" t="str">
            <v>-</v>
          </cell>
          <cell r="P679" t="str">
            <v>-</v>
          </cell>
        </row>
        <row r="680">
          <cell r="B680">
            <v>350710027</v>
          </cell>
          <cell r="C680" t="str">
            <v>Maelang</v>
          </cell>
          <cell r="D680" t="str">
            <v>-</v>
          </cell>
          <cell r="E680" t="str">
            <v>PSDA di Bondowoso</v>
          </cell>
          <cell r="F680" t="str">
            <v>Watukebo</v>
          </cell>
          <cell r="G680" t="str">
            <v>Wongsorejo</v>
          </cell>
          <cell r="H680" t="str">
            <v>Banyuwangi</v>
          </cell>
          <cell r="I680" t="str">
            <v>'114.33220</v>
          </cell>
          <cell r="J680" t="str">
            <v>'-7.95890</v>
          </cell>
          <cell r="K680" t="str">
            <v>-</v>
          </cell>
          <cell r="L680" t="str">
            <v>Baru Bajulmati</v>
          </cell>
          <cell r="M680" t="str">
            <v>PHB</v>
          </cell>
          <cell r="N680" t="str">
            <v>-</v>
          </cell>
          <cell r="O680" t="str">
            <v>-</v>
          </cell>
          <cell r="P680" t="str">
            <v>-</v>
          </cell>
        </row>
        <row r="681">
          <cell r="B681">
            <v>350710028</v>
          </cell>
          <cell r="C681" t="str">
            <v>Pagergunung</v>
          </cell>
          <cell r="D681" t="str">
            <v>-</v>
          </cell>
          <cell r="E681" t="str">
            <v>PSDA di Lumajang</v>
          </cell>
          <cell r="F681" t="str">
            <v>Karangharjo</v>
          </cell>
          <cell r="G681" t="str">
            <v>Glenmore</v>
          </cell>
          <cell r="H681" t="str">
            <v>Banyuwangi</v>
          </cell>
          <cell r="I681" t="str">
            <v>'113.983067</v>
          </cell>
          <cell r="J681" t="str">
            <v>'-8.376225</v>
          </cell>
          <cell r="K681" t="str">
            <v>-</v>
          </cell>
          <cell r="L681" t="str">
            <v>Baru Bajulmati</v>
          </cell>
          <cell r="M681" t="str">
            <v>PHB</v>
          </cell>
          <cell r="N681" t="str">
            <v>-</v>
          </cell>
          <cell r="O681" t="str">
            <v>-</v>
          </cell>
          <cell r="P681" t="str">
            <v>-</v>
          </cell>
        </row>
        <row r="682">
          <cell r="B682">
            <v>350710029</v>
          </cell>
          <cell r="C682" t="str">
            <v>Pasewaran</v>
          </cell>
          <cell r="D682" t="str">
            <v>-</v>
          </cell>
          <cell r="E682" t="str">
            <v>PSDA di Bondowoso</v>
          </cell>
          <cell r="F682" t="str">
            <v>Watukebo</v>
          </cell>
          <cell r="G682" t="str">
            <v>Wongsorejo</v>
          </cell>
          <cell r="H682" t="str">
            <v>Banyuwangi</v>
          </cell>
          <cell r="I682" t="str">
            <v>'114.24190</v>
          </cell>
          <cell r="J682" t="str">
            <v>'-7.98020</v>
          </cell>
          <cell r="K682" t="str">
            <v>-</v>
          </cell>
          <cell r="L682" t="str">
            <v>Baru Bajulmati</v>
          </cell>
          <cell r="M682" t="str">
            <v>PHB</v>
          </cell>
          <cell r="N682" t="str">
            <v>-</v>
          </cell>
          <cell r="O682" t="str">
            <v>-</v>
          </cell>
          <cell r="P682" t="str">
            <v>-</v>
          </cell>
        </row>
        <row r="683">
          <cell r="B683">
            <v>350710030</v>
          </cell>
          <cell r="C683" t="str">
            <v>Pesanggaran</v>
          </cell>
          <cell r="D683" t="str">
            <v>-</v>
          </cell>
          <cell r="E683" t="str">
            <v>PSDA di Lumajang</v>
          </cell>
          <cell r="F683" t="str">
            <v>Pesanggaran</v>
          </cell>
          <cell r="G683" t="str">
            <v>Pesanggaran</v>
          </cell>
          <cell r="H683" t="str">
            <v>Banyuwangi</v>
          </cell>
          <cell r="I683" t="str">
            <v>'114.100444</v>
          </cell>
          <cell r="J683" t="str">
            <v>'-8.561611</v>
          </cell>
          <cell r="K683" t="str">
            <v>-</v>
          </cell>
          <cell r="L683" t="str">
            <v>Baru Bajulmati</v>
          </cell>
          <cell r="M683" t="str">
            <v>PHB</v>
          </cell>
          <cell r="N683" t="str">
            <v>-</v>
          </cell>
          <cell r="O683" t="str">
            <v>-</v>
          </cell>
          <cell r="P683" t="str">
            <v>-</v>
          </cell>
        </row>
        <row r="684">
          <cell r="B684">
            <v>350710031</v>
          </cell>
          <cell r="C684" t="str">
            <v>Plosorejo</v>
          </cell>
          <cell r="D684" t="str">
            <v>-</v>
          </cell>
          <cell r="E684" t="str">
            <v>PSDA di Bondowoso</v>
          </cell>
          <cell r="F684" t="str">
            <v>Tampo</v>
          </cell>
          <cell r="G684" t="str">
            <v>Cluring</v>
          </cell>
          <cell r="H684" t="str">
            <v>Banyuwangi</v>
          </cell>
          <cell r="I684" t="str">
            <v>'114.259222</v>
          </cell>
          <cell r="J684" t="str">
            <v>'-8.452778</v>
          </cell>
          <cell r="K684" t="str">
            <v>-</v>
          </cell>
          <cell r="L684" t="str">
            <v>Baru Bajulmati</v>
          </cell>
          <cell r="M684" t="str">
            <v>PHB</v>
          </cell>
          <cell r="N684" t="str">
            <v>-</v>
          </cell>
          <cell r="O684" t="str">
            <v>-</v>
          </cell>
          <cell r="P684" t="str">
            <v>-</v>
          </cell>
        </row>
        <row r="685">
          <cell r="B685">
            <v>350710032</v>
          </cell>
          <cell r="C685" t="str">
            <v>Purwoharjo</v>
          </cell>
          <cell r="D685" t="str">
            <v>-</v>
          </cell>
          <cell r="E685" t="str">
            <v>PSDA di Lumajang</v>
          </cell>
          <cell r="F685" t="str">
            <v>Purwoharjo</v>
          </cell>
          <cell r="G685" t="str">
            <v>Purwoharjo</v>
          </cell>
          <cell r="H685" t="str">
            <v>Banyuwangi</v>
          </cell>
          <cell r="I685" t="str">
            <v>'114.2369</v>
          </cell>
          <cell r="J685" t="str">
            <v>'-8.4936</v>
          </cell>
          <cell r="K685" t="str">
            <v>-</v>
          </cell>
          <cell r="L685" t="str">
            <v>Baru Bajulmati</v>
          </cell>
          <cell r="M685" t="str">
            <v>PHB</v>
          </cell>
          <cell r="N685" t="str">
            <v>-</v>
          </cell>
          <cell r="O685" t="str">
            <v>-</v>
          </cell>
          <cell r="P685" t="str">
            <v>-</v>
          </cell>
        </row>
        <row r="686">
          <cell r="B686">
            <v>350710033</v>
          </cell>
          <cell r="C686" t="str">
            <v>Rogojampi</v>
          </cell>
          <cell r="D686" t="str">
            <v>-</v>
          </cell>
          <cell r="E686" t="str">
            <v>PSDA di Bondowoso</v>
          </cell>
          <cell r="F686" t="str">
            <v>Lemahbangdewo</v>
          </cell>
          <cell r="G686" t="str">
            <v>Rogojampi</v>
          </cell>
          <cell r="H686" t="str">
            <v>Banyuwangi</v>
          </cell>
          <cell r="I686" t="str">
            <v>'114.281083</v>
          </cell>
          <cell r="J686" t="str">
            <v>'-8.312250</v>
          </cell>
          <cell r="K686" t="str">
            <v>-</v>
          </cell>
          <cell r="L686" t="str">
            <v>Baru Bajulmati</v>
          </cell>
          <cell r="M686" t="str">
            <v>PHB</v>
          </cell>
          <cell r="N686" t="str">
            <v>-</v>
          </cell>
          <cell r="O686" t="str">
            <v>-</v>
          </cell>
          <cell r="P686" t="str">
            <v>-</v>
          </cell>
        </row>
        <row r="687">
          <cell r="B687">
            <v>350710034</v>
          </cell>
          <cell r="C687" t="str">
            <v>Selogiri</v>
          </cell>
          <cell r="D687" t="str">
            <v>-</v>
          </cell>
          <cell r="E687" t="str">
            <v>PSDA di Bondowoso</v>
          </cell>
          <cell r="F687" t="str">
            <v>Giri</v>
          </cell>
          <cell r="G687" t="str">
            <v>Giri</v>
          </cell>
          <cell r="H687" t="str">
            <v>Banyuwangi</v>
          </cell>
          <cell r="I687" t="str">
            <v>'114.353583</v>
          </cell>
          <cell r="J687" t="str">
            <v>'-8.092750</v>
          </cell>
          <cell r="K687" t="str">
            <v>-</v>
          </cell>
          <cell r="L687" t="str">
            <v>Baru Bajulmati</v>
          </cell>
          <cell r="M687" t="str">
            <v>PHB</v>
          </cell>
          <cell r="N687" t="str">
            <v>-</v>
          </cell>
          <cell r="O687" t="str">
            <v>-</v>
          </cell>
          <cell r="P687" t="str">
            <v>-</v>
          </cell>
        </row>
        <row r="688">
          <cell r="B688">
            <v>350710035</v>
          </cell>
          <cell r="C688" t="str">
            <v>Sidomulyo BWI</v>
          </cell>
          <cell r="D688" t="str">
            <v>-</v>
          </cell>
          <cell r="E688" t="str">
            <v>PSDA di Bondowoso</v>
          </cell>
          <cell r="F688" t="str">
            <v>Alas Bulu</v>
          </cell>
          <cell r="G688" t="str">
            <v>Wongsorejo</v>
          </cell>
          <cell r="H688" t="str">
            <v>Banyuwangi</v>
          </cell>
          <cell r="I688" t="str">
            <v>'114.40000</v>
          </cell>
          <cell r="J688" t="str">
            <v>'-8.017200</v>
          </cell>
          <cell r="K688" t="str">
            <v>-</v>
          </cell>
          <cell r="L688" t="str">
            <v>Baru Bajulmati</v>
          </cell>
          <cell r="M688" t="str">
            <v>PHB</v>
          </cell>
          <cell r="N688" t="str">
            <v>-</v>
          </cell>
          <cell r="O688" t="str">
            <v>-</v>
          </cell>
          <cell r="P688" t="str">
            <v>-</v>
          </cell>
        </row>
        <row r="689">
          <cell r="B689">
            <v>350710036</v>
          </cell>
          <cell r="C689" t="str">
            <v>Songgon</v>
          </cell>
          <cell r="D689" t="str">
            <v>-</v>
          </cell>
          <cell r="E689" t="str">
            <v>PSDA di Bondowoso</v>
          </cell>
          <cell r="F689" t="str">
            <v>Songgon</v>
          </cell>
          <cell r="G689" t="str">
            <v>Songgon</v>
          </cell>
          <cell r="H689" t="str">
            <v>Banyuwangi</v>
          </cell>
          <cell r="I689" t="str">
            <v>'114.1914</v>
          </cell>
          <cell r="J689" t="str">
            <v>'-8.2286</v>
          </cell>
          <cell r="K689" t="str">
            <v>-</v>
          </cell>
          <cell r="L689" t="str">
            <v>Baru Bajulmati</v>
          </cell>
          <cell r="M689" t="str">
            <v>PHB</v>
          </cell>
          <cell r="N689" t="str">
            <v>-</v>
          </cell>
          <cell r="O689" t="str">
            <v>-</v>
          </cell>
          <cell r="P689" t="str">
            <v>-</v>
          </cell>
        </row>
        <row r="690">
          <cell r="B690">
            <v>350710037</v>
          </cell>
          <cell r="C690" t="str">
            <v>Sukonatar</v>
          </cell>
          <cell r="D690" t="str">
            <v>-</v>
          </cell>
          <cell r="E690" t="str">
            <v>PSDA di Bondowoso</v>
          </cell>
          <cell r="F690" t="str">
            <v>Sukonatar</v>
          </cell>
          <cell r="G690" t="str">
            <v>Srono</v>
          </cell>
          <cell r="H690" t="str">
            <v>Banyuwangi</v>
          </cell>
          <cell r="I690" t="str">
            <v>'114.276528</v>
          </cell>
          <cell r="J690" t="str">
            <v>'-8.387139</v>
          </cell>
          <cell r="K690" t="str">
            <v>-</v>
          </cell>
          <cell r="L690" t="str">
            <v>Baru Bajulmati</v>
          </cell>
          <cell r="M690" t="str">
            <v>PHB</v>
          </cell>
          <cell r="N690" t="str">
            <v>-</v>
          </cell>
          <cell r="O690" t="str">
            <v>-</v>
          </cell>
          <cell r="P690" t="str">
            <v>-</v>
          </cell>
        </row>
        <row r="691">
          <cell r="B691">
            <v>350710038</v>
          </cell>
          <cell r="C691" t="str">
            <v>Sumber Beras</v>
          </cell>
          <cell r="D691" t="str">
            <v>-</v>
          </cell>
          <cell r="E691" t="str">
            <v>PSDA di Bondowoso</v>
          </cell>
          <cell r="F691" t="str">
            <v>Sumber Beras</v>
          </cell>
          <cell r="G691" t="str">
            <v>Muncar</v>
          </cell>
          <cell r="H691" t="str">
            <v>Banyuwangi</v>
          </cell>
          <cell r="I691" t="str">
            <v>'114.302028</v>
          </cell>
          <cell r="J691" t="str">
            <v>'-8.477833</v>
          </cell>
          <cell r="K691" t="str">
            <v>-</v>
          </cell>
          <cell r="L691" t="str">
            <v>Baru Bajulmati</v>
          </cell>
          <cell r="M691" t="str">
            <v>PHB</v>
          </cell>
          <cell r="N691" t="str">
            <v>-</v>
          </cell>
          <cell r="O691" t="str">
            <v>-</v>
          </cell>
          <cell r="P691" t="str">
            <v>-</v>
          </cell>
        </row>
        <row r="692">
          <cell r="B692">
            <v>350710039</v>
          </cell>
          <cell r="C692" t="str">
            <v>Tambong</v>
          </cell>
          <cell r="D692" t="str">
            <v>-</v>
          </cell>
          <cell r="E692" t="str">
            <v>PSDA di Bondowoso</v>
          </cell>
          <cell r="F692" t="str">
            <v>Tambong</v>
          </cell>
          <cell r="G692" t="str">
            <v>Kabat</v>
          </cell>
          <cell r="H692" t="str">
            <v>Banyuwangi</v>
          </cell>
          <cell r="I692" t="str">
            <v>'114.297667</v>
          </cell>
          <cell r="J692" t="str">
            <v>'-8.258972</v>
          </cell>
          <cell r="K692" t="str">
            <v>-</v>
          </cell>
          <cell r="L692" t="str">
            <v>Baru Bajulmati</v>
          </cell>
          <cell r="M692" t="str">
            <v>PHB</v>
          </cell>
          <cell r="N692" t="str">
            <v>-</v>
          </cell>
          <cell r="O692" t="str">
            <v>-</v>
          </cell>
          <cell r="P692" t="str">
            <v>-</v>
          </cell>
        </row>
        <row r="693">
          <cell r="B693">
            <v>350710040</v>
          </cell>
          <cell r="C693" t="str">
            <v>Tegal dlimo</v>
          </cell>
          <cell r="D693" t="str">
            <v>-</v>
          </cell>
          <cell r="E693" t="str">
            <v>PSDA di Lumajang</v>
          </cell>
          <cell r="F693" t="str">
            <v>Tegaldlimo</v>
          </cell>
          <cell r="G693" t="str">
            <v>Tegaldlimo</v>
          </cell>
          <cell r="H693" t="str">
            <v>Banyuwangi</v>
          </cell>
          <cell r="I693" t="str">
            <v>'114.276694</v>
          </cell>
          <cell r="J693" t="str">
            <v>'-8.508806</v>
          </cell>
          <cell r="K693" t="str">
            <v>-</v>
          </cell>
          <cell r="L693" t="str">
            <v>Baru Bajulmati</v>
          </cell>
          <cell r="M693" t="str">
            <v>PHB</v>
          </cell>
          <cell r="N693" t="str">
            <v>-</v>
          </cell>
          <cell r="O693" t="str">
            <v>-</v>
          </cell>
          <cell r="P693" t="str">
            <v>-</v>
          </cell>
        </row>
        <row r="694">
          <cell r="B694">
            <v>350710041</v>
          </cell>
          <cell r="C694" t="str">
            <v>Temuguruh</v>
          </cell>
          <cell r="D694" t="str">
            <v>-</v>
          </cell>
          <cell r="E694" t="str">
            <v>PSDA di Bondowoso</v>
          </cell>
          <cell r="F694" t="str">
            <v>Temuasri</v>
          </cell>
          <cell r="G694" t="str">
            <v>Sempu</v>
          </cell>
          <cell r="H694" t="str">
            <v>Banyuwangi</v>
          </cell>
          <cell r="I694" t="str">
            <v>'114.165972</v>
          </cell>
          <cell r="J694" t="str">
            <v>'-8.279194</v>
          </cell>
          <cell r="K694" t="str">
            <v>-</v>
          </cell>
          <cell r="L694" t="str">
            <v>Baru Bajulmati</v>
          </cell>
          <cell r="M694" t="str">
            <v>PHB</v>
          </cell>
          <cell r="N694" t="str">
            <v>-</v>
          </cell>
          <cell r="O694" t="str">
            <v>-</v>
          </cell>
          <cell r="P694" t="str">
            <v>-</v>
          </cell>
        </row>
        <row r="695">
          <cell r="B695">
            <v>350710042</v>
          </cell>
          <cell r="C695" t="str">
            <v>Turus</v>
          </cell>
          <cell r="D695" t="str">
            <v>-</v>
          </cell>
          <cell r="E695" t="str">
            <v>PSDA di Bondowoso</v>
          </cell>
          <cell r="F695" t="str">
            <v>Kemiri</v>
          </cell>
          <cell r="G695" t="str">
            <v>Singojuruh</v>
          </cell>
          <cell r="H695" t="str">
            <v>Banyuwangi</v>
          </cell>
          <cell r="I695" t="str">
            <v>'114.201889</v>
          </cell>
          <cell r="J695" t="str">
            <v>'-8.284667</v>
          </cell>
          <cell r="K695" t="str">
            <v>-</v>
          </cell>
          <cell r="L695" t="str">
            <v>Baru Bajulmati</v>
          </cell>
          <cell r="M695" t="str">
            <v>PHB</v>
          </cell>
          <cell r="N695" t="str">
            <v>-</v>
          </cell>
          <cell r="O695" t="str">
            <v>-</v>
          </cell>
          <cell r="P695" t="str">
            <v>-</v>
          </cell>
        </row>
        <row r="696">
          <cell r="B696">
            <v>350710043</v>
          </cell>
          <cell r="C696" t="str">
            <v>Wongsorejo</v>
          </cell>
          <cell r="D696" t="str">
            <v>-</v>
          </cell>
          <cell r="E696" t="str">
            <v>PSDA di Bondowoso</v>
          </cell>
          <cell r="F696" t="str">
            <v>Wongsorejo</v>
          </cell>
          <cell r="G696" t="str">
            <v>Wongsorejo</v>
          </cell>
          <cell r="H696" t="str">
            <v>Banyuwangi</v>
          </cell>
          <cell r="I696" t="str">
            <v>'114.40160</v>
          </cell>
          <cell r="J696" t="str">
            <v>'-7.99240</v>
          </cell>
          <cell r="K696" t="str">
            <v>-</v>
          </cell>
          <cell r="L696" t="str">
            <v>Baru Bajulmati</v>
          </cell>
          <cell r="M696" t="str">
            <v>PHB</v>
          </cell>
          <cell r="N696" t="str">
            <v>-</v>
          </cell>
          <cell r="O696" t="str">
            <v>-</v>
          </cell>
          <cell r="P696" t="str">
            <v>-</v>
          </cell>
        </row>
        <row r="697">
          <cell r="B697">
            <v>350710044</v>
          </cell>
          <cell r="C697" t="str">
            <v>Mangir</v>
          </cell>
          <cell r="D697" t="str">
            <v>-</v>
          </cell>
          <cell r="E697" t="str">
            <v>PSDA di Bondowoso</v>
          </cell>
          <cell r="F697" t="str">
            <v>Mangir</v>
          </cell>
          <cell r="G697" t="str">
            <v>Rogojampi</v>
          </cell>
          <cell r="H697" t="str">
            <v>Banyuwangi</v>
          </cell>
          <cell r="I697" t="str">
            <v>'114.28750</v>
          </cell>
          <cell r="J697" t="str">
            <v>'-8.35417</v>
          </cell>
          <cell r="K697" t="str">
            <v>-</v>
          </cell>
          <cell r="L697" t="str">
            <v>Baru Bajulmati</v>
          </cell>
          <cell r="M697" t="str">
            <v>PHB</v>
          </cell>
          <cell r="N697" t="str">
            <v>-</v>
          </cell>
          <cell r="O697" t="str">
            <v>-</v>
          </cell>
          <cell r="P697" t="str">
            <v>-</v>
          </cell>
        </row>
        <row r="698">
          <cell r="B698">
            <v>350710045</v>
          </cell>
          <cell r="C698" t="str">
            <v>Bayu Lor</v>
          </cell>
          <cell r="D698" t="str">
            <v>-</v>
          </cell>
          <cell r="E698" t="str">
            <v>PSDA di Bondowoso</v>
          </cell>
          <cell r="F698" t="str">
            <v>Bayu</v>
          </cell>
          <cell r="G698" t="str">
            <v>Songgon</v>
          </cell>
          <cell r="H698" t="str">
            <v>Banyuwangi</v>
          </cell>
          <cell r="I698" t="str">
            <v>'114.185787</v>
          </cell>
          <cell r="J698" t="str">
            <v>'-8.188463</v>
          </cell>
          <cell r="K698" t="str">
            <v>-</v>
          </cell>
          <cell r="L698" t="str">
            <v>Baru Bajulmati</v>
          </cell>
          <cell r="M698" t="str">
            <v>PHB</v>
          </cell>
          <cell r="N698" t="str">
            <v>-</v>
          </cell>
          <cell r="O698" t="str">
            <v>-</v>
          </cell>
          <cell r="P698" t="str">
            <v>-</v>
          </cell>
        </row>
        <row r="699">
          <cell r="B699">
            <v>350711001</v>
          </cell>
          <cell r="C699" t="str">
            <v>Ancar</v>
          </cell>
          <cell r="D699" t="str">
            <v>-</v>
          </cell>
          <cell r="E699" t="str">
            <v>PSDA di Bondowoso</v>
          </cell>
          <cell r="F699" t="str">
            <v>Jetis</v>
          </cell>
          <cell r="G699" t="str">
            <v>Curahdami</v>
          </cell>
          <cell r="H699" t="str">
            <v>Bondowoso</v>
          </cell>
          <cell r="I699" t="str">
            <v>'113.79128</v>
          </cell>
          <cell r="J699" t="str">
            <v>'-7.95058</v>
          </cell>
          <cell r="K699" t="str">
            <v>-</v>
          </cell>
          <cell r="L699" t="str">
            <v>Pekalen Sampean</v>
          </cell>
          <cell r="M699" t="str">
            <v>PHB</v>
          </cell>
          <cell r="N699" t="str">
            <v>-</v>
          </cell>
          <cell r="O699" t="str">
            <v>-</v>
          </cell>
          <cell r="P699" t="str">
            <v>-</v>
          </cell>
        </row>
        <row r="700">
          <cell r="B700">
            <v>350711002</v>
          </cell>
          <cell r="C700" t="str">
            <v>Blimbing</v>
          </cell>
          <cell r="D700" t="str">
            <v>-</v>
          </cell>
          <cell r="E700" t="str">
            <v>PSDA di Bondowoso</v>
          </cell>
          <cell r="F700" t="str">
            <v>Petung</v>
          </cell>
          <cell r="G700" t="str">
            <v>Pakem</v>
          </cell>
          <cell r="H700" t="str">
            <v>Bondowoso</v>
          </cell>
          <cell r="I700" t="str">
            <v>'113.73141</v>
          </cell>
          <cell r="J700" t="str">
            <v>'-7.85606</v>
          </cell>
          <cell r="K700" t="str">
            <v>-</v>
          </cell>
          <cell r="L700" t="str">
            <v>Pekalen Sampean</v>
          </cell>
          <cell r="M700" t="str">
            <v>PHB</v>
          </cell>
          <cell r="N700" t="str">
            <v>-</v>
          </cell>
          <cell r="O700" t="str">
            <v>-</v>
          </cell>
          <cell r="P700" t="str">
            <v>-</v>
          </cell>
        </row>
        <row r="701">
          <cell r="B701">
            <v>350711003</v>
          </cell>
          <cell r="C701" t="str">
            <v>Bluncong</v>
          </cell>
          <cell r="D701" t="str">
            <v>-</v>
          </cell>
          <cell r="E701" t="str">
            <v>PSDA di Bondowoso</v>
          </cell>
          <cell r="F701" t="str">
            <v>Pandak</v>
          </cell>
          <cell r="G701" t="str">
            <v>Klabang</v>
          </cell>
          <cell r="H701" t="str">
            <v>Bondowoso</v>
          </cell>
          <cell r="I701" t="str">
            <v>'113.94608</v>
          </cell>
          <cell r="J701" t="str">
            <v>'-7.81709</v>
          </cell>
          <cell r="K701" t="str">
            <v>-</v>
          </cell>
          <cell r="L701" t="str">
            <v>Pekalen Sampean</v>
          </cell>
          <cell r="M701" t="str">
            <v>PHB</v>
          </cell>
          <cell r="N701" t="str">
            <v>-</v>
          </cell>
          <cell r="O701" t="str">
            <v>-</v>
          </cell>
          <cell r="P701" t="str">
            <v>-</v>
          </cell>
        </row>
        <row r="702">
          <cell r="B702">
            <v>350711004</v>
          </cell>
          <cell r="C702" t="str">
            <v>Cerme BDWS</v>
          </cell>
          <cell r="D702" t="str">
            <v>-</v>
          </cell>
          <cell r="E702" t="str">
            <v>PSDA di Bondowoso</v>
          </cell>
          <cell r="F702" t="str">
            <v>Cermee</v>
          </cell>
          <cell r="G702" t="str">
            <v>Cermee</v>
          </cell>
          <cell r="H702" t="str">
            <v>Bondowoso</v>
          </cell>
          <cell r="I702" t="str">
            <v>'114.05231</v>
          </cell>
          <cell r="J702" t="str">
            <v>'-7.77721</v>
          </cell>
          <cell r="K702" t="str">
            <v>-</v>
          </cell>
          <cell r="L702" t="str">
            <v>Pekalen Sampean</v>
          </cell>
          <cell r="M702" t="str">
            <v>PHB</v>
          </cell>
          <cell r="N702" t="str">
            <v>-</v>
          </cell>
          <cell r="O702" t="str">
            <v>-</v>
          </cell>
          <cell r="P702" t="str">
            <v>-</v>
          </cell>
        </row>
        <row r="703">
          <cell r="B703">
            <v>350711005</v>
          </cell>
          <cell r="C703" t="str">
            <v>Clangap</v>
          </cell>
          <cell r="D703" t="str">
            <v>-</v>
          </cell>
          <cell r="E703" t="str">
            <v>PSDA di Bondowoso</v>
          </cell>
          <cell r="F703" t="str">
            <v>Alas Sumur</v>
          </cell>
          <cell r="G703" t="str">
            <v>Pujer</v>
          </cell>
          <cell r="H703" t="str">
            <v>Bondowoso</v>
          </cell>
          <cell r="I703" t="str">
            <v>'113.87505</v>
          </cell>
          <cell r="J703" t="str">
            <v>'-8.00583</v>
          </cell>
          <cell r="K703" t="str">
            <v>-</v>
          </cell>
          <cell r="L703" t="str">
            <v>Pekalen Sampean</v>
          </cell>
          <cell r="M703" t="str">
            <v>PHB</v>
          </cell>
          <cell r="N703" t="str">
            <v>-</v>
          </cell>
          <cell r="O703" t="str">
            <v>-</v>
          </cell>
          <cell r="P703" t="str">
            <v>-</v>
          </cell>
        </row>
        <row r="704">
          <cell r="B704">
            <v>350711006</v>
          </cell>
          <cell r="C704" t="str">
            <v>Glendengan</v>
          </cell>
          <cell r="D704" t="str">
            <v>-</v>
          </cell>
          <cell r="E704" t="str">
            <v>PSDA di Bondowoso</v>
          </cell>
          <cell r="F704" t="str">
            <v>Botolinggo</v>
          </cell>
          <cell r="G704" t="str">
            <v>Botolinggo</v>
          </cell>
          <cell r="H704" t="str">
            <v>Bondowoso</v>
          </cell>
          <cell r="I704" t="str">
            <v>'113.97695</v>
          </cell>
          <cell r="J704" t="str">
            <v>'-7.82848</v>
          </cell>
          <cell r="K704" t="str">
            <v>-</v>
          </cell>
          <cell r="L704" t="str">
            <v>Pekalen Sampean</v>
          </cell>
          <cell r="M704" t="str">
            <v>PHB</v>
          </cell>
          <cell r="N704" t="str">
            <v>-</v>
          </cell>
          <cell r="O704" t="str">
            <v>-</v>
          </cell>
          <cell r="P704" t="str">
            <v>-</v>
          </cell>
        </row>
        <row r="705">
          <cell r="B705">
            <v>350711007</v>
          </cell>
          <cell r="C705" t="str">
            <v>Grujugan</v>
          </cell>
          <cell r="D705" t="str">
            <v>-</v>
          </cell>
          <cell r="E705" t="str">
            <v>PSDA di Bondowoso</v>
          </cell>
          <cell r="F705" t="str">
            <v>Grujugan Lor</v>
          </cell>
          <cell r="G705" t="str">
            <v>Jambe Sari Darus Sho</v>
          </cell>
          <cell r="H705" t="str">
            <v>Bondowoso</v>
          </cell>
          <cell r="I705" t="str">
            <v>'113.82877</v>
          </cell>
          <cell r="J705" t="str">
            <v>'-7.95611</v>
          </cell>
          <cell r="K705" t="str">
            <v>-</v>
          </cell>
          <cell r="L705" t="str">
            <v>Pekalen Sampean</v>
          </cell>
          <cell r="M705" t="str">
            <v>PHB</v>
          </cell>
          <cell r="N705" t="str">
            <v>-</v>
          </cell>
          <cell r="O705" t="str">
            <v>-</v>
          </cell>
          <cell r="P705" t="str">
            <v>-</v>
          </cell>
        </row>
        <row r="706">
          <cell r="B706">
            <v>350711008</v>
          </cell>
          <cell r="C706" t="str">
            <v>Jero</v>
          </cell>
          <cell r="D706" t="str">
            <v>-</v>
          </cell>
          <cell r="E706" t="str">
            <v>PSDA di Bondowoso</v>
          </cell>
          <cell r="F706" t="str">
            <v>Kalitapen</v>
          </cell>
          <cell r="G706" t="str">
            <v>Tapen</v>
          </cell>
          <cell r="H706" t="str">
            <v>Bondowoso</v>
          </cell>
          <cell r="I706" t="str">
            <v>'113.9152722</v>
          </cell>
          <cell r="J706" t="str">
            <v>'-7.86213611</v>
          </cell>
          <cell r="K706" t="str">
            <v>-</v>
          </cell>
          <cell r="L706" t="str">
            <v>Pekalen Sampean</v>
          </cell>
          <cell r="M706" t="str">
            <v>PHB</v>
          </cell>
          <cell r="N706" t="str">
            <v>-</v>
          </cell>
          <cell r="O706" t="str">
            <v>-</v>
          </cell>
          <cell r="P706" t="str">
            <v>-</v>
          </cell>
        </row>
        <row r="707">
          <cell r="B707">
            <v>350711009</v>
          </cell>
          <cell r="C707" t="str">
            <v>Kejayan</v>
          </cell>
          <cell r="D707" t="str">
            <v>-</v>
          </cell>
          <cell r="E707" t="str">
            <v>PSDA di Bondowoso</v>
          </cell>
          <cell r="F707" t="str">
            <v>Kejayan</v>
          </cell>
          <cell r="G707" t="str">
            <v>Pujer</v>
          </cell>
          <cell r="H707" t="str">
            <v>Bondowoso</v>
          </cell>
          <cell r="I707" t="str">
            <v>'113.87491</v>
          </cell>
          <cell r="J707" t="str">
            <v>'-7.96008</v>
          </cell>
          <cell r="K707" t="str">
            <v>-</v>
          </cell>
          <cell r="L707" t="str">
            <v>Pekalen Sampean</v>
          </cell>
          <cell r="M707" t="str">
            <v>PHB</v>
          </cell>
          <cell r="N707" t="str">
            <v>-</v>
          </cell>
          <cell r="O707" t="str">
            <v>-</v>
          </cell>
          <cell r="P707" t="str">
            <v>-</v>
          </cell>
        </row>
        <row r="708">
          <cell r="B708">
            <v>350711010</v>
          </cell>
          <cell r="C708" t="str">
            <v>Kesemek</v>
          </cell>
          <cell r="D708" t="str">
            <v>-</v>
          </cell>
          <cell r="E708" t="str">
            <v>PSDA di Bondowoso</v>
          </cell>
          <cell r="F708" t="str">
            <v>Kesemek</v>
          </cell>
          <cell r="G708" t="str">
            <v>Tenggarang</v>
          </cell>
          <cell r="H708" t="str">
            <v>Bondowoso</v>
          </cell>
          <cell r="I708" t="str">
            <v>'113.87233</v>
          </cell>
          <cell r="J708" t="str">
            <v>'-7.96270</v>
          </cell>
          <cell r="K708" t="str">
            <v>-</v>
          </cell>
          <cell r="L708" t="str">
            <v>Pekalen Sampean</v>
          </cell>
          <cell r="M708" t="str">
            <v>PHB</v>
          </cell>
          <cell r="N708" t="str">
            <v>-</v>
          </cell>
          <cell r="O708" t="str">
            <v>-</v>
          </cell>
          <cell r="P708" t="str">
            <v>-</v>
          </cell>
        </row>
        <row r="709">
          <cell r="B709">
            <v>350711011</v>
          </cell>
          <cell r="C709" t="str">
            <v>Klabang</v>
          </cell>
          <cell r="D709" t="str">
            <v>-</v>
          </cell>
          <cell r="E709" t="str">
            <v>PSDA di Bondowoso</v>
          </cell>
          <cell r="F709" t="str">
            <v>Klabang</v>
          </cell>
          <cell r="G709" t="str">
            <v>Tegalampel</v>
          </cell>
          <cell r="H709" t="str">
            <v>Bondowoso</v>
          </cell>
          <cell r="I709" t="str">
            <v>'113.82025781</v>
          </cell>
          <cell r="J709" t="str">
            <v>'-7.87031171</v>
          </cell>
          <cell r="K709" t="str">
            <v>-</v>
          </cell>
          <cell r="L709" t="str">
            <v>Pekalen Sampean</v>
          </cell>
          <cell r="M709" t="str">
            <v>PHB</v>
          </cell>
          <cell r="N709" t="str">
            <v>-</v>
          </cell>
          <cell r="O709" t="str">
            <v>-</v>
          </cell>
          <cell r="P709" t="str">
            <v>-</v>
          </cell>
        </row>
        <row r="710">
          <cell r="B710">
            <v>350711012</v>
          </cell>
          <cell r="C710" t="str">
            <v>Kolpoh</v>
          </cell>
          <cell r="D710" t="str">
            <v>-</v>
          </cell>
          <cell r="E710" t="str">
            <v>PSDA di Bondowoso</v>
          </cell>
          <cell r="F710" t="str">
            <v>Sempol</v>
          </cell>
          <cell r="G710" t="str">
            <v>Prajekan</v>
          </cell>
          <cell r="H710" t="str">
            <v>Bondowoso</v>
          </cell>
          <cell r="I710" t="str">
            <v>'114.00470</v>
          </cell>
          <cell r="J710" t="str">
            <v>'-7.79641</v>
          </cell>
          <cell r="K710" t="str">
            <v>-</v>
          </cell>
          <cell r="L710" t="str">
            <v>Pekalen Sampean</v>
          </cell>
          <cell r="M710" t="str">
            <v>PHB</v>
          </cell>
          <cell r="N710" t="str">
            <v>-</v>
          </cell>
          <cell r="O710" t="str">
            <v>-</v>
          </cell>
          <cell r="P710" t="str">
            <v>-</v>
          </cell>
        </row>
        <row r="711">
          <cell r="B711">
            <v>350711013</v>
          </cell>
          <cell r="C711" t="str">
            <v>Maesan</v>
          </cell>
          <cell r="D711" t="str">
            <v>-</v>
          </cell>
          <cell r="E711" t="str">
            <v>PSDA di Bondowoso</v>
          </cell>
          <cell r="F711" t="str">
            <v>Maesan</v>
          </cell>
          <cell r="G711" t="str">
            <v>Maesan</v>
          </cell>
          <cell r="H711" t="str">
            <v>Bondowoso</v>
          </cell>
          <cell r="I711" t="str">
            <v>'113.77743</v>
          </cell>
          <cell r="J711" t="str">
            <v>'-8.02097</v>
          </cell>
          <cell r="K711" t="str">
            <v>-</v>
          </cell>
          <cell r="L711" t="str">
            <v>Pekalen Sampean</v>
          </cell>
          <cell r="M711" t="str">
            <v>PHB</v>
          </cell>
          <cell r="N711" t="str">
            <v>-</v>
          </cell>
          <cell r="O711" t="str">
            <v>-</v>
          </cell>
          <cell r="P711" t="str">
            <v>-</v>
          </cell>
        </row>
        <row r="712">
          <cell r="B712">
            <v>350711014</v>
          </cell>
          <cell r="C712" t="str">
            <v>Maskuning</v>
          </cell>
          <cell r="D712" t="str">
            <v>-</v>
          </cell>
          <cell r="E712" t="str">
            <v>PSDA di Bondowoso</v>
          </cell>
          <cell r="F712" t="str">
            <v>Maskuning Wetan</v>
          </cell>
          <cell r="G712" t="str">
            <v>Pujer</v>
          </cell>
          <cell r="H712" t="str">
            <v>Bondowoso</v>
          </cell>
          <cell r="I712" t="str">
            <v>'113.90635</v>
          </cell>
          <cell r="J712" t="str">
            <v>'-7.98614</v>
          </cell>
          <cell r="K712" t="str">
            <v>-</v>
          </cell>
          <cell r="L712" t="str">
            <v>Pekalen Sampean</v>
          </cell>
          <cell r="M712" t="str">
            <v>PHB</v>
          </cell>
          <cell r="N712" t="str">
            <v>-</v>
          </cell>
          <cell r="O712" t="str">
            <v>-</v>
          </cell>
          <cell r="P712" t="str">
            <v>-</v>
          </cell>
        </row>
        <row r="713">
          <cell r="B713">
            <v>350711015</v>
          </cell>
          <cell r="C713" t="str">
            <v>Pakisan</v>
          </cell>
          <cell r="D713" t="str">
            <v>-</v>
          </cell>
          <cell r="E713" t="str">
            <v>PSDA di Bondowoso</v>
          </cell>
          <cell r="F713" t="str">
            <v>Pakisan</v>
          </cell>
          <cell r="G713" t="str">
            <v>Tlogosari</v>
          </cell>
          <cell r="H713" t="str">
            <v>Bondowoso</v>
          </cell>
          <cell r="I713" t="str">
            <v>'113.92199</v>
          </cell>
          <cell r="J713" t="str">
            <v>'-7.98934</v>
          </cell>
          <cell r="K713" t="str">
            <v>-</v>
          </cell>
          <cell r="L713" t="str">
            <v>Pekalen Sampean</v>
          </cell>
          <cell r="M713" t="str">
            <v>PHB</v>
          </cell>
          <cell r="N713" t="str">
            <v>-</v>
          </cell>
          <cell r="O713" t="str">
            <v>-</v>
          </cell>
          <cell r="P713" t="str">
            <v>-</v>
          </cell>
        </row>
        <row r="714">
          <cell r="B714">
            <v>350711016</v>
          </cell>
          <cell r="C714" t="str">
            <v>Pandan</v>
          </cell>
          <cell r="D714" t="str">
            <v>-</v>
          </cell>
          <cell r="E714" t="str">
            <v>PSDA di Bondowoso</v>
          </cell>
          <cell r="F714" t="str">
            <v>Suling Wetan</v>
          </cell>
          <cell r="G714" t="str">
            <v>Cermee</v>
          </cell>
          <cell r="H714" t="str">
            <v>Bondowoso</v>
          </cell>
          <cell r="I714" t="str">
            <v>'114.04252</v>
          </cell>
          <cell r="J714" t="str">
            <v>'-7.79426</v>
          </cell>
          <cell r="K714" t="str">
            <v>-</v>
          </cell>
          <cell r="L714" t="str">
            <v>Pekalen Sampean</v>
          </cell>
          <cell r="M714" t="str">
            <v>PHB</v>
          </cell>
          <cell r="N714" t="str">
            <v>-</v>
          </cell>
          <cell r="O714" t="str">
            <v>-</v>
          </cell>
          <cell r="P714" t="str">
            <v>-</v>
          </cell>
        </row>
        <row r="715">
          <cell r="B715">
            <v>350711017</v>
          </cell>
          <cell r="C715" t="str">
            <v>Pinang pait</v>
          </cell>
          <cell r="D715" t="str">
            <v>-</v>
          </cell>
          <cell r="E715" t="str">
            <v>PSDA di Bondowoso</v>
          </cell>
          <cell r="F715" t="str">
            <v>Pecalongan</v>
          </cell>
          <cell r="G715" t="str">
            <v>Sukosari</v>
          </cell>
          <cell r="H715" t="str">
            <v>Bondowoso</v>
          </cell>
          <cell r="I715" t="str">
            <v>'113.93783</v>
          </cell>
          <cell r="J715" t="str">
            <v>'-7.95203</v>
          </cell>
          <cell r="K715" t="str">
            <v>-</v>
          </cell>
          <cell r="L715" t="str">
            <v>Pekalen Sampean</v>
          </cell>
          <cell r="M715" t="str">
            <v>PHB</v>
          </cell>
          <cell r="N715" t="str">
            <v>-</v>
          </cell>
          <cell r="O715" t="str">
            <v>-</v>
          </cell>
          <cell r="P715" t="str">
            <v>-</v>
          </cell>
        </row>
        <row r="716">
          <cell r="B716">
            <v>350711018</v>
          </cell>
          <cell r="C716" t="str">
            <v>Prajekan</v>
          </cell>
          <cell r="D716" t="str">
            <v>-</v>
          </cell>
          <cell r="E716" t="str">
            <v>PSDA di Bondowoso</v>
          </cell>
          <cell r="F716" t="str">
            <v>Walidono</v>
          </cell>
          <cell r="G716" t="str">
            <v>Prajekan</v>
          </cell>
          <cell r="H716" t="str">
            <v>Bondowoso</v>
          </cell>
          <cell r="I716" t="str">
            <v>'113.97685</v>
          </cell>
          <cell r="J716" t="str">
            <v>'-7.80240</v>
          </cell>
          <cell r="K716" t="str">
            <v>-</v>
          </cell>
          <cell r="L716" t="str">
            <v>Pekalen Sampean</v>
          </cell>
          <cell r="M716" t="str">
            <v>PHB</v>
          </cell>
          <cell r="N716" t="str">
            <v>-</v>
          </cell>
          <cell r="O716" t="str">
            <v>-</v>
          </cell>
          <cell r="P716" t="str">
            <v>-</v>
          </cell>
        </row>
        <row r="717">
          <cell r="B717">
            <v>350711019</v>
          </cell>
          <cell r="C717" t="str">
            <v>Pringduri</v>
          </cell>
          <cell r="D717" t="str">
            <v>-</v>
          </cell>
          <cell r="E717" t="str">
            <v>PSDA di Bondowoso</v>
          </cell>
          <cell r="F717" t="str">
            <v>Besuk</v>
          </cell>
          <cell r="G717" t="str">
            <v>Klabang</v>
          </cell>
          <cell r="H717" t="str">
            <v>Bondowoso</v>
          </cell>
          <cell r="I717" t="str">
            <v>'113.96003</v>
          </cell>
          <cell r="J717" t="str">
            <v>'-7.82740</v>
          </cell>
          <cell r="K717" t="str">
            <v>-</v>
          </cell>
          <cell r="L717" t="str">
            <v>Pekalen Sampean</v>
          </cell>
          <cell r="M717" t="str">
            <v>PHB</v>
          </cell>
          <cell r="N717" t="str">
            <v>-</v>
          </cell>
          <cell r="O717" t="str">
            <v>-</v>
          </cell>
          <cell r="P717" t="str">
            <v>-</v>
          </cell>
        </row>
        <row r="718">
          <cell r="B718">
            <v>350711020</v>
          </cell>
          <cell r="C718" t="str">
            <v>Ramban Wet</v>
          </cell>
          <cell r="D718" t="str">
            <v>-</v>
          </cell>
          <cell r="E718" t="str">
            <v>PSDA di Bondowoso</v>
          </cell>
          <cell r="F718" t="str">
            <v>Ramban Kulon</v>
          </cell>
          <cell r="G718" t="str">
            <v>Cermee</v>
          </cell>
          <cell r="H718" t="str">
            <v>Bondowoso</v>
          </cell>
          <cell r="I718" t="str">
            <v>'114.03000</v>
          </cell>
          <cell r="J718" t="str">
            <v>'-7.80823</v>
          </cell>
          <cell r="K718" t="str">
            <v>-</v>
          </cell>
          <cell r="L718" t="str">
            <v>Pekalen Sampean</v>
          </cell>
          <cell r="M718" t="str">
            <v>PHB</v>
          </cell>
          <cell r="N718" t="str">
            <v>-</v>
          </cell>
          <cell r="O718" t="str">
            <v>-</v>
          </cell>
          <cell r="P718" t="str">
            <v>-</v>
          </cell>
        </row>
        <row r="719">
          <cell r="B719">
            <v>350711021</v>
          </cell>
          <cell r="C719" t="str">
            <v>SB.16</v>
          </cell>
          <cell r="D719" t="str">
            <v>-</v>
          </cell>
          <cell r="E719" t="str">
            <v>PSDA di Bondowoso</v>
          </cell>
          <cell r="F719" t="str">
            <v>Bercak</v>
          </cell>
          <cell r="G719" t="str">
            <v>Cermee</v>
          </cell>
          <cell r="H719" t="str">
            <v>Bondowoso</v>
          </cell>
          <cell r="I719" t="str">
            <v>'114.07760</v>
          </cell>
          <cell r="J719" t="str">
            <v>'-7.78970</v>
          </cell>
          <cell r="K719" t="str">
            <v>-</v>
          </cell>
          <cell r="L719" t="str">
            <v>Pekalen Sampean</v>
          </cell>
          <cell r="M719" t="str">
            <v>PHB</v>
          </cell>
          <cell r="N719" t="str">
            <v>-</v>
          </cell>
          <cell r="O719" t="str">
            <v>-</v>
          </cell>
          <cell r="P719" t="str">
            <v>-</v>
          </cell>
        </row>
        <row r="720">
          <cell r="B720">
            <v>350711022</v>
          </cell>
          <cell r="C720" t="str">
            <v>Sbr.Dumpyong</v>
          </cell>
          <cell r="D720" t="str">
            <v>-</v>
          </cell>
          <cell r="E720" t="str">
            <v>PSDA di Bondowoso</v>
          </cell>
          <cell r="F720" t="str">
            <v>Sumberdumpyong</v>
          </cell>
          <cell r="G720" t="str">
            <v>Pakem</v>
          </cell>
          <cell r="H720" t="str">
            <v>Bondowoso</v>
          </cell>
          <cell r="I720" t="str">
            <v>'113.74631</v>
          </cell>
          <cell r="J720" t="str">
            <v>'-7.88113</v>
          </cell>
          <cell r="K720" t="str">
            <v>-</v>
          </cell>
          <cell r="L720" t="str">
            <v>Pekalen Sampean</v>
          </cell>
          <cell r="M720" t="str">
            <v>PHB</v>
          </cell>
          <cell r="N720" t="str">
            <v>-</v>
          </cell>
          <cell r="O720" t="str">
            <v>-</v>
          </cell>
          <cell r="P720" t="str">
            <v>-</v>
          </cell>
        </row>
        <row r="721">
          <cell r="B721">
            <v>350711023</v>
          </cell>
          <cell r="C721" t="str">
            <v>Sbr.Gading</v>
          </cell>
          <cell r="D721" t="str">
            <v>-</v>
          </cell>
          <cell r="E721" t="str">
            <v>PSDA di Bondowoso</v>
          </cell>
          <cell r="F721" t="str">
            <v>Sumber Gading</v>
          </cell>
          <cell r="G721" t="str">
            <v>Sumberwringin</v>
          </cell>
          <cell r="H721" t="str">
            <v>Bondowoso</v>
          </cell>
          <cell r="I721" t="str">
            <v>'113.98749</v>
          </cell>
          <cell r="J721" t="str">
            <v>'-7.96885</v>
          </cell>
          <cell r="K721" t="str">
            <v>-</v>
          </cell>
          <cell r="L721" t="str">
            <v>Pekalen Sampean</v>
          </cell>
          <cell r="M721" t="str">
            <v>PHB</v>
          </cell>
          <cell r="N721" t="str">
            <v>-</v>
          </cell>
          <cell r="O721" t="str">
            <v>-</v>
          </cell>
          <cell r="P721" t="str">
            <v>-</v>
          </cell>
        </row>
        <row r="722">
          <cell r="B722">
            <v>350711024</v>
          </cell>
          <cell r="C722" t="str">
            <v>Selolembu</v>
          </cell>
          <cell r="D722" t="str">
            <v>-</v>
          </cell>
          <cell r="E722" t="str">
            <v>PSDA di Bondowoso</v>
          </cell>
          <cell r="F722" t="str">
            <v>Jeruksoksok</v>
          </cell>
          <cell r="G722" t="str">
            <v>Binakal</v>
          </cell>
          <cell r="H722" t="str">
            <v>Bondowoso</v>
          </cell>
          <cell r="I722" t="str">
            <v>'113.79662</v>
          </cell>
          <cell r="J722" t="str">
            <v>'-7.89685</v>
          </cell>
          <cell r="K722" t="str">
            <v>-</v>
          </cell>
          <cell r="L722" t="str">
            <v>Pekalen Sampean</v>
          </cell>
          <cell r="M722" t="str">
            <v>PHB</v>
          </cell>
          <cell r="N722" t="str">
            <v>-</v>
          </cell>
          <cell r="O722" t="str">
            <v>-</v>
          </cell>
          <cell r="P722" t="str">
            <v>-</v>
          </cell>
        </row>
        <row r="723">
          <cell r="B723">
            <v>350711025</v>
          </cell>
          <cell r="C723" t="str">
            <v>Sentral</v>
          </cell>
          <cell r="D723" t="str">
            <v>-</v>
          </cell>
          <cell r="E723" t="str">
            <v>PSDA di Bondowoso</v>
          </cell>
          <cell r="F723" t="str">
            <v>Badean</v>
          </cell>
          <cell r="G723" t="str">
            <v>Bondowoso</v>
          </cell>
          <cell r="H723" t="str">
            <v>Bondowoso</v>
          </cell>
          <cell r="I723" t="str">
            <v>'113.817597</v>
          </cell>
          <cell r="J723" t="str">
            <v>'-7.921663</v>
          </cell>
          <cell r="K723" t="str">
            <v>-</v>
          </cell>
          <cell r="L723" t="str">
            <v>Pekalen Sampean</v>
          </cell>
          <cell r="M723" t="str">
            <v>PHB</v>
          </cell>
          <cell r="N723" t="str">
            <v>-</v>
          </cell>
          <cell r="O723" t="str">
            <v>-</v>
          </cell>
          <cell r="P723" t="str">
            <v>-</v>
          </cell>
        </row>
        <row r="724">
          <cell r="B724">
            <v>350711026</v>
          </cell>
          <cell r="C724" t="str">
            <v>Sukokerto</v>
          </cell>
          <cell r="D724" t="str">
            <v>-</v>
          </cell>
          <cell r="E724" t="str">
            <v>PSDA di Bondowoso</v>
          </cell>
          <cell r="F724" t="str">
            <v>Maskuning Wetan</v>
          </cell>
          <cell r="G724" t="str">
            <v>Pujer</v>
          </cell>
          <cell r="H724" t="str">
            <v>Bondowoso</v>
          </cell>
          <cell r="I724" t="str">
            <v>'113.89830</v>
          </cell>
          <cell r="J724" t="str">
            <v>'-7.98914</v>
          </cell>
          <cell r="K724" t="str">
            <v>-</v>
          </cell>
          <cell r="L724" t="str">
            <v>Pekalen Sampean</v>
          </cell>
          <cell r="M724" t="str">
            <v>PHB</v>
          </cell>
          <cell r="N724" t="str">
            <v>-</v>
          </cell>
          <cell r="O724" t="str">
            <v>-</v>
          </cell>
          <cell r="P724" t="str">
            <v>-</v>
          </cell>
        </row>
        <row r="725">
          <cell r="B725">
            <v>350711027</v>
          </cell>
          <cell r="C725" t="str">
            <v>Suling Wetan</v>
          </cell>
          <cell r="D725" t="str">
            <v>-</v>
          </cell>
          <cell r="E725" t="str">
            <v>PSDA di Bondowoso</v>
          </cell>
          <cell r="F725" t="str">
            <v>Suling Wetan</v>
          </cell>
          <cell r="G725" t="str">
            <v>Cermee</v>
          </cell>
          <cell r="H725" t="str">
            <v>Bondowoso</v>
          </cell>
          <cell r="I725" t="str">
            <v>'114.04582</v>
          </cell>
          <cell r="J725" t="str">
            <v>'-7.79968</v>
          </cell>
          <cell r="K725" t="str">
            <v>-</v>
          </cell>
          <cell r="L725" t="str">
            <v>Pekalen Sampean</v>
          </cell>
          <cell r="M725" t="str">
            <v>PHB</v>
          </cell>
          <cell r="N725" t="str">
            <v>-</v>
          </cell>
          <cell r="O725" t="str">
            <v>-</v>
          </cell>
          <cell r="P725" t="str">
            <v>-</v>
          </cell>
        </row>
        <row r="726">
          <cell r="B726">
            <v>350711028</v>
          </cell>
          <cell r="C726" t="str">
            <v>Taal</v>
          </cell>
          <cell r="D726" t="str">
            <v>-</v>
          </cell>
          <cell r="E726" t="str">
            <v>PSDA di Bondowoso</v>
          </cell>
          <cell r="F726" t="str">
            <v>Taal</v>
          </cell>
          <cell r="G726" t="str">
            <v>Tapen</v>
          </cell>
          <cell r="H726" t="str">
            <v>Bondowoso</v>
          </cell>
          <cell r="I726" t="str">
            <v>'113.95073</v>
          </cell>
          <cell r="J726" t="str">
            <v>'-7.86261</v>
          </cell>
          <cell r="K726" t="str">
            <v>-</v>
          </cell>
          <cell r="L726" t="str">
            <v>Pekalen Sampean</v>
          </cell>
          <cell r="M726" t="str">
            <v>PHB</v>
          </cell>
          <cell r="N726" t="str">
            <v>-</v>
          </cell>
          <cell r="O726" t="str">
            <v>-</v>
          </cell>
          <cell r="P726" t="str">
            <v>-</v>
          </cell>
        </row>
        <row r="727">
          <cell r="B727">
            <v>350711029</v>
          </cell>
          <cell r="C727" t="str">
            <v>Talep</v>
          </cell>
          <cell r="D727" t="str">
            <v>-</v>
          </cell>
          <cell r="E727" t="str">
            <v>PSDA di Bondowoso</v>
          </cell>
          <cell r="F727" t="str">
            <v>Walidono</v>
          </cell>
          <cell r="G727" t="str">
            <v>Prajekan</v>
          </cell>
          <cell r="H727" t="str">
            <v>Bondowoso</v>
          </cell>
          <cell r="I727" t="str">
            <v>'113.97729</v>
          </cell>
          <cell r="J727" t="str">
            <v>'-7.79188</v>
          </cell>
          <cell r="K727" t="str">
            <v>-</v>
          </cell>
          <cell r="L727" t="str">
            <v>Pekalen Sampean</v>
          </cell>
          <cell r="M727" t="str">
            <v>PHB</v>
          </cell>
          <cell r="N727" t="str">
            <v>-</v>
          </cell>
          <cell r="O727" t="str">
            <v>-</v>
          </cell>
          <cell r="P727" t="str">
            <v>-</v>
          </cell>
        </row>
        <row r="728">
          <cell r="B728">
            <v>350711030</v>
          </cell>
          <cell r="C728" t="str">
            <v>Tamanan</v>
          </cell>
          <cell r="D728" t="str">
            <v>-</v>
          </cell>
          <cell r="E728" t="str">
            <v>PSDA di Bondowoso</v>
          </cell>
          <cell r="F728" t="str">
            <v>Tamanan</v>
          </cell>
          <cell r="G728" t="str">
            <v>Tamanan</v>
          </cell>
          <cell r="H728" t="str">
            <v>Bondowoso</v>
          </cell>
          <cell r="I728" t="str">
            <v>'113.82802</v>
          </cell>
          <cell r="J728" t="str">
            <v>'-8.01390</v>
          </cell>
          <cell r="K728" t="str">
            <v>-</v>
          </cell>
          <cell r="L728" t="str">
            <v>Pekalen Sampean</v>
          </cell>
          <cell r="M728" t="str">
            <v>PHB</v>
          </cell>
          <cell r="N728" t="str">
            <v>-</v>
          </cell>
          <cell r="O728" t="str">
            <v>-</v>
          </cell>
          <cell r="P728" t="str">
            <v>-</v>
          </cell>
        </row>
        <row r="729">
          <cell r="B729">
            <v>350711031</v>
          </cell>
          <cell r="C729" t="str">
            <v>Tlogo</v>
          </cell>
          <cell r="D729" t="str">
            <v>-</v>
          </cell>
          <cell r="E729" t="str">
            <v>PSDA di Bondowoso</v>
          </cell>
          <cell r="F729" t="str">
            <v>Tlogosari</v>
          </cell>
          <cell r="G729" t="str">
            <v>Tlogosari</v>
          </cell>
          <cell r="H729" t="str">
            <v>Bondowoso</v>
          </cell>
          <cell r="I729" t="str">
            <v>'113.93613</v>
          </cell>
          <cell r="J729" t="str">
            <v>'-7.99645</v>
          </cell>
          <cell r="K729" t="str">
            <v>-</v>
          </cell>
          <cell r="L729" t="str">
            <v>Pekalen Sampean</v>
          </cell>
          <cell r="M729" t="str">
            <v>PHB</v>
          </cell>
          <cell r="N729" t="str">
            <v>-</v>
          </cell>
          <cell r="O729" t="str">
            <v>-</v>
          </cell>
          <cell r="P729" t="str">
            <v>-</v>
          </cell>
        </row>
        <row r="730">
          <cell r="B730">
            <v>350711032</v>
          </cell>
          <cell r="C730" t="str">
            <v>Wonoboyo</v>
          </cell>
          <cell r="D730" t="str">
            <v>-</v>
          </cell>
          <cell r="E730" t="str">
            <v>PSDA di Bondowoso</v>
          </cell>
          <cell r="F730" t="str">
            <v>Leprak</v>
          </cell>
          <cell r="G730" t="str">
            <v>Klabang</v>
          </cell>
          <cell r="H730" t="str">
            <v>Bondowoso</v>
          </cell>
          <cell r="I730" t="str">
            <v>'113.93639</v>
          </cell>
          <cell r="J730" t="str">
            <v>'-7.80306</v>
          </cell>
          <cell r="K730" t="str">
            <v>-</v>
          </cell>
          <cell r="L730" t="str">
            <v>Pekalen Sampean</v>
          </cell>
          <cell r="M730" t="str">
            <v>PHB</v>
          </cell>
          <cell r="N730" t="str">
            <v>-</v>
          </cell>
          <cell r="O730" t="str">
            <v>-</v>
          </cell>
          <cell r="P730" t="str">
            <v>-</v>
          </cell>
        </row>
        <row r="731">
          <cell r="B731">
            <v>350711033</v>
          </cell>
          <cell r="C731" t="str">
            <v>Wonosari</v>
          </cell>
          <cell r="D731" t="str">
            <v>-</v>
          </cell>
          <cell r="E731" t="str">
            <v>PSDA di Bondowoso</v>
          </cell>
          <cell r="F731" t="str">
            <v>Wonosari</v>
          </cell>
          <cell r="G731" t="str">
            <v>Wonosari</v>
          </cell>
          <cell r="H731" t="str">
            <v>Bondowoso</v>
          </cell>
          <cell r="I731" t="str">
            <v>'113.89387</v>
          </cell>
          <cell r="J731" t="str">
            <v>'-7.88309</v>
          </cell>
          <cell r="K731" t="str">
            <v>-</v>
          </cell>
          <cell r="L731" t="str">
            <v>Pekalen Sampean</v>
          </cell>
          <cell r="M731" t="str">
            <v>PHB</v>
          </cell>
          <cell r="N731" t="str">
            <v>-</v>
          </cell>
          <cell r="O731" t="str">
            <v>-</v>
          </cell>
          <cell r="P731" t="str">
            <v>-</v>
          </cell>
        </row>
        <row r="732">
          <cell r="B732">
            <v>350711034</v>
          </cell>
          <cell r="C732" t="str">
            <v>Wonosari II</v>
          </cell>
          <cell r="D732" t="str">
            <v>-</v>
          </cell>
          <cell r="E732" t="str">
            <v>PSDA di Bondowoso</v>
          </cell>
          <cell r="F732" t="str">
            <v>Wonosari</v>
          </cell>
          <cell r="G732" t="str">
            <v>Grujugan</v>
          </cell>
          <cell r="H732" t="str">
            <v>Bondowoso</v>
          </cell>
          <cell r="I732" t="str">
            <v>'113.77285</v>
          </cell>
          <cell r="J732" t="str">
            <v>'-7.97468</v>
          </cell>
          <cell r="K732" t="str">
            <v>-</v>
          </cell>
          <cell r="L732" t="str">
            <v>Pekalen Sampean</v>
          </cell>
          <cell r="M732" t="str">
            <v>PHB</v>
          </cell>
          <cell r="N732" t="str">
            <v>-</v>
          </cell>
          <cell r="O732" t="str">
            <v>-</v>
          </cell>
          <cell r="P732" t="str">
            <v>-</v>
          </cell>
        </row>
        <row r="733">
          <cell r="B733">
            <v>350711035</v>
          </cell>
          <cell r="C733" t="str">
            <v>Wonosroyo</v>
          </cell>
          <cell r="D733" t="str">
            <v>-</v>
          </cell>
          <cell r="E733" t="str">
            <v>PSDA di Bondowoso</v>
          </cell>
          <cell r="F733" t="str">
            <v>Tumpeng</v>
          </cell>
          <cell r="G733" t="str">
            <v>Wonosari</v>
          </cell>
          <cell r="H733" t="str">
            <v>Bondowoso</v>
          </cell>
          <cell r="I733" t="str">
            <v>'113.88266</v>
          </cell>
          <cell r="J733" t="str">
            <v>'-7.93349</v>
          </cell>
          <cell r="K733" t="str">
            <v>-</v>
          </cell>
          <cell r="L733" t="str">
            <v>Pekalen Sampean</v>
          </cell>
          <cell r="M733" t="str">
            <v>PHB</v>
          </cell>
          <cell r="N733" t="str">
            <v>-</v>
          </cell>
          <cell r="O733" t="str">
            <v>-</v>
          </cell>
          <cell r="P733" t="str">
            <v>-</v>
          </cell>
        </row>
        <row r="734">
          <cell r="B734">
            <v>350711036</v>
          </cell>
          <cell r="C734" t="str">
            <v>Wringin</v>
          </cell>
          <cell r="D734" t="str">
            <v>-</v>
          </cell>
          <cell r="E734" t="str">
            <v>PSDA di Bondowoso</v>
          </cell>
          <cell r="F734" t="str">
            <v>Jatisari</v>
          </cell>
          <cell r="G734" t="str">
            <v>Wringin</v>
          </cell>
          <cell r="H734" t="str">
            <v>Bondowoso</v>
          </cell>
          <cell r="I734" t="str">
            <v>'113.7648858</v>
          </cell>
          <cell r="J734" t="str">
            <v>'-7.8361952</v>
          </cell>
          <cell r="K734" t="str">
            <v>-</v>
          </cell>
          <cell r="L734" t="str">
            <v>Pekalen Sampean</v>
          </cell>
          <cell r="M734" t="str">
            <v>PHB</v>
          </cell>
          <cell r="N734" t="str">
            <v>-</v>
          </cell>
          <cell r="O734" t="str">
            <v>-</v>
          </cell>
          <cell r="P734" t="str">
            <v>-</v>
          </cell>
        </row>
        <row r="735">
          <cell r="B735">
            <v>350712001</v>
          </cell>
          <cell r="C735" t="str">
            <v>Alas malang</v>
          </cell>
          <cell r="D735" t="str">
            <v>-</v>
          </cell>
          <cell r="E735" t="str">
            <v>PSDA di Bondowoso</v>
          </cell>
          <cell r="F735" t="str">
            <v>Alasmalang</v>
          </cell>
          <cell r="G735" t="str">
            <v>Panarukan</v>
          </cell>
          <cell r="H735" t="str">
            <v>Situbondo</v>
          </cell>
          <cell r="I735" t="str">
            <v>'113.9822</v>
          </cell>
          <cell r="J735" t="str">
            <v>'-7.6769</v>
          </cell>
          <cell r="K735" t="str">
            <v>-</v>
          </cell>
          <cell r="L735" t="str">
            <v>Pekalen Sampean</v>
          </cell>
          <cell r="M735" t="str">
            <v>PHB</v>
          </cell>
          <cell r="N735" t="str">
            <v>-</v>
          </cell>
          <cell r="O735" t="str">
            <v>-</v>
          </cell>
          <cell r="P735" t="str">
            <v>-</v>
          </cell>
        </row>
        <row r="736">
          <cell r="B736">
            <v>350712002</v>
          </cell>
          <cell r="C736" t="str">
            <v>Arjasa</v>
          </cell>
          <cell r="D736" t="str">
            <v>-</v>
          </cell>
          <cell r="E736" t="str">
            <v>PSDA di Bondowoso</v>
          </cell>
          <cell r="F736" t="str">
            <v>Arjasa</v>
          </cell>
          <cell r="G736" t="str">
            <v>Arjasa</v>
          </cell>
          <cell r="H736" t="str">
            <v>Situbondo</v>
          </cell>
          <cell r="I736" t="str">
            <v>'114.1209440</v>
          </cell>
          <cell r="J736" t="str">
            <v>'-7.7249720</v>
          </cell>
          <cell r="K736" t="str">
            <v>-</v>
          </cell>
          <cell r="L736" t="str">
            <v>Pekalen Sampean</v>
          </cell>
          <cell r="M736" t="str">
            <v>PHB</v>
          </cell>
          <cell r="N736" t="str">
            <v>-</v>
          </cell>
          <cell r="O736" t="str">
            <v>-</v>
          </cell>
          <cell r="P736" t="str">
            <v>-</v>
          </cell>
        </row>
        <row r="737">
          <cell r="B737">
            <v>350712003</v>
          </cell>
          <cell r="C737" t="str">
            <v>Besuki (BT.6)</v>
          </cell>
          <cell r="D737" t="str">
            <v>-</v>
          </cell>
          <cell r="E737" t="str">
            <v>PSDA di Bondowoso</v>
          </cell>
          <cell r="F737" t="str">
            <v>Besuki</v>
          </cell>
          <cell r="G737" t="str">
            <v>Besuki</v>
          </cell>
          <cell r="H737" t="str">
            <v>Situbondo</v>
          </cell>
          <cell r="I737" t="str">
            <v>'113.703808</v>
          </cell>
          <cell r="J737" t="str">
            <v>'-7.732745</v>
          </cell>
          <cell r="K737" t="str">
            <v>-</v>
          </cell>
          <cell r="L737" t="str">
            <v>Pekalen Sampean</v>
          </cell>
          <cell r="M737" t="str">
            <v>PHB</v>
          </cell>
          <cell r="N737" t="str">
            <v>-</v>
          </cell>
          <cell r="O737" t="str">
            <v>-</v>
          </cell>
          <cell r="P737" t="str">
            <v>-</v>
          </cell>
        </row>
        <row r="738">
          <cell r="B738">
            <v>350712004</v>
          </cell>
          <cell r="C738" t="str">
            <v>Biting (BT.3)</v>
          </cell>
          <cell r="D738" t="str">
            <v>-</v>
          </cell>
          <cell r="E738" t="str">
            <v>PSDA di Bondowoso</v>
          </cell>
          <cell r="F738" t="str">
            <v>Besuki</v>
          </cell>
          <cell r="G738" t="str">
            <v>Besuki</v>
          </cell>
          <cell r="H738" t="str">
            <v>Situbondo</v>
          </cell>
          <cell r="I738" t="str">
            <v>'113.71889</v>
          </cell>
          <cell r="J738" t="str">
            <v>'-7.75528</v>
          </cell>
          <cell r="K738" t="str">
            <v>-</v>
          </cell>
          <cell r="L738" t="str">
            <v>Pekalen Sampean</v>
          </cell>
          <cell r="M738" t="str">
            <v>PHB</v>
          </cell>
          <cell r="N738" t="str">
            <v>-</v>
          </cell>
          <cell r="O738" t="str">
            <v>-</v>
          </cell>
          <cell r="P738" t="str">
            <v>-</v>
          </cell>
        </row>
        <row r="739">
          <cell r="B739">
            <v>350712005</v>
          </cell>
          <cell r="C739" t="str">
            <v>Bungatan</v>
          </cell>
          <cell r="D739" t="str">
            <v>-</v>
          </cell>
          <cell r="E739" t="str">
            <v>PSDA di Bondowoso</v>
          </cell>
          <cell r="F739" t="str">
            <v>Bungatan</v>
          </cell>
          <cell r="G739" t="str">
            <v>Bungatan</v>
          </cell>
          <cell r="H739" t="str">
            <v>Situbondo</v>
          </cell>
          <cell r="I739" t="str">
            <v>'113.798667</v>
          </cell>
          <cell r="J739" t="str">
            <v>'-7.738444</v>
          </cell>
          <cell r="K739" t="str">
            <v>-</v>
          </cell>
          <cell r="L739" t="str">
            <v>Pekalen Sampean</v>
          </cell>
          <cell r="M739" t="str">
            <v>PHB</v>
          </cell>
          <cell r="N739" t="str">
            <v>-</v>
          </cell>
          <cell r="O739" t="str">
            <v>-</v>
          </cell>
          <cell r="P739" t="str">
            <v>-</v>
          </cell>
        </row>
        <row r="740">
          <cell r="B740">
            <v>350712006</v>
          </cell>
          <cell r="C740" t="str">
            <v>Cab. Buduan</v>
          </cell>
          <cell r="D740" t="str">
            <v>-</v>
          </cell>
          <cell r="E740" t="str">
            <v>PSDA di Bondowoso</v>
          </cell>
          <cell r="F740" t="str">
            <v>Buduan</v>
          </cell>
          <cell r="G740" t="str">
            <v>Suboh</v>
          </cell>
          <cell r="H740" t="str">
            <v>Situbondo</v>
          </cell>
          <cell r="I740" t="str">
            <v>'113.72750</v>
          </cell>
          <cell r="J740" t="str">
            <v>'-7.7413610</v>
          </cell>
          <cell r="K740" t="str">
            <v>-</v>
          </cell>
          <cell r="L740" t="str">
            <v>Pekalen Sampean</v>
          </cell>
          <cell r="M740" t="str">
            <v>PHB</v>
          </cell>
          <cell r="N740" t="str">
            <v>-</v>
          </cell>
          <cell r="O740" t="str">
            <v>-</v>
          </cell>
          <cell r="P740" t="str">
            <v>-</v>
          </cell>
        </row>
        <row r="741">
          <cell r="B741">
            <v>350712007</v>
          </cell>
          <cell r="C741" t="str">
            <v>D. Dawuhan</v>
          </cell>
          <cell r="D741" t="str">
            <v>-</v>
          </cell>
          <cell r="E741" t="str">
            <v>PSDA di Bondowoso</v>
          </cell>
          <cell r="F741" t="str">
            <v>Suboh</v>
          </cell>
          <cell r="G741" t="str">
            <v>Suboh</v>
          </cell>
          <cell r="H741" t="str">
            <v>Situbondo</v>
          </cell>
          <cell r="I741" t="str">
            <v>'113.71845400000</v>
          </cell>
          <cell r="J741" t="str">
            <v>'-7.76238800000</v>
          </cell>
          <cell r="K741" t="str">
            <v>-</v>
          </cell>
          <cell r="L741" t="str">
            <v>Pekalen Sampean</v>
          </cell>
          <cell r="M741" t="str">
            <v>PHB</v>
          </cell>
          <cell r="N741" t="str">
            <v>-</v>
          </cell>
          <cell r="O741" t="str">
            <v>-</v>
          </cell>
          <cell r="P741" t="str">
            <v>-</v>
          </cell>
        </row>
        <row r="742">
          <cell r="B742">
            <v>350712008</v>
          </cell>
          <cell r="C742" t="str">
            <v>Dam Liwung / Banyuputih</v>
          </cell>
          <cell r="D742" t="str">
            <v>-</v>
          </cell>
          <cell r="E742" t="str">
            <v>PSDA di Bondowoso</v>
          </cell>
          <cell r="F742" t="str">
            <v>Bantal</v>
          </cell>
          <cell r="G742" t="str">
            <v>Asembagus</v>
          </cell>
          <cell r="H742" t="str">
            <v>Situbondo</v>
          </cell>
          <cell r="I742" t="str">
            <v>'114.23786900000</v>
          </cell>
          <cell r="J742" t="str">
            <v>'-7.80867800000</v>
          </cell>
          <cell r="K742" t="str">
            <v>-</v>
          </cell>
          <cell r="L742" t="str">
            <v>Pekalen Sampean</v>
          </cell>
          <cell r="M742" t="str">
            <v>PHB</v>
          </cell>
          <cell r="N742" t="str">
            <v>-</v>
          </cell>
          <cell r="O742" t="str">
            <v>-</v>
          </cell>
          <cell r="P742" t="str">
            <v>-</v>
          </cell>
        </row>
        <row r="743">
          <cell r="B743">
            <v>350712009</v>
          </cell>
          <cell r="C743" t="str">
            <v>D. Nangger</v>
          </cell>
          <cell r="D743" t="str">
            <v>-</v>
          </cell>
          <cell r="E743" t="str">
            <v>PSDA di Bondowoso</v>
          </cell>
          <cell r="F743" t="str">
            <v>Bungatan</v>
          </cell>
          <cell r="G743" t="str">
            <v>Bungatan</v>
          </cell>
          <cell r="H743" t="str">
            <v>Situbondo</v>
          </cell>
          <cell r="I743" t="str">
            <v>'113.73170000000</v>
          </cell>
          <cell r="J743" t="str">
            <v>'-7.78970000000</v>
          </cell>
          <cell r="K743" t="str">
            <v>-</v>
          </cell>
          <cell r="L743" t="str">
            <v>Pekalen Sampean</v>
          </cell>
          <cell r="M743" t="str">
            <v>PHB</v>
          </cell>
          <cell r="N743" t="str">
            <v>-</v>
          </cell>
          <cell r="O743" t="str">
            <v>-</v>
          </cell>
          <cell r="P743" t="str">
            <v>-</v>
          </cell>
        </row>
        <row r="744">
          <cell r="B744">
            <v>350712010</v>
          </cell>
          <cell r="C744" t="str">
            <v>D. Nogosromo</v>
          </cell>
          <cell r="D744" t="str">
            <v>-</v>
          </cell>
          <cell r="E744" t="str">
            <v>PSDA di Bondowoso</v>
          </cell>
          <cell r="F744" t="str">
            <v>Blimbing</v>
          </cell>
          <cell r="G744" t="str">
            <v>Besuki</v>
          </cell>
          <cell r="H744" t="str">
            <v>Situbondo</v>
          </cell>
          <cell r="I744" t="str">
            <v>'113.69390000000</v>
          </cell>
          <cell r="J744" t="str">
            <v>'-7.78170000000</v>
          </cell>
          <cell r="K744" t="str">
            <v>-</v>
          </cell>
          <cell r="L744" t="str">
            <v>Pekalen Sampean</v>
          </cell>
          <cell r="M744" t="str">
            <v>PHB</v>
          </cell>
          <cell r="N744" t="str">
            <v>-</v>
          </cell>
          <cell r="O744" t="str">
            <v>-</v>
          </cell>
          <cell r="P744" t="str">
            <v>-</v>
          </cell>
        </row>
        <row r="745">
          <cell r="B745">
            <v>350712011</v>
          </cell>
          <cell r="C745" t="str">
            <v>D. Setimbo</v>
          </cell>
          <cell r="D745" t="str">
            <v>-</v>
          </cell>
          <cell r="E745" t="str">
            <v>PSDA di Bondowoso</v>
          </cell>
          <cell r="F745" t="str">
            <v>Jatibanteng</v>
          </cell>
          <cell r="G745" t="str">
            <v>Jatibanteng</v>
          </cell>
          <cell r="H745" t="str">
            <v>Situbondo</v>
          </cell>
          <cell r="I745" t="str">
            <v>'113.68420000000</v>
          </cell>
          <cell r="J745" t="str">
            <v>'-7.77560000000</v>
          </cell>
          <cell r="K745" t="str">
            <v>-</v>
          </cell>
          <cell r="L745" t="str">
            <v>Pekalen Sampean</v>
          </cell>
          <cell r="M745" t="str">
            <v>PHB</v>
          </cell>
          <cell r="N745" t="str">
            <v>-</v>
          </cell>
          <cell r="O745" t="str">
            <v>-</v>
          </cell>
          <cell r="P745" t="str">
            <v>-</v>
          </cell>
        </row>
        <row r="746">
          <cell r="B746">
            <v>350712012</v>
          </cell>
          <cell r="C746" t="str">
            <v>D. Sluis</v>
          </cell>
          <cell r="D746" t="str">
            <v>-</v>
          </cell>
          <cell r="E746" t="str">
            <v>PSDA di Bondowoso</v>
          </cell>
          <cell r="F746" t="str">
            <v>Dawuhan</v>
          </cell>
          <cell r="G746" t="str">
            <v>Situbondo</v>
          </cell>
          <cell r="H746" t="str">
            <v>Situbondo</v>
          </cell>
          <cell r="I746" t="str">
            <v>'114.0078426</v>
          </cell>
          <cell r="J746" t="str">
            <v>'-7.7114539</v>
          </cell>
          <cell r="K746" t="str">
            <v>-</v>
          </cell>
          <cell r="L746" t="str">
            <v>Pekalen Sampean</v>
          </cell>
          <cell r="M746" t="str">
            <v>PHB</v>
          </cell>
          <cell r="N746" t="str">
            <v>-</v>
          </cell>
          <cell r="O746" t="str">
            <v>-</v>
          </cell>
          <cell r="P746" t="str">
            <v>-</v>
          </cell>
        </row>
        <row r="747">
          <cell r="B747">
            <v>350712013</v>
          </cell>
          <cell r="C747" t="str">
            <v>D. Wringin Anom</v>
          </cell>
          <cell r="D747" t="str">
            <v>-</v>
          </cell>
          <cell r="E747" t="str">
            <v>PSDA di Bondowoso</v>
          </cell>
          <cell r="F747" t="str">
            <v>Wringinanom</v>
          </cell>
          <cell r="G747" t="str">
            <v>Jatibanteng</v>
          </cell>
          <cell r="H747" t="str">
            <v>Situbondo</v>
          </cell>
          <cell r="I747" t="str">
            <v>'113.672167</v>
          </cell>
          <cell r="J747" t="str">
            <v>'-7.791914</v>
          </cell>
          <cell r="K747" t="str">
            <v>-</v>
          </cell>
          <cell r="L747" t="str">
            <v>Pekalen Sampean</v>
          </cell>
          <cell r="M747" t="str">
            <v>PHB</v>
          </cell>
          <cell r="N747" t="str">
            <v>-</v>
          </cell>
          <cell r="O747" t="str">
            <v>-</v>
          </cell>
          <cell r="P747" t="str">
            <v>-</v>
          </cell>
        </row>
        <row r="748">
          <cell r="B748">
            <v>350712014</v>
          </cell>
          <cell r="C748" t="str">
            <v>D.Baderan</v>
          </cell>
          <cell r="D748" t="str">
            <v>-</v>
          </cell>
          <cell r="E748" t="str">
            <v>PSDA di Bondowoso</v>
          </cell>
          <cell r="F748" t="str">
            <v>Baderan</v>
          </cell>
          <cell r="G748" t="str">
            <v>Sumbermalang</v>
          </cell>
          <cell r="H748" t="str">
            <v>Situbondo</v>
          </cell>
          <cell r="I748" t="str">
            <v>'113.70250000000</v>
          </cell>
          <cell r="J748" t="str">
            <v>'-7.86220000000</v>
          </cell>
          <cell r="K748" t="str">
            <v>-</v>
          </cell>
          <cell r="L748" t="str">
            <v>Pekalen Sampean</v>
          </cell>
          <cell r="M748" t="str">
            <v>PHB</v>
          </cell>
          <cell r="N748" t="str">
            <v>-</v>
          </cell>
          <cell r="O748" t="str">
            <v>-</v>
          </cell>
          <cell r="P748" t="str">
            <v>-</v>
          </cell>
        </row>
        <row r="749">
          <cell r="B749">
            <v>350712015</v>
          </cell>
          <cell r="C749" t="str">
            <v>D.Curah Suri</v>
          </cell>
          <cell r="D749" t="str">
            <v>-</v>
          </cell>
          <cell r="E749" t="str">
            <v>PSDA di Bondowoso</v>
          </cell>
          <cell r="F749" t="str">
            <v>Lubawang</v>
          </cell>
          <cell r="G749" t="str">
            <v>Banyuglugur</v>
          </cell>
          <cell r="H749" t="str">
            <v>Situbondo</v>
          </cell>
          <cell r="I749" t="str">
            <v>'113.67832200000</v>
          </cell>
          <cell r="J749" t="str">
            <v>'-7.76436000000</v>
          </cell>
          <cell r="K749" t="str">
            <v>-</v>
          </cell>
          <cell r="L749" t="str">
            <v>Pekalen Sampean</v>
          </cell>
          <cell r="M749" t="str">
            <v>PHB</v>
          </cell>
          <cell r="N749" t="str">
            <v>-</v>
          </cell>
          <cell r="O749" t="str">
            <v>-</v>
          </cell>
          <cell r="P749" t="str">
            <v>-</v>
          </cell>
        </row>
        <row r="750">
          <cell r="B750">
            <v>350712016</v>
          </cell>
          <cell r="C750" t="str">
            <v>D.Sampean lama</v>
          </cell>
          <cell r="D750" t="str">
            <v>-</v>
          </cell>
          <cell r="E750" t="str">
            <v>PSDA di Bondowoso</v>
          </cell>
          <cell r="F750" t="str">
            <v>Kotakan</v>
          </cell>
          <cell r="G750" t="str">
            <v>Situbondo</v>
          </cell>
          <cell r="H750" t="str">
            <v>Situbondo</v>
          </cell>
          <cell r="I750" t="str">
            <v>'114.01373200000</v>
          </cell>
          <cell r="J750" t="str">
            <v>'-7.72151200000</v>
          </cell>
          <cell r="K750" t="str">
            <v>-</v>
          </cell>
          <cell r="L750" t="str">
            <v>Pekalen Sampean</v>
          </cell>
          <cell r="M750" t="str">
            <v>PHB</v>
          </cell>
          <cell r="N750" t="str">
            <v>-</v>
          </cell>
          <cell r="O750" t="str">
            <v>-</v>
          </cell>
          <cell r="P750" t="str">
            <v>-</v>
          </cell>
        </row>
        <row r="751">
          <cell r="B751">
            <v>350712017</v>
          </cell>
          <cell r="C751" t="str">
            <v>D.Tunjang</v>
          </cell>
          <cell r="D751" t="str">
            <v>-</v>
          </cell>
          <cell r="E751" t="str">
            <v>PSDA di Bondowoso</v>
          </cell>
          <cell r="F751" t="str">
            <v>Widoropayung</v>
          </cell>
          <cell r="G751" t="str">
            <v>Besuki</v>
          </cell>
          <cell r="H751" t="str">
            <v>Situbondo</v>
          </cell>
          <cell r="I751" t="str">
            <v>'113.70890000000</v>
          </cell>
          <cell r="J751" t="str">
            <v>'-7.78720000000</v>
          </cell>
          <cell r="K751" t="str">
            <v>-</v>
          </cell>
          <cell r="L751" t="str">
            <v>Pekalen Sampean</v>
          </cell>
          <cell r="M751" t="str">
            <v>PHB</v>
          </cell>
          <cell r="N751" t="str">
            <v>-</v>
          </cell>
          <cell r="O751" t="str">
            <v>-</v>
          </cell>
          <cell r="P751" t="str">
            <v>-</v>
          </cell>
        </row>
        <row r="752">
          <cell r="B752">
            <v>350712018</v>
          </cell>
          <cell r="C752" t="str">
            <v>Gebangan</v>
          </cell>
          <cell r="D752" t="str">
            <v>-</v>
          </cell>
          <cell r="E752" t="str">
            <v>PSDA di Bondowoso</v>
          </cell>
          <cell r="F752" t="str">
            <v>Gebangan</v>
          </cell>
          <cell r="G752" t="str">
            <v>Kapongan</v>
          </cell>
          <cell r="H752" t="str">
            <v>Situbondo</v>
          </cell>
          <cell r="I752" t="str">
            <v>'114.056876</v>
          </cell>
          <cell r="J752" t="str">
            <v>'-7.6746797</v>
          </cell>
          <cell r="K752" t="str">
            <v>-</v>
          </cell>
          <cell r="L752" t="str">
            <v>Pekalen Sampean</v>
          </cell>
          <cell r="M752" t="str">
            <v>PHB</v>
          </cell>
          <cell r="N752" t="str">
            <v>-</v>
          </cell>
          <cell r="O752" t="str">
            <v>-</v>
          </cell>
          <cell r="P752" t="str">
            <v>-</v>
          </cell>
        </row>
        <row r="753">
          <cell r="B753">
            <v>350712019</v>
          </cell>
          <cell r="C753" t="str">
            <v>Kalorkoran</v>
          </cell>
          <cell r="D753" t="str">
            <v>-</v>
          </cell>
          <cell r="E753" t="str">
            <v>PSDA di Bondowoso</v>
          </cell>
          <cell r="F753" t="str">
            <v>Sumberwaru</v>
          </cell>
          <cell r="G753" t="str">
            <v>Banyuputih</v>
          </cell>
          <cell r="H753" t="str">
            <v>Situbondo</v>
          </cell>
          <cell r="I753" t="str">
            <v>'114.308444</v>
          </cell>
          <cell r="J753" t="str">
            <v>'-7.781821</v>
          </cell>
          <cell r="K753" t="str">
            <v>-</v>
          </cell>
          <cell r="L753" t="str">
            <v>Pekalen Sampean</v>
          </cell>
          <cell r="M753" t="str">
            <v>PHB</v>
          </cell>
          <cell r="N753" t="str">
            <v>-</v>
          </cell>
          <cell r="O753" t="str">
            <v>-</v>
          </cell>
          <cell r="P753" t="str">
            <v>-</v>
          </cell>
        </row>
        <row r="754">
          <cell r="B754">
            <v>350712020</v>
          </cell>
          <cell r="C754" t="str">
            <v>Kapongan</v>
          </cell>
          <cell r="D754" t="str">
            <v>-</v>
          </cell>
          <cell r="E754" t="str">
            <v>PSDA di Bondowoso</v>
          </cell>
          <cell r="F754" t="str">
            <v>Kapongan</v>
          </cell>
          <cell r="G754" t="str">
            <v>Kapongan</v>
          </cell>
          <cell r="H754" t="str">
            <v>Situbondo</v>
          </cell>
          <cell r="I754" t="str">
            <v>'114.06080</v>
          </cell>
          <cell r="J754" t="str">
            <v>'-7.69560</v>
          </cell>
          <cell r="K754" t="str">
            <v>-</v>
          </cell>
          <cell r="L754" t="str">
            <v>Pekalen Sampean</v>
          </cell>
          <cell r="M754" t="str">
            <v>PHB</v>
          </cell>
          <cell r="N754" t="str">
            <v>-</v>
          </cell>
          <cell r="O754" t="str">
            <v>-</v>
          </cell>
          <cell r="P754" t="str">
            <v>-</v>
          </cell>
        </row>
        <row r="755">
          <cell r="B755">
            <v>350712021</v>
          </cell>
          <cell r="C755" t="str">
            <v>KBA. 2 (Trigonco)</v>
          </cell>
          <cell r="D755" t="str">
            <v>-</v>
          </cell>
          <cell r="E755" t="str">
            <v>PSDA di Bondowoso</v>
          </cell>
          <cell r="F755" t="str">
            <v>Asembagus</v>
          </cell>
          <cell r="G755" t="str">
            <v>Asembagus</v>
          </cell>
          <cell r="H755" t="str">
            <v>Situbondo</v>
          </cell>
          <cell r="I755" t="str">
            <v>'114.2172110</v>
          </cell>
          <cell r="J755" t="str">
            <v>'-7.7519410</v>
          </cell>
          <cell r="K755" t="str">
            <v>-</v>
          </cell>
          <cell r="L755" t="str">
            <v>Pekalen Sampean</v>
          </cell>
          <cell r="M755" t="str">
            <v>PHB</v>
          </cell>
          <cell r="N755" t="str">
            <v>-</v>
          </cell>
          <cell r="O755" t="str">
            <v>-</v>
          </cell>
          <cell r="P755" t="str">
            <v>-</v>
          </cell>
        </row>
        <row r="756">
          <cell r="B756">
            <v>350712022</v>
          </cell>
          <cell r="C756" t="str">
            <v>Kedungdowoo</v>
          </cell>
          <cell r="D756" t="str">
            <v>-</v>
          </cell>
          <cell r="E756" t="str">
            <v>PSDA di Bondowoso</v>
          </cell>
          <cell r="F756" t="str">
            <v>Kedungdowo</v>
          </cell>
          <cell r="G756" t="str">
            <v>Arjasa</v>
          </cell>
          <cell r="H756" t="str">
            <v>Situbondo</v>
          </cell>
          <cell r="I756" t="str">
            <v>'114.160623</v>
          </cell>
          <cell r="J756" t="str">
            <v>'-7.790359</v>
          </cell>
          <cell r="K756" t="str">
            <v>-</v>
          </cell>
          <cell r="L756" t="str">
            <v>Pekalen Sampean</v>
          </cell>
          <cell r="M756" t="str">
            <v>PHB</v>
          </cell>
          <cell r="N756" t="str">
            <v>-</v>
          </cell>
          <cell r="O756" t="str">
            <v>-</v>
          </cell>
          <cell r="P756" t="str">
            <v>-</v>
          </cell>
        </row>
        <row r="757">
          <cell r="B757">
            <v>350712023</v>
          </cell>
          <cell r="C757" t="str">
            <v>Kedungloo</v>
          </cell>
          <cell r="D757" t="str">
            <v>-</v>
          </cell>
          <cell r="E757" t="str">
            <v>PSDA di Bondowoso</v>
          </cell>
          <cell r="F757" t="str">
            <v>Kedunglo</v>
          </cell>
          <cell r="G757" t="str">
            <v>Asembagus</v>
          </cell>
          <cell r="H757" t="str">
            <v>Situbondo</v>
          </cell>
          <cell r="I757" t="str">
            <v>'114.19792800000</v>
          </cell>
          <cell r="J757" t="str">
            <v>'-7.79477400000</v>
          </cell>
          <cell r="K757" t="str">
            <v>-</v>
          </cell>
          <cell r="L757" t="str">
            <v>Pekalen Sampean</v>
          </cell>
          <cell r="M757" t="str">
            <v>PHB</v>
          </cell>
          <cell r="N757" t="str">
            <v>-</v>
          </cell>
          <cell r="O757" t="str">
            <v>-</v>
          </cell>
          <cell r="P757" t="str">
            <v>-</v>
          </cell>
        </row>
        <row r="758">
          <cell r="B758">
            <v>350712024</v>
          </cell>
          <cell r="C758" t="str">
            <v>Kendit</v>
          </cell>
          <cell r="D758" t="str">
            <v>-</v>
          </cell>
          <cell r="E758" t="str">
            <v>PSDA di Bondowoso</v>
          </cell>
          <cell r="F758" t="str">
            <v>Kendit</v>
          </cell>
          <cell r="G758" t="str">
            <v>Kendit</v>
          </cell>
          <cell r="H758" t="str">
            <v>Situbondo</v>
          </cell>
          <cell r="I758" t="str">
            <v>'113.92640000000</v>
          </cell>
          <cell r="J758" t="str">
            <v>'-7.73440000000</v>
          </cell>
          <cell r="K758" t="str">
            <v>-</v>
          </cell>
          <cell r="L758" t="str">
            <v>Pekalen Sampean</v>
          </cell>
          <cell r="M758" t="str">
            <v>PHB</v>
          </cell>
          <cell r="N758" t="str">
            <v>-</v>
          </cell>
          <cell r="O758" t="str">
            <v>-</v>
          </cell>
          <cell r="P758" t="str">
            <v>-</v>
          </cell>
        </row>
        <row r="759">
          <cell r="B759">
            <v>350712025</v>
          </cell>
          <cell r="C759" t="str">
            <v>Kesambi rampak</v>
          </cell>
          <cell r="D759" t="str">
            <v>-</v>
          </cell>
          <cell r="E759" t="str">
            <v>PSDA di Bondowoso</v>
          </cell>
          <cell r="F759" t="str">
            <v>Kesambirampak</v>
          </cell>
          <cell r="G759" t="str">
            <v>Kapongan</v>
          </cell>
          <cell r="H759" t="str">
            <v>Situbondo</v>
          </cell>
          <cell r="I759" t="str">
            <v>'114.0464</v>
          </cell>
          <cell r="J759" t="str">
            <v>'-7.6906</v>
          </cell>
          <cell r="K759" t="str">
            <v>-</v>
          </cell>
          <cell r="L759" t="str">
            <v>Pekalen Sampean</v>
          </cell>
          <cell r="M759" t="str">
            <v>PHB</v>
          </cell>
          <cell r="N759" t="str">
            <v>-</v>
          </cell>
          <cell r="O759" t="str">
            <v>-</v>
          </cell>
          <cell r="P759" t="str">
            <v>-</v>
          </cell>
        </row>
        <row r="760">
          <cell r="B760">
            <v>350712026</v>
          </cell>
          <cell r="C760" t="str">
            <v>KG.2</v>
          </cell>
          <cell r="D760" t="str">
            <v>-</v>
          </cell>
          <cell r="E760" t="str">
            <v>PSDA di Bondowoso</v>
          </cell>
          <cell r="F760" t="str">
            <v>Asembagus</v>
          </cell>
          <cell r="G760" t="str">
            <v>Asembagus</v>
          </cell>
          <cell r="H760" t="str">
            <v>Situbondo</v>
          </cell>
          <cell r="I760" t="str">
            <v>'114.23222</v>
          </cell>
          <cell r="J760" t="str">
            <v>'-7.76389</v>
          </cell>
          <cell r="K760" t="str">
            <v>-</v>
          </cell>
          <cell r="L760" t="str">
            <v>Pekalen Sampean</v>
          </cell>
          <cell r="M760" t="str">
            <v>PHB</v>
          </cell>
          <cell r="N760" t="str">
            <v>-</v>
          </cell>
          <cell r="O760" t="str">
            <v>-</v>
          </cell>
          <cell r="P760" t="str">
            <v>-</v>
          </cell>
        </row>
        <row r="761">
          <cell r="B761">
            <v>350712027</v>
          </cell>
          <cell r="C761" t="str">
            <v>Kg.aI</v>
          </cell>
          <cell r="D761" t="str">
            <v>-</v>
          </cell>
          <cell r="E761" t="str">
            <v>PSDA di Bondowoso</v>
          </cell>
          <cell r="F761" t="str">
            <v>Asembagus</v>
          </cell>
          <cell r="G761" t="str">
            <v>Asembagus</v>
          </cell>
          <cell r="H761" t="str">
            <v>Situbondo</v>
          </cell>
          <cell r="I761" t="str">
            <v>'114.203353</v>
          </cell>
          <cell r="J761" t="str">
            <v>'-7.750452</v>
          </cell>
          <cell r="K761" t="str">
            <v>-</v>
          </cell>
          <cell r="L761" t="str">
            <v>Pekalen Sampean</v>
          </cell>
          <cell r="M761" t="str">
            <v>PHB</v>
          </cell>
          <cell r="N761" t="str">
            <v>-</v>
          </cell>
          <cell r="O761" t="str">
            <v>-</v>
          </cell>
          <cell r="P761" t="str">
            <v>-</v>
          </cell>
        </row>
        <row r="762">
          <cell r="B762">
            <v>350712028</v>
          </cell>
          <cell r="C762" t="str">
            <v>KP.2</v>
          </cell>
          <cell r="D762" t="str">
            <v>-</v>
          </cell>
          <cell r="E762" t="str">
            <v>PSDA di Bondowoso</v>
          </cell>
          <cell r="F762" t="str">
            <v>Mojosari</v>
          </cell>
          <cell r="G762" t="str">
            <v>Asembagus</v>
          </cell>
          <cell r="H762" t="str">
            <v>Situbondo</v>
          </cell>
          <cell r="I762" t="str">
            <v>'114.220840</v>
          </cell>
          <cell r="J762" t="str">
            <v>'-7.778657</v>
          </cell>
          <cell r="K762" t="str">
            <v>-</v>
          </cell>
          <cell r="L762" t="str">
            <v>Pekalen Sampean</v>
          </cell>
          <cell r="M762" t="str">
            <v>PHB</v>
          </cell>
          <cell r="N762" t="str">
            <v>-</v>
          </cell>
          <cell r="O762" t="str">
            <v>-</v>
          </cell>
          <cell r="P762" t="str">
            <v>-</v>
          </cell>
        </row>
        <row r="763">
          <cell r="B763">
            <v>350712029</v>
          </cell>
          <cell r="C763" t="str">
            <v>Lamongan</v>
          </cell>
          <cell r="D763" t="str">
            <v>-</v>
          </cell>
          <cell r="E763" t="str">
            <v>PSDA di Bondowoso</v>
          </cell>
          <cell r="F763" t="str">
            <v>Lamongan</v>
          </cell>
          <cell r="G763" t="str">
            <v>Arjasa</v>
          </cell>
          <cell r="H763" t="str">
            <v>Situbondo</v>
          </cell>
          <cell r="I763" t="str">
            <v>'114.12921600000</v>
          </cell>
          <cell r="J763" t="str">
            <v>'-7.78603300000</v>
          </cell>
          <cell r="K763" t="str">
            <v>-</v>
          </cell>
          <cell r="L763" t="str">
            <v>Pekalen Sampean</v>
          </cell>
          <cell r="M763" t="str">
            <v>PHB</v>
          </cell>
          <cell r="N763" t="str">
            <v>-</v>
          </cell>
          <cell r="O763" t="str">
            <v>-</v>
          </cell>
          <cell r="P763" t="str">
            <v>-</v>
          </cell>
        </row>
        <row r="764">
          <cell r="B764">
            <v>350712030</v>
          </cell>
          <cell r="C764" t="str">
            <v>Mlandingan</v>
          </cell>
          <cell r="D764" t="str">
            <v>-</v>
          </cell>
          <cell r="E764" t="str">
            <v>PSDA di Bondowoso</v>
          </cell>
          <cell r="F764" t="str">
            <v>Mlandingan Kulon</v>
          </cell>
          <cell r="G764" t="str">
            <v>Mlandingan</v>
          </cell>
          <cell r="H764" t="str">
            <v>Situbondo</v>
          </cell>
          <cell r="I764" t="str">
            <v>'113.771851</v>
          </cell>
          <cell r="J764" t="str">
            <v>'-7.7642420</v>
          </cell>
          <cell r="K764" t="str">
            <v>-</v>
          </cell>
          <cell r="L764" t="str">
            <v>Pekalen Sampean</v>
          </cell>
          <cell r="M764" t="str">
            <v>PHB</v>
          </cell>
          <cell r="N764" t="str">
            <v>-</v>
          </cell>
          <cell r="O764" t="str">
            <v>-</v>
          </cell>
          <cell r="P764" t="str">
            <v>-</v>
          </cell>
        </row>
        <row r="765">
          <cell r="B765">
            <v>350712031</v>
          </cell>
          <cell r="C765" t="str">
            <v>Olean</v>
          </cell>
          <cell r="D765" t="str">
            <v>-</v>
          </cell>
          <cell r="E765" t="str">
            <v>PSDA di Bondowoso</v>
          </cell>
          <cell r="F765" t="str">
            <v>Olean</v>
          </cell>
          <cell r="G765" t="str">
            <v>Situbondo</v>
          </cell>
          <cell r="H765" t="str">
            <v>Situbondo</v>
          </cell>
          <cell r="I765" t="str">
            <v>'114.0110330</v>
          </cell>
          <cell r="J765" t="str">
            <v>'-7.6741130</v>
          </cell>
          <cell r="K765" t="str">
            <v>-</v>
          </cell>
          <cell r="L765" t="str">
            <v>Pekalen Sampean</v>
          </cell>
          <cell r="M765" t="str">
            <v>PHB</v>
          </cell>
          <cell r="N765" t="str">
            <v>-</v>
          </cell>
          <cell r="O765" t="str">
            <v>-</v>
          </cell>
          <cell r="P765" t="str">
            <v>-</v>
          </cell>
        </row>
        <row r="766">
          <cell r="B766">
            <v>350712032</v>
          </cell>
          <cell r="C766" t="str">
            <v>Panji lor</v>
          </cell>
          <cell r="D766" t="str">
            <v>-</v>
          </cell>
          <cell r="E766" t="str">
            <v>PSDA di Bondowoso</v>
          </cell>
          <cell r="F766" t="str">
            <v>Panji Lor</v>
          </cell>
          <cell r="G766" t="str">
            <v>Panji</v>
          </cell>
          <cell r="H766" t="str">
            <v>Situbondo</v>
          </cell>
          <cell r="I766" t="str">
            <v>'114.04420</v>
          </cell>
          <cell r="J766" t="str">
            <v>'-7.70310</v>
          </cell>
          <cell r="K766" t="str">
            <v>-</v>
          </cell>
          <cell r="L766" t="str">
            <v>Pekalen Sampean</v>
          </cell>
          <cell r="M766" t="str">
            <v>PHB</v>
          </cell>
          <cell r="N766" t="str">
            <v>-</v>
          </cell>
          <cell r="O766" t="str">
            <v>-</v>
          </cell>
          <cell r="P766" t="str">
            <v>-</v>
          </cell>
        </row>
        <row r="767">
          <cell r="B767">
            <v>350712033</v>
          </cell>
          <cell r="C767" t="str">
            <v>Pesanggrahan</v>
          </cell>
          <cell r="D767" t="str">
            <v>-</v>
          </cell>
          <cell r="E767" t="str">
            <v>PSDA di Bondowoso</v>
          </cell>
          <cell r="F767" t="str">
            <v>Sopet</v>
          </cell>
          <cell r="G767" t="str">
            <v>Jangkar</v>
          </cell>
          <cell r="H767" t="str">
            <v>Situbondo</v>
          </cell>
          <cell r="I767" t="str">
            <v>'114.16140000000</v>
          </cell>
          <cell r="J767" t="str">
            <v>'-7.74140000000</v>
          </cell>
          <cell r="K767" t="str">
            <v>-</v>
          </cell>
          <cell r="L767" t="str">
            <v>Pekalen Sampean</v>
          </cell>
          <cell r="M767" t="str">
            <v>PHB</v>
          </cell>
          <cell r="N767" t="str">
            <v>-</v>
          </cell>
          <cell r="O767" t="str">
            <v>-</v>
          </cell>
          <cell r="P767" t="str">
            <v>-</v>
          </cell>
        </row>
        <row r="768">
          <cell r="B768">
            <v>350712034</v>
          </cell>
          <cell r="C768" t="str">
            <v>Poka'an</v>
          </cell>
          <cell r="D768" t="str">
            <v>-</v>
          </cell>
          <cell r="E768" t="str">
            <v>PSDA di Bondowoso</v>
          </cell>
          <cell r="F768" t="str">
            <v>Pokaan</v>
          </cell>
          <cell r="G768" t="str">
            <v>Kapongan</v>
          </cell>
          <cell r="H768" t="str">
            <v>Situbondo</v>
          </cell>
          <cell r="I768" t="str">
            <v>'114.0594330</v>
          </cell>
          <cell r="J768" t="str">
            <v>'-7.6638750</v>
          </cell>
          <cell r="K768" t="str">
            <v>-</v>
          </cell>
          <cell r="L768" t="str">
            <v>Pekalen Sampean</v>
          </cell>
          <cell r="M768" t="str">
            <v>PHB</v>
          </cell>
          <cell r="N768" t="str">
            <v>-</v>
          </cell>
          <cell r="O768" t="str">
            <v>-</v>
          </cell>
          <cell r="P768" t="str">
            <v>-</v>
          </cell>
        </row>
        <row r="769">
          <cell r="B769">
            <v>350712035</v>
          </cell>
          <cell r="C769" t="str">
            <v>Sopet</v>
          </cell>
          <cell r="D769" t="str">
            <v>-</v>
          </cell>
          <cell r="E769" t="str">
            <v>PSDA di Bondowoso</v>
          </cell>
          <cell r="F769" t="str">
            <v>Sopet</v>
          </cell>
          <cell r="G769" t="str">
            <v>Jangkar</v>
          </cell>
          <cell r="H769" t="str">
            <v>Situbondo</v>
          </cell>
          <cell r="I769" t="str">
            <v>'114.16830</v>
          </cell>
          <cell r="J769" t="str">
            <v>'-7.791700</v>
          </cell>
          <cell r="K769" t="str">
            <v>-</v>
          </cell>
          <cell r="L769" t="str">
            <v>Pekalen Sampean</v>
          </cell>
          <cell r="M769" t="str">
            <v>PHB</v>
          </cell>
          <cell r="N769" t="str">
            <v>-</v>
          </cell>
          <cell r="O769" t="str">
            <v>-</v>
          </cell>
          <cell r="P769" t="str">
            <v>-</v>
          </cell>
        </row>
        <row r="770">
          <cell r="B770">
            <v>350712036</v>
          </cell>
          <cell r="C770" t="str">
            <v>Sumber anyar</v>
          </cell>
          <cell r="D770" t="str">
            <v>-</v>
          </cell>
          <cell r="E770" t="str">
            <v>PSDA di Bondowoso</v>
          </cell>
          <cell r="F770" t="str">
            <v>Sumberanyar</v>
          </cell>
          <cell r="G770" t="str">
            <v>Banyuputih</v>
          </cell>
          <cell r="H770" t="str">
            <v>Situbondo</v>
          </cell>
          <cell r="I770" t="str">
            <v>'114.286322</v>
          </cell>
          <cell r="J770" t="str">
            <v>'-7.777388</v>
          </cell>
          <cell r="K770" t="str">
            <v>-</v>
          </cell>
          <cell r="L770" t="str">
            <v>Pekalen Sampean</v>
          </cell>
          <cell r="M770" t="str">
            <v>PHB</v>
          </cell>
          <cell r="N770" t="str">
            <v>-</v>
          </cell>
          <cell r="O770" t="str">
            <v>-</v>
          </cell>
          <cell r="P770" t="str">
            <v>-</v>
          </cell>
        </row>
        <row r="771">
          <cell r="B771">
            <v>350712037</v>
          </cell>
          <cell r="C771" t="str">
            <v>Sumber rejo</v>
          </cell>
          <cell r="D771" t="str">
            <v>-</v>
          </cell>
          <cell r="E771" t="str">
            <v>PSDA di Bondowoso</v>
          </cell>
          <cell r="F771" t="str">
            <v>Sumberejo</v>
          </cell>
          <cell r="G771" t="str">
            <v>Banyuputih</v>
          </cell>
          <cell r="H771" t="str">
            <v>Situbondo</v>
          </cell>
          <cell r="I771" t="str">
            <v>'114.24262700000</v>
          </cell>
          <cell r="J771" t="str">
            <v>'-7.78947900000</v>
          </cell>
          <cell r="K771" t="str">
            <v>-</v>
          </cell>
          <cell r="L771" t="str">
            <v>Pekalen Sampean</v>
          </cell>
          <cell r="M771" t="str">
            <v>PHB</v>
          </cell>
          <cell r="N771" t="str">
            <v>-</v>
          </cell>
          <cell r="O771" t="str">
            <v>-</v>
          </cell>
          <cell r="P771" t="str">
            <v>-</v>
          </cell>
        </row>
        <row r="772">
          <cell r="B772">
            <v>350712038</v>
          </cell>
          <cell r="C772" t="str">
            <v>Sumberkolak</v>
          </cell>
          <cell r="D772" t="str">
            <v>-</v>
          </cell>
          <cell r="E772" t="str">
            <v>PSDA di Bondowoso</v>
          </cell>
          <cell r="F772" t="str">
            <v>Sumberkolak</v>
          </cell>
          <cell r="G772" t="str">
            <v>Panarukan</v>
          </cell>
          <cell r="H772" t="str">
            <v>Situbondo</v>
          </cell>
          <cell r="I772" t="str">
            <v>'113.994441</v>
          </cell>
          <cell r="J772" t="str">
            <v>'-7.7133490</v>
          </cell>
          <cell r="K772" t="str">
            <v>-</v>
          </cell>
          <cell r="L772" t="str">
            <v>Pekalen Sampean</v>
          </cell>
          <cell r="M772" t="str">
            <v>PHB</v>
          </cell>
          <cell r="N772" t="str">
            <v>-</v>
          </cell>
          <cell r="O772" t="str">
            <v>-</v>
          </cell>
          <cell r="P772" t="str">
            <v>-</v>
          </cell>
        </row>
        <row r="773">
          <cell r="B773">
            <v>350712039</v>
          </cell>
          <cell r="C773" t="str">
            <v>Tanjung Banon</v>
          </cell>
          <cell r="D773" t="str">
            <v>-</v>
          </cell>
          <cell r="E773" t="str">
            <v>PSDA di Bondowoso</v>
          </cell>
          <cell r="F773" t="str">
            <v>Tanjung Kamal</v>
          </cell>
          <cell r="G773" t="str">
            <v>Mangaran</v>
          </cell>
          <cell r="H773" t="str">
            <v>Situbondo</v>
          </cell>
          <cell r="I773" t="str">
            <v>'114.0648345</v>
          </cell>
          <cell r="J773" t="str">
            <v>'-7.66069113</v>
          </cell>
          <cell r="K773" t="str">
            <v>-</v>
          </cell>
          <cell r="L773" t="str">
            <v>Pekalen Sampean</v>
          </cell>
          <cell r="M773" t="str">
            <v>PHB</v>
          </cell>
          <cell r="N773" t="str">
            <v>-</v>
          </cell>
          <cell r="O773" t="str">
            <v>-</v>
          </cell>
          <cell r="P773" t="str">
            <v>-</v>
          </cell>
        </row>
        <row r="774">
          <cell r="B774">
            <v>350712040</v>
          </cell>
          <cell r="C774" t="str">
            <v>Tanjung Kamal</v>
          </cell>
          <cell r="D774" t="str">
            <v>-</v>
          </cell>
          <cell r="E774" t="str">
            <v>PSDA di Bondowoso</v>
          </cell>
          <cell r="F774" t="str">
            <v>Tanjung Kamal</v>
          </cell>
          <cell r="G774" t="str">
            <v>Mangaran</v>
          </cell>
          <cell r="H774" t="str">
            <v>Situbondo</v>
          </cell>
          <cell r="I774" t="str">
            <v>'114.06518523</v>
          </cell>
          <cell r="J774" t="str">
            <v>'-7.6649336</v>
          </cell>
          <cell r="K774" t="str">
            <v>-</v>
          </cell>
          <cell r="L774" t="str">
            <v>Pekalen Sampean</v>
          </cell>
          <cell r="M774" t="str">
            <v>PHB</v>
          </cell>
          <cell r="N774" t="str">
            <v>-</v>
          </cell>
          <cell r="O774" t="str">
            <v>-</v>
          </cell>
          <cell r="P774" t="str">
            <v>-</v>
          </cell>
        </row>
        <row r="775">
          <cell r="B775">
            <v>350712041</v>
          </cell>
          <cell r="C775" t="str">
            <v>Tanjung Pecinan</v>
          </cell>
          <cell r="D775" t="str">
            <v>-</v>
          </cell>
          <cell r="E775" t="str">
            <v>PSDA di Bondowoso</v>
          </cell>
          <cell r="F775" t="str">
            <v>Tanjung Pecitan</v>
          </cell>
          <cell r="G775" t="str">
            <v>Mangaran</v>
          </cell>
          <cell r="H775" t="str">
            <v>Situbondo</v>
          </cell>
          <cell r="I775" t="str">
            <v>'114.03560</v>
          </cell>
          <cell r="J775" t="str">
            <v>'-7.64330</v>
          </cell>
          <cell r="K775" t="str">
            <v>-</v>
          </cell>
          <cell r="L775" t="str">
            <v>Pekalen Sampean</v>
          </cell>
          <cell r="M775" t="str">
            <v>PHB</v>
          </cell>
          <cell r="N775" t="str">
            <v>-</v>
          </cell>
          <cell r="O775" t="str">
            <v>-</v>
          </cell>
          <cell r="P775" t="str">
            <v>-</v>
          </cell>
        </row>
        <row r="776">
          <cell r="B776">
            <v>350712042</v>
          </cell>
          <cell r="C776" t="str">
            <v>Tanjung Sari</v>
          </cell>
          <cell r="D776" t="str">
            <v>-</v>
          </cell>
          <cell r="E776" t="str">
            <v>PSDA di Bondowoso</v>
          </cell>
          <cell r="F776" t="str">
            <v>Tanjung Kamal</v>
          </cell>
          <cell r="G776" t="str">
            <v>Mangaran</v>
          </cell>
          <cell r="H776" t="str">
            <v>Situbondo</v>
          </cell>
          <cell r="I776" t="str">
            <v>'114.05022000000</v>
          </cell>
          <cell r="J776" t="str">
            <v>'-7.66202500000</v>
          </cell>
          <cell r="K776" t="str">
            <v>-</v>
          </cell>
          <cell r="L776" t="str">
            <v>Pekalen Sampean</v>
          </cell>
          <cell r="M776" t="str">
            <v>PHB</v>
          </cell>
          <cell r="N776" t="str">
            <v>-</v>
          </cell>
          <cell r="O776" t="str">
            <v>-</v>
          </cell>
          <cell r="P776" t="str">
            <v>-</v>
          </cell>
        </row>
        <row r="777">
          <cell r="B777">
            <v>350712043</v>
          </cell>
          <cell r="C777" t="str">
            <v>Tenggir</v>
          </cell>
          <cell r="D777" t="str">
            <v>-</v>
          </cell>
          <cell r="E777" t="str">
            <v>PSDA di Bondowoso</v>
          </cell>
          <cell r="F777" t="str">
            <v>Mangaran</v>
          </cell>
          <cell r="G777" t="str">
            <v>Mangaran</v>
          </cell>
          <cell r="H777" t="str">
            <v>Situbondo</v>
          </cell>
          <cell r="I777" t="str">
            <v>'114.038940</v>
          </cell>
          <cell r="J777" t="str">
            <v>'-7.6702360</v>
          </cell>
          <cell r="K777" t="str">
            <v>-</v>
          </cell>
          <cell r="L777" t="str">
            <v>Pekalen Sampean</v>
          </cell>
          <cell r="M777" t="str">
            <v>PHB</v>
          </cell>
          <cell r="N777" t="str">
            <v>-</v>
          </cell>
          <cell r="O777" t="str">
            <v>-</v>
          </cell>
          <cell r="P777" t="str">
            <v>-</v>
          </cell>
        </row>
        <row r="778">
          <cell r="B778">
            <v>350712044</v>
          </cell>
          <cell r="C778" t="str">
            <v>Tol-tol</v>
          </cell>
          <cell r="D778" t="str">
            <v>-</v>
          </cell>
          <cell r="E778" t="str">
            <v>PSDA di Bondowoso</v>
          </cell>
          <cell r="F778" t="str">
            <v>Bayeman</v>
          </cell>
          <cell r="G778" t="str">
            <v>Arjasa</v>
          </cell>
          <cell r="H778" t="str">
            <v>Situbondo</v>
          </cell>
          <cell r="I778" t="str">
            <v>'114.1273055</v>
          </cell>
          <cell r="J778" t="str">
            <v>'-7.8092222</v>
          </cell>
          <cell r="K778" t="str">
            <v>-</v>
          </cell>
          <cell r="L778" t="str">
            <v>Pekalen Sampean</v>
          </cell>
          <cell r="M778" t="str">
            <v>PHB</v>
          </cell>
          <cell r="N778" t="str">
            <v>-</v>
          </cell>
          <cell r="O778" t="str">
            <v>-</v>
          </cell>
          <cell r="P778" t="str">
            <v>-</v>
          </cell>
        </row>
        <row r="779">
          <cell r="B779">
            <v>350712045</v>
          </cell>
          <cell r="C779" t="str">
            <v>Trebungan</v>
          </cell>
          <cell r="D779" t="str">
            <v>-</v>
          </cell>
          <cell r="E779" t="str">
            <v>PSDA di Bondowoso</v>
          </cell>
          <cell r="F779" t="str">
            <v>Trebungan</v>
          </cell>
          <cell r="G779" t="str">
            <v>Mangaran</v>
          </cell>
          <cell r="H779" t="str">
            <v>Situbondo</v>
          </cell>
          <cell r="I779" t="str">
            <v>'114.01791500000</v>
          </cell>
          <cell r="J779" t="str">
            <v>'-7.64814300000</v>
          </cell>
          <cell r="K779" t="str">
            <v>-</v>
          </cell>
          <cell r="L779" t="str">
            <v>Pekalen Sampean</v>
          </cell>
          <cell r="M779" t="str">
            <v>PHB</v>
          </cell>
          <cell r="N779" t="str">
            <v>-</v>
          </cell>
          <cell r="O779" t="str">
            <v>-</v>
          </cell>
          <cell r="P779" t="str">
            <v>-</v>
          </cell>
        </row>
        <row r="780">
          <cell r="B780">
            <v>350712046</v>
          </cell>
          <cell r="C780" t="str">
            <v>Wonokoyo</v>
          </cell>
          <cell r="D780" t="str">
            <v>-</v>
          </cell>
          <cell r="E780" t="str">
            <v>PSDA di Bondowoso</v>
          </cell>
          <cell r="F780" t="str">
            <v>Wonokoyo</v>
          </cell>
          <cell r="G780" t="str">
            <v>Kapongan</v>
          </cell>
          <cell r="H780" t="str">
            <v>Situbondo</v>
          </cell>
          <cell r="I780" t="str">
            <v>'114.0810950</v>
          </cell>
          <cell r="J780" t="str">
            <v>'-7.7211220</v>
          </cell>
          <cell r="K780" t="str">
            <v>-</v>
          </cell>
          <cell r="L780" t="str">
            <v>Pekalen Sampean</v>
          </cell>
          <cell r="M780" t="str">
            <v>PHB</v>
          </cell>
          <cell r="N780" t="str">
            <v>-</v>
          </cell>
          <cell r="O780" t="str">
            <v>-</v>
          </cell>
          <cell r="P780" t="str">
            <v>-</v>
          </cell>
        </row>
        <row r="781">
          <cell r="B781">
            <v>350712047</v>
          </cell>
          <cell r="C781" t="str">
            <v>Patemon</v>
          </cell>
          <cell r="D781" t="str">
            <v>-</v>
          </cell>
          <cell r="E781" t="str">
            <v>PSDA di Bondowoso</v>
          </cell>
          <cell r="F781" t="str">
            <v>Patemon</v>
          </cell>
          <cell r="G781" t="str">
            <v>Bungatan</v>
          </cell>
          <cell r="H781" t="str">
            <v>Situbondo</v>
          </cell>
          <cell r="I781" t="str">
            <v>'113.85156200000</v>
          </cell>
          <cell r="J781" t="str">
            <v>'-7.75162100000</v>
          </cell>
          <cell r="K781" t="str">
            <v>-</v>
          </cell>
          <cell r="L781" t="str">
            <v>Pekalen Sampean</v>
          </cell>
          <cell r="M781" t="str">
            <v>PHB</v>
          </cell>
          <cell r="N781" t="str">
            <v>-</v>
          </cell>
          <cell r="O781" t="str">
            <v>-</v>
          </cell>
          <cell r="P781" t="str">
            <v>-</v>
          </cell>
        </row>
        <row r="782">
          <cell r="B782">
            <v>350712048</v>
          </cell>
          <cell r="C782" t="str">
            <v>Campoan</v>
          </cell>
          <cell r="D782" t="str">
            <v>-</v>
          </cell>
          <cell r="E782" t="str">
            <v>PSDA di Bondowoso</v>
          </cell>
          <cell r="F782" t="str">
            <v>Campoan</v>
          </cell>
          <cell r="G782" t="str">
            <v>Mlandingan</v>
          </cell>
          <cell r="H782" t="str">
            <v>Situbondo</v>
          </cell>
          <cell r="I782" t="str">
            <v>'113.837489</v>
          </cell>
          <cell r="J782" t="str">
            <v>'-7.786713</v>
          </cell>
          <cell r="K782" t="str">
            <v>-</v>
          </cell>
          <cell r="L782" t="str">
            <v>Pekalen Sampean</v>
          </cell>
          <cell r="M782" t="str">
            <v>PHB</v>
          </cell>
          <cell r="N782" t="str">
            <v>-</v>
          </cell>
          <cell r="O782" t="str">
            <v>-</v>
          </cell>
          <cell r="P782" t="str">
            <v>-</v>
          </cell>
        </row>
        <row r="783">
          <cell r="B783">
            <v>350712049</v>
          </cell>
          <cell r="C783" t="str">
            <v>Wringinanom SIT</v>
          </cell>
          <cell r="D783" t="str">
            <v>-</v>
          </cell>
          <cell r="E783" t="str">
            <v>PSDA di Bondowoso</v>
          </cell>
          <cell r="F783" t="str">
            <v>Wringinanom</v>
          </cell>
          <cell r="G783" t="str">
            <v>Panarukan</v>
          </cell>
          <cell r="H783" t="str">
            <v>Situbondo</v>
          </cell>
          <cell r="I783" t="str">
            <v>'113.976516</v>
          </cell>
          <cell r="J783" t="str">
            <v>'-7.70363</v>
          </cell>
          <cell r="K783" t="str">
            <v>-</v>
          </cell>
          <cell r="L783" t="str">
            <v>Pekalen Sampean</v>
          </cell>
          <cell r="M783" t="str">
            <v>PHB</v>
          </cell>
          <cell r="N783" t="str">
            <v>-</v>
          </cell>
          <cell r="O783" t="str">
            <v>-</v>
          </cell>
          <cell r="P783" t="str">
            <v>-</v>
          </cell>
        </row>
        <row r="784">
          <cell r="B784">
            <v>350807001</v>
          </cell>
          <cell r="C784" t="str">
            <v>Lebakharjo</v>
          </cell>
          <cell r="D784" t="str">
            <v>-</v>
          </cell>
          <cell r="E784" t="str">
            <v>PSDA di Lumajang</v>
          </cell>
          <cell r="F784" t="str">
            <v>Lebakharjo</v>
          </cell>
          <cell r="G784" t="str">
            <v>Ampelgading</v>
          </cell>
          <cell r="H784" t="str">
            <v>Malang</v>
          </cell>
          <cell r="I784" t="str">
            <v>'112.91222</v>
          </cell>
          <cell r="J784" t="str">
            <v>'-8.30111</v>
          </cell>
          <cell r="K784" t="str">
            <v>-</v>
          </cell>
          <cell r="L784" t="str">
            <v>Bondoyudo Bedadung</v>
          </cell>
          <cell r="M784" t="str">
            <v>PHB</v>
          </cell>
          <cell r="N784" t="str">
            <v>-</v>
          </cell>
          <cell r="O784" t="str">
            <v>-</v>
          </cell>
          <cell r="P784" t="str">
            <v>-</v>
          </cell>
        </row>
        <row r="785">
          <cell r="B785">
            <v>350807002</v>
          </cell>
          <cell r="C785" t="str">
            <v>Argoyuwono</v>
          </cell>
          <cell r="D785" t="str">
            <v>-</v>
          </cell>
          <cell r="E785" t="str">
            <v>PSDA di Lumajang</v>
          </cell>
          <cell r="F785" t="str">
            <v>Argoyuwono</v>
          </cell>
          <cell r="G785" t="str">
            <v>Ampelgading</v>
          </cell>
          <cell r="H785" t="str">
            <v>Malang</v>
          </cell>
          <cell r="I785" t="str">
            <v>'112.890134</v>
          </cell>
          <cell r="J785" t="str">
            <v>'-8.198598</v>
          </cell>
          <cell r="K785" t="str">
            <v>-</v>
          </cell>
          <cell r="L785" t="str">
            <v>Bondoyudo Bedadung</v>
          </cell>
          <cell r="M785" t="str">
            <v>PHB</v>
          </cell>
          <cell r="N785" t="str">
            <v>-</v>
          </cell>
          <cell r="O785" t="str">
            <v>-</v>
          </cell>
          <cell r="P785" t="str">
            <v>-</v>
          </cell>
        </row>
        <row r="786">
          <cell r="B786">
            <v>350808001</v>
          </cell>
          <cell r="C786" t="str">
            <v>Banyuputih Kidul</v>
          </cell>
          <cell r="D786" t="str">
            <v>-</v>
          </cell>
          <cell r="E786" t="str">
            <v>PSDA di Lumajang</v>
          </cell>
          <cell r="F786" t="str">
            <v>Dawuan Wetan</v>
          </cell>
          <cell r="G786" t="str">
            <v>Rowokangkung</v>
          </cell>
          <cell r="H786" t="str">
            <v>Lumajang</v>
          </cell>
          <cell r="I786" t="str">
            <v>'113.27727</v>
          </cell>
          <cell r="J786" t="str">
            <v>'-8.11048</v>
          </cell>
          <cell r="K786" t="str">
            <v>-</v>
          </cell>
          <cell r="L786" t="str">
            <v>Bondoyudo Bedadung</v>
          </cell>
          <cell r="M786" t="str">
            <v>PHB</v>
          </cell>
          <cell r="N786" t="str">
            <v>-</v>
          </cell>
          <cell r="O786" t="str">
            <v>-</v>
          </cell>
          <cell r="P786" t="str">
            <v>-</v>
          </cell>
        </row>
        <row r="787">
          <cell r="B787">
            <v>350808002</v>
          </cell>
          <cell r="C787" t="str">
            <v>Bendo LMJ</v>
          </cell>
          <cell r="D787" t="str">
            <v>-</v>
          </cell>
          <cell r="E787" t="str">
            <v>PSDA di Lumajang</v>
          </cell>
          <cell r="F787" t="str">
            <v>Pasrujambe</v>
          </cell>
          <cell r="G787" t="str">
            <v>Pasrujambe</v>
          </cell>
          <cell r="H787" t="str">
            <v>Lumajang</v>
          </cell>
          <cell r="I787" t="str">
            <v>'113.05064</v>
          </cell>
          <cell r="J787" t="str">
            <v>'-8.12275</v>
          </cell>
          <cell r="K787" t="str">
            <v>-</v>
          </cell>
          <cell r="L787" t="str">
            <v>Bondoyudo Bedadung</v>
          </cell>
          <cell r="M787" t="str">
            <v>PHB</v>
          </cell>
          <cell r="N787" t="str">
            <v>-</v>
          </cell>
          <cell r="O787" t="str">
            <v>-</v>
          </cell>
          <cell r="P787" t="str">
            <v>-</v>
          </cell>
        </row>
        <row r="788">
          <cell r="B788">
            <v>350808003</v>
          </cell>
          <cell r="C788" t="str">
            <v>Besuk (Tmp)</v>
          </cell>
          <cell r="D788" t="str">
            <v>-</v>
          </cell>
          <cell r="E788" t="str">
            <v>PSDA di Lumajang</v>
          </cell>
          <cell r="F788" t="str">
            <v>Besuk</v>
          </cell>
          <cell r="G788" t="str">
            <v>Tempeh</v>
          </cell>
          <cell r="H788" t="str">
            <v>Lumajang</v>
          </cell>
          <cell r="I788" t="str">
            <v>'113.18436</v>
          </cell>
          <cell r="J788" t="str">
            <v>'-8.17321</v>
          </cell>
          <cell r="K788" t="str">
            <v>-</v>
          </cell>
          <cell r="L788" t="str">
            <v>Bondoyudo Bedadung</v>
          </cell>
          <cell r="M788" t="str">
            <v>PHB</v>
          </cell>
          <cell r="N788" t="str">
            <v>-</v>
          </cell>
          <cell r="O788" t="str">
            <v>-</v>
          </cell>
          <cell r="P788" t="str">
            <v>-</v>
          </cell>
        </row>
        <row r="789">
          <cell r="B789">
            <v>350808004</v>
          </cell>
          <cell r="C789" t="str">
            <v>Besuksat</v>
          </cell>
          <cell r="D789" t="str">
            <v>-</v>
          </cell>
          <cell r="E789" t="str">
            <v>PSDA di Lumajang</v>
          </cell>
          <cell r="F789" t="str">
            <v>Pasrujambe</v>
          </cell>
          <cell r="G789" t="str">
            <v>Pasrujambe</v>
          </cell>
          <cell r="H789" t="str">
            <v>Lumajang</v>
          </cell>
          <cell r="I789" t="str">
            <v>'113.01813</v>
          </cell>
          <cell r="J789" t="str">
            <v>'-8.11045</v>
          </cell>
          <cell r="K789" t="str">
            <v>-</v>
          </cell>
          <cell r="L789" t="str">
            <v>Bondoyudo Bedadung</v>
          </cell>
          <cell r="M789" t="str">
            <v>PHB</v>
          </cell>
          <cell r="N789" t="str">
            <v>-</v>
          </cell>
          <cell r="O789" t="str">
            <v>-</v>
          </cell>
          <cell r="P789" t="str">
            <v>-</v>
          </cell>
        </row>
        <row r="790">
          <cell r="B790">
            <v>350808005</v>
          </cell>
          <cell r="C790" t="str">
            <v>Blimbing</v>
          </cell>
          <cell r="D790" t="str">
            <v>-</v>
          </cell>
          <cell r="E790" t="str">
            <v>PSDA di Lumajang</v>
          </cell>
          <cell r="F790" t="str">
            <v>Rowokangkung</v>
          </cell>
          <cell r="G790" t="str">
            <v>Rowokangkung</v>
          </cell>
          <cell r="H790" t="str">
            <v>Lumajang</v>
          </cell>
          <cell r="I790" t="str">
            <v>'113.317174</v>
          </cell>
          <cell r="J790" t="str">
            <v>'-8.187402</v>
          </cell>
          <cell r="K790" t="str">
            <v>-</v>
          </cell>
          <cell r="L790" t="str">
            <v>Bondoyudo Bedadung</v>
          </cell>
          <cell r="M790" t="str">
            <v>PHB</v>
          </cell>
          <cell r="N790" t="str">
            <v>-</v>
          </cell>
          <cell r="O790" t="str">
            <v>-</v>
          </cell>
          <cell r="P790" t="str">
            <v>-</v>
          </cell>
        </row>
        <row r="791">
          <cell r="B791">
            <v>350808006</v>
          </cell>
          <cell r="C791" t="str">
            <v>Blukon</v>
          </cell>
          <cell r="D791" t="str">
            <v>-</v>
          </cell>
          <cell r="E791" t="str">
            <v>PSDA di Lumajang</v>
          </cell>
          <cell r="F791" t="str">
            <v>Sumbersari</v>
          </cell>
          <cell r="G791" t="str">
            <v>Rowokangkung</v>
          </cell>
          <cell r="H791" t="str">
            <v>Lumajang</v>
          </cell>
          <cell r="I791" t="str">
            <v>'113.30705</v>
          </cell>
          <cell r="J791" t="str">
            <v>'-8.18364</v>
          </cell>
          <cell r="K791" t="str">
            <v>-</v>
          </cell>
          <cell r="L791" t="str">
            <v>Bondoyudo Bedadung</v>
          </cell>
          <cell r="M791" t="str">
            <v>PHB</v>
          </cell>
          <cell r="N791" t="str">
            <v>-</v>
          </cell>
          <cell r="O791" t="str">
            <v>-</v>
          </cell>
          <cell r="P791" t="str">
            <v>-</v>
          </cell>
        </row>
        <row r="792">
          <cell r="B792">
            <v>350808007</v>
          </cell>
          <cell r="C792" t="str">
            <v>Bodang</v>
          </cell>
          <cell r="D792" t="str">
            <v>-</v>
          </cell>
          <cell r="E792" t="str">
            <v>PSDA di Lumajang</v>
          </cell>
          <cell r="F792" t="str">
            <v>Bodang</v>
          </cell>
          <cell r="G792" t="str">
            <v>Padang</v>
          </cell>
          <cell r="H792" t="str">
            <v>Lumajang</v>
          </cell>
          <cell r="I792" t="str">
            <v>'113.13333</v>
          </cell>
          <cell r="J792" t="str">
            <v>'-8.09416</v>
          </cell>
          <cell r="K792" t="str">
            <v>-</v>
          </cell>
          <cell r="L792" t="str">
            <v>Bondoyudo Bedadung</v>
          </cell>
          <cell r="M792" t="str">
            <v>PHB</v>
          </cell>
          <cell r="N792" t="str">
            <v>-</v>
          </cell>
          <cell r="O792" t="str">
            <v>-</v>
          </cell>
          <cell r="P792" t="str">
            <v>-</v>
          </cell>
        </row>
        <row r="793">
          <cell r="B793">
            <v>350808008</v>
          </cell>
          <cell r="C793" t="str">
            <v>Candipuro</v>
          </cell>
          <cell r="D793" t="str">
            <v>-</v>
          </cell>
          <cell r="E793" t="str">
            <v>PSDA di Lumajang</v>
          </cell>
          <cell r="F793" t="str">
            <v>Sumberejo</v>
          </cell>
          <cell r="G793" t="str">
            <v>Candipuro</v>
          </cell>
          <cell r="H793" t="str">
            <v>Lumajang</v>
          </cell>
          <cell r="I793" t="str">
            <v>'113.07496</v>
          </cell>
          <cell r="J793" t="str">
            <v>'-8.18304</v>
          </cell>
          <cell r="K793" t="str">
            <v>-</v>
          </cell>
          <cell r="L793" t="str">
            <v>Bondoyudo Bedadung</v>
          </cell>
          <cell r="M793" t="str">
            <v>PHB</v>
          </cell>
          <cell r="N793" t="str">
            <v>-</v>
          </cell>
          <cell r="O793" t="str">
            <v>-</v>
          </cell>
          <cell r="P793" t="str">
            <v>-</v>
          </cell>
        </row>
        <row r="794">
          <cell r="B794">
            <v>350808009</v>
          </cell>
          <cell r="C794" t="str">
            <v>Curah Koboan</v>
          </cell>
          <cell r="D794" t="str">
            <v>-</v>
          </cell>
          <cell r="E794" t="str">
            <v>PSDA di Lumajang</v>
          </cell>
          <cell r="F794" t="str">
            <v>Supit Urang</v>
          </cell>
          <cell r="G794" t="str">
            <v>Pronojiwo</v>
          </cell>
          <cell r="H794" t="str">
            <v>Lumajang</v>
          </cell>
          <cell r="I794" t="str">
            <v>'113.00424</v>
          </cell>
          <cell r="J794" t="str">
            <v>'-8.17204</v>
          </cell>
          <cell r="K794" t="str">
            <v>-</v>
          </cell>
          <cell r="L794" t="str">
            <v>Bondoyudo Bedadung</v>
          </cell>
          <cell r="M794" t="str">
            <v>PHB</v>
          </cell>
          <cell r="N794" t="str">
            <v>-</v>
          </cell>
          <cell r="O794" t="str">
            <v>-</v>
          </cell>
          <cell r="P794" t="str">
            <v>-</v>
          </cell>
        </row>
        <row r="795">
          <cell r="B795">
            <v>350808010</v>
          </cell>
          <cell r="C795" t="str">
            <v>Dawuhan Lor</v>
          </cell>
          <cell r="D795" t="str">
            <v>-</v>
          </cell>
          <cell r="E795" t="str">
            <v>PSDA di Lumajang</v>
          </cell>
          <cell r="F795" t="str">
            <v>Klanting</v>
          </cell>
          <cell r="G795" t="str">
            <v>Sukodono</v>
          </cell>
          <cell r="H795" t="str">
            <v>Lumajang</v>
          </cell>
          <cell r="I795" t="str">
            <v>'113.20419</v>
          </cell>
          <cell r="J795" t="str">
            <v>'-8.11799</v>
          </cell>
          <cell r="K795" t="str">
            <v>-</v>
          </cell>
          <cell r="L795" t="str">
            <v>Bondoyudo Bedadung</v>
          </cell>
          <cell r="M795" t="str">
            <v>PHB</v>
          </cell>
          <cell r="N795" t="str">
            <v>-</v>
          </cell>
          <cell r="O795" t="str">
            <v>-</v>
          </cell>
          <cell r="P795" t="str">
            <v>-</v>
          </cell>
        </row>
        <row r="796">
          <cell r="B796">
            <v>350808011</v>
          </cell>
          <cell r="C796" t="str">
            <v>Gedang Mas</v>
          </cell>
          <cell r="D796" t="str">
            <v>-</v>
          </cell>
          <cell r="E796" t="str">
            <v>PSDA di Lumajang</v>
          </cell>
          <cell r="F796" t="str">
            <v>Kalidilem</v>
          </cell>
          <cell r="G796" t="str">
            <v>Randuagung</v>
          </cell>
          <cell r="H796" t="str">
            <v>Lumajang</v>
          </cell>
          <cell r="I796" t="str">
            <v>'113.31431</v>
          </cell>
          <cell r="J796" t="str">
            <v>'-8.08672</v>
          </cell>
          <cell r="K796" t="str">
            <v>-</v>
          </cell>
          <cell r="L796" t="str">
            <v>Bondoyudo Bedadung</v>
          </cell>
          <cell r="M796" t="str">
            <v>PHB</v>
          </cell>
          <cell r="N796" t="str">
            <v>-</v>
          </cell>
          <cell r="O796" t="str">
            <v>-</v>
          </cell>
          <cell r="P796" t="str">
            <v>-</v>
          </cell>
        </row>
        <row r="797">
          <cell r="B797">
            <v>350808012</v>
          </cell>
          <cell r="C797" t="str">
            <v>Gucialit</v>
          </cell>
          <cell r="D797" t="str">
            <v>-</v>
          </cell>
          <cell r="E797" t="str">
            <v>PSDA di Lumajang</v>
          </cell>
          <cell r="F797" t="str">
            <v>Gucialit</v>
          </cell>
          <cell r="G797" t="str">
            <v>Gucialit</v>
          </cell>
          <cell r="H797" t="str">
            <v>Lumajang</v>
          </cell>
          <cell r="I797" t="str">
            <v>'113.15296</v>
          </cell>
          <cell r="J797" t="str">
            <v>'-8.06575</v>
          </cell>
          <cell r="K797" t="str">
            <v>-</v>
          </cell>
          <cell r="L797" t="str">
            <v>Bondoyudo Bedadung</v>
          </cell>
          <cell r="M797" t="str">
            <v>PHB</v>
          </cell>
          <cell r="N797" t="str">
            <v>-</v>
          </cell>
          <cell r="O797" t="str">
            <v>-</v>
          </cell>
          <cell r="P797" t="str">
            <v>-</v>
          </cell>
        </row>
        <row r="798">
          <cell r="B798">
            <v>350808013</v>
          </cell>
          <cell r="C798" t="str">
            <v>Gunung Ringgit</v>
          </cell>
          <cell r="D798" t="str">
            <v>-</v>
          </cell>
          <cell r="E798" t="str">
            <v>PSDA di Lumajang</v>
          </cell>
          <cell r="F798" t="str">
            <v>Jeruk</v>
          </cell>
          <cell r="G798" t="str">
            <v>Gucialit</v>
          </cell>
          <cell r="H798" t="str">
            <v>Lumajang</v>
          </cell>
          <cell r="I798" t="str">
            <v>'113.16937</v>
          </cell>
          <cell r="J798" t="str">
            <v>'-7.99440</v>
          </cell>
          <cell r="K798" t="str">
            <v>-</v>
          </cell>
          <cell r="L798" t="str">
            <v>Bondoyudo Bedadung</v>
          </cell>
          <cell r="M798" t="str">
            <v>PHB</v>
          </cell>
          <cell r="N798" t="str">
            <v>-</v>
          </cell>
          <cell r="O798" t="str">
            <v>-</v>
          </cell>
          <cell r="P798" t="str">
            <v>-</v>
          </cell>
        </row>
        <row r="799">
          <cell r="B799">
            <v>350808014</v>
          </cell>
          <cell r="C799" t="str">
            <v>Gunung Sawur</v>
          </cell>
          <cell r="D799" t="str">
            <v>-</v>
          </cell>
          <cell r="E799" t="str">
            <v>PSDA di Lumajang</v>
          </cell>
          <cell r="F799" t="str">
            <v>Ledoktempuro</v>
          </cell>
          <cell r="G799" t="str">
            <v>Randuagung</v>
          </cell>
          <cell r="H799" t="str">
            <v>Lumajang</v>
          </cell>
          <cell r="I799" t="str">
            <v>'113.018727</v>
          </cell>
          <cell r="J799" t="str">
            <v>'-8.1473484</v>
          </cell>
          <cell r="K799" t="str">
            <v>-</v>
          </cell>
          <cell r="L799" t="str">
            <v>Bondoyudo Bedadung</v>
          </cell>
          <cell r="M799" t="str">
            <v>PHB</v>
          </cell>
          <cell r="N799" t="str">
            <v>-</v>
          </cell>
          <cell r="O799" t="str">
            <v>-</v>
          </cell>
          <cell r="P799" t="str">
            <v>-</v>
          </cell>
        </row>
        <row r="800">
          <cell r="B800">
            <v>350808015</v>
          </cell>
          <cell r="C800" t="str">
            <v>Jokarto</v>
          </cell>
          <cell r="D800" t="str">
            <v>-</v>
          </cell>
          <cell r="E800" t="str">
            <v>PSDA di Lumajang</v>
          </cell>
          <cell r="F800" t="str">
            <v>Krajan</v>
          </cell>
          <cell r="G800" t="str">
            <v>Tempeh</v>
          </cell>
          <cell r="H800" t="str">
            <v>Lumajang</v>
          </cell>
          <cell r="I800" t="str">
            <v>'113.14874</v>
          </cell>
          <cell r="J800" t="str">
            <v>'-8.16349</v>
          </cell>
          <cell r="K800" t="str">
            <v>-</v>
          </cell>
          <cell r="L800" t="str">
            <v>Bondoyudo Bedadung</v>
          </cell>
          <cell r="M800" t="str">
            <v>PHB</v>
          </cell>
          <cell r="N800" t="str">
            <v>-</v>
          </cell>
          <cell r="O800" t="str">
            <v>-</v>
          </cell>
          <cell r="P800" t="str">
            <v>-</v>
          </cell>
        </row>
        <row r="801">
          <cell r="B801">
            <v>350808016</v>
          </cell>
          <cell r="C801" t="str">
            <v>Kaliboto (JTR)</v>
          </cell>
          <cell r="D801" t="str">
            <v>-</v>
          </cell>
          <cell r="E801" t="str">
            <v>PSDA di Lumajang</v>
          </cell>
          <cell r="F801" t="str">
            <v>Jatiroto</v>
          </cell>
          <cell r="G801" t="str">
            <v>Jatiroto</v>
          </cell>
          <cell r="H801" t="str">
            <v>Lumajang</v>
          </cell>
          <cell r="I801" t="str">
            <v>'113.36663</v>
          </cell>
          <cell r="J801" t="str">
            <v>'-8.10894</v>
          </cell>
          <cell r="K801" t="str">
            <v>-</v>
          </cell>
          <cell r="L801" t="str">
            <v>Bondoyudo Bedadung</v>
          </cell>
          <cell r="M801" t="str">
            <v>PHB</v>
          </cell>
          <cell r="N801" t="str">
            <v>-</v>
          </cell>
          <cell r="O801" t="str">
            <v>-</v>
          </cell>
          <cell r="P801" t="str">
            <v>-</v>
          </cell>
        </row>
        <row r="802">
          <cell r="B802">
            <v>350808017</v>
          </cell>
          <cell r="C802" t="str">
            <v>Kalipancing</v>
          </cell>
          <cell r="D802" t="str">
            <v>-</v>
          </cell>
          <cell r="E802" t="str">
            <v>PSDA di Lumajang</v>
          </cell>
          <cell r="F802" t="str">
            <v>Tambah Rejo</v>
          </cell>
          <cell r="G802" t="str">
            <v>Candipuro</v>
          </cell>
          <cell r="H802" t="str">
            <v>Lumajang</v>
          </cell>
          <cell r="I802" t="str">
            <v>'113.05425</v>
          </cell>
          <cell r="J802" t="str">
            <v>'-8.15171</v>
          </cell>
          <cell r="K802" t="str">
            <v>-</v>
          </cell>
          <cell r="L802" t="str">
            <v>Bondoyudo Bedadung</v>
          </cell>
          <cell r="M802" t="str">
            <v>PHB</v>
          </cell>
          <cell r="N802" t="str">
            <v>-</v>
          </cell>
          <cell r="O802" t="str">
            <v>-</v>
          </cell>
          <cell r="P802" t="str">
            <v>-</v>
          </cell>
        </row>
        <row r="803">
          <cell r="B803">
            <v>350808018</v>
          </cell>
          <cell r="C803" t="str">
            <v>Kalipenggung</v>
          </cell>
          <cell r="D803" t="str">
            <v>-</v>
          </cell>
          <cell r="E803" t="str">
            <v>PSDA di Lumajang</v>
          </cell>
          <cell r="F803" t="str">
            <v>Gedangan</v>
          </cell>
          <cell r="G803" t="str">
            <v>Randuagung</v>
          </cell>
          <cell r="H803" t="str">
            <v>Lumajang</v>
          </cell>
          <cell r="I803" t="str">
            <v>'113.3485170</v>
          </cell>
          <cell r="J803" t="str">
            <v>'-8.0831110</v>
          </cell>
          <cell r="K803" t="str">
            <v>-</v>
          </cell>
          <cell r="L803" t="str">
            <v>Bondoyudo Bedadung</v>
          </cell>
          <cell r="M803" t="str">
            <v>PHB</v>
          </cell>
          <cell r="N803" t="str">
            <v>-</v>
          </cell>
          <cell r="O803" t="str">
            <v>-</v>
          </cell>
          <cell r="P803" t="str">
            <v>-</v>
          </cell>
        </row>
        <row r="804">
          <cell r="B804">
            <v>350808019</v>
          </cell>
          <cell r="C804" t="str">
            <v>Kebonsari (SKO)</v>
          </cell>
          <cell r="D804" t="str">
            <v>-</v>
          </cell>
          <cell r="E804" t="str">
            <v>PSDA di Lumajang</v>
          </cell>
          <cell r="F804" t="str">
            <v>Kebonsari</v>
          </cell>
          <cell r="G804" t="str">
            <v>Sumbersuko</v>
          </cell>
          <cell r="H804" t="str">
            <v>Lumajang</v>
          </cell>
          <cell r="I804" t="str">
            <v>'113.2083890</v>
          </cell>
          <cell r="J804" t="str">
            <v>'-8.1618640</v>
          </cell>
          <cell r="K804" t="str">
            <v>-</v>
          </cell>
          <cell r="L804" t="str">
            <v>Bondoyudo Bedadung</v>
          </cell>
          <cell r="M804" t="str">
            <v>PHB</v>
          </cell>
          <cell r="N804" t="str">
            <v>-</v>
          </cell>
          <cell r="O804" t="str">
            <v>-</v>
          </cell>
          <cell r="P804" t="str">
            <v>-</v>
          </cell>
        </row>
        <row r="805">
          <cell r="B805">
            <v>350808020</v>
          </cell>
          <cell r="C805" t="str">
            <v>Kec.Pasirian</v>
          </cell>
          <cell r="D805" t="str">
            <v>-</v>
          </cell>
          <cell r="E805" t="str">
            <v>PSDA di Lumajang</v>
          </cell>
          <cell r="F805" t="str">
            <v>Kalibendo</v>
          </cell>
          <cell r="G805" t="str">
            <v>Pasirian</v>
          </cell>
          <cell r="H805" t="str">
            <v>Lumajang</v>
          </cell>
          <cell r="I805" t="str">
            <v>'113.09717</v>
          </cell>
          <cell r="J805" t="str">
            <v>'-8.23451</v>
          </cell>
          <cell r="K805" t="str">
            <v>-</v>
          </cell>
          <cell r="L805" t="str">
            <v>Bondoyudo Bedadung</v>
          </cell>
          <cell r="M805" t="str">
            <v>PHB</v>
          </cell>
          <cell r="N805" t="str">
            <v>-</v>
          </cell>
          <cell r="O805" t="str">
            <v>-</v>
          </cell>
          <cell r="P805" t="str">
            <v>-</v>
          </cell>
        </row>
        <row r="806">
          <cell r="B806">
            <v>350808021</v>
          </cell>
          <cell r="C806" t="str">
            <v>Kedungjajang</v>
          </cell>
          <cell r="D806" t="str">
            <v>-</v>
          </cell>
          <cell r="E806" t="str">
            <v>PSDA di Lumajang</v>
          </cell>
          <cell r="F806" t="str">
            <v>Kunir</v>
          </cell>
          <cell r="G806" t="str">
            <v>Kunir</v>
          </cell>
          <cell r="H806" t="str">
            <v>Lumajang</v>
          </cell>
          <cell r="I806" t="str">
            <v>'113.24423</v>
          </cell>
          <cell r="J806" t="str">
            <v>'-8.07981</v>
          </cell>
          <cell r="K806" t="str">
            <v>-</v>
          </cell>
          <cell r="L806" t="str">
            <v>Bondoyudo Bedadung</v>
          </cell>
          <cell r="M806" t="str">
            <v>PHB</v>
          </cell>
          <cell r="N806" t="str">
            <v>-</v>
          </cell>
          <cell r="O806" t="str">
            <v>-</v>
          </cell>
          <cell r="P806" t="str">
            <v>-</v>
          </cell>
        </row>
        <row r="807">
          <cell r="B807">
            <v>350808022</v>
          </cell>
          <cell r="C807" t="str">
            <v>Kedungsangku</v>
          </cell>
          <cell r="D807" t="str">
            <v>-</v>
          </cell>
          <cell r="E807" t="str">
            <v>PSDA di Lumajang</v>
          </cell>
          <cell r="F807" t="str">
            <v>Banjarwaru</v>
          </cell>
          <cell r="G807" t="str">
            <v>Lumajang</v>
          </cell>
          <cell r="H807" t="str">
            <v>Lumajang</v>
          </cell>
          <cell r="I807" t="str">
            <v>'113.187745</v>
          </cell>
          <cell r="J807" t="str">
            <v>'-8.128936</v>
          </cell>
          <cell r="K807" t="str">
            <v>-</v>
          </cell>
          <cell r="L807" t="str">
            <v>Bondoyudo Bedadung</v>
          </cell>
          <cell r="M807" t="str">
            <v>PHB</v>
          </cell>
          <cell r="N807" t="str">
            <v>-</v>
          </cell>
          <cell r="O807" t="str">
            <v>-</v>
          </cell>
          <cell r="P807" t="str">
            <v>-</v>
          </cell>
        </row>
        <row r="808">
          <cell r="B808">
            <v>350808023</v>
          </cell>
          <cell r="C808" t="str">
            <v>Kedungwringin</v>
          </cell>
          <cell r="D808" t="str">
            <v>-</v>
          </cell>
          <cell r="E808" t="str">
            <v>PSDA di Lumajang</v>
          </cell>
          <cell r="F808" t="str">
            <v>Nguter</v>
          </cell>
          <cell r="G808" t="str">
            <v>Pasirian</v>
          </cell>
          <cell r="H808" t="str">
            <v>Lumajang</v>
          </cell>
          <cell r="I808" t="str">
            <v>'113.1275970</v>
          </cell>
          <cell r="J808" t="str">
            <v>'-8.1704310</v>
          </cell>
          <cell r="K808" t="str">
            <v>-</v>
          </cell>
          <cell r="L808" t="str">
            <v>Bondoyudo Bedadung</v>
          </cell>
          <cell r="M808" t="str">
            <v>PHB</v>
          </cell>
          <cell r="N808" t="str">
            <v>-</v>
          </cell>
          <cell r="O808" t="str">
            <v>-</v>
          </cell>
          <cell r="P808" t="str">
            <v>-</v>
          </cell>
        </row>
        <row r="809">
          <cell r="B809">
            <v>350808024</v>
          </cell>
          <cell r="C809" t="str">
            <v>Kertosari</v>
          </cell>
          <cell r="D809" t="str">
            <v>-</v>
          </cell>
          <cell r="E809" t="str">
            <v>PSDA di Lumajang</v>
          </cell>
          <cell r="F809" t="str">
            <v>Kertosari</v>
          </cell>
          <cell r="G809" t="str">
            <v>Pasrujambe</v>
          </cell>
          <cell r="H809" t="str">
            <v>Lumajang</v>
          </cell>
          <cell r="I809" t="str">
            <v>'113.08381</v>
          </cell>
          <cell r="J809" t="str">
            <v>'-8.141308</v>
          </cell>
          <cell r="K809" t="str">
            <v>-</v>
          </cell>
          <cell r="L809" t="str">
            <v>Bondoyudo Bedadung</v>
          </cell>
          <cell r="M809" t="str">
            <v>PHB</v>
          </cell>
          <cell r="N809" t="str">
            <v>-</v>
          </cell>
          <cell r="O809" t="str">
            <v>-</v>
          </cell>
          <cell r="P809" t="str">
            <v>-</v>
          </cell>
        </row>
        <row r="810">
          <cell r="B810">
            <v>350808025</v>
          </cell>
          <cell r="C810" t="str">
            <v>Kunir</v>
          </cell>
          <cell r="D810" t="str">
            <v>-</v>
          </cell>
          <cell r="E810" t="str">
            <v>PSDA di Lumajang</v>
          </cell>
          <cell r="F810" t="str">
            <v>Kunir</v>
          </cell>
          <cell r="G810" t="str">
            <v>Kunir</v>
          </cell>
          <cell r="H810" t="str">
            <v>Lumajang</v>
          </cell>
          <cell r="I810" t="str">
            <v>'113.221908</v>
          </cell>
          <cell r="J810" t="str">
            <v>'-8.221236</v>
          </cell>
          <cell r="K810" t="str">
            <v>-</v>
          </cell>
          <cell r="L810" t="str">
            <v>Bondoyudo Bedadung</v>
          </cell>
          <cell r="M810" t="str">
            <v>PHB</v>
          </cell>
          <cell r="N810" t="str">
            <v>-</v>
          </cell>
          <cell r="O810" t="str">
            <v>-</v>
          </cell>
          <cell r="P810" t="str">
            <v>-</v>
          </cell>
        </row>
        <row r="811">
          <cell r="B811">
            <v>350808026</v>
          </cell>
          <cell r="C811" t="str">
            <v>Labruk Lor</v>
          </cell>
          <cell r="D811" t="str">
            <v>-</v>
          </cell>
          <cell r="E811" t="str">
            <v>PSDA di Lumajang</v>
          </cell>
          <cell r="F811" t="str">
            <v>Lubruk Lor</v>
          </cell>
          <cell r="G811" t="str">
            <v>Lumajang</v>
          </cell>
          <cell r="H811" t="str">
            <v>Lumajang</v>
          </cell>
          <cell r="I811" t="str">
            <v>'113.206198</v>
          </cell>
          <cell r="J811" t="str">
            <v>'-8.1421160</v>
          </cell>
          <cell r="K811" t="str">
            <v>-</v>
          </cell>
          <cell r="L811" t="str">
            <v>Bondoyudo Bedadung</v>
          </cell>
          <cell r="M811" t="str">
            <v>PHB</v>
          </cell>
          <cell r="N811" t="str">
            <v>-</v>
          </cell>
          <cell r="O811" t="str">
            <v>-</v>
          </cell>
          <cell r="P811" t="str">
            <v>-</v>
          </cell>
        </row>
        <row r="812">
          <cell r="B812">
            <v>350808027</v>
          </cell>
          <cell r="C812" t="str">
            <v>Maleman</v>
          </cell>
          <cell r="D812" t="str">
            <v>-</v>
          </cell>
          <cell r="E812" t="str">
            <v>PSDA di Lumajang</v>
          </cell>
          <cell r="F812" t="str">
            <v>Kebonsari</v>
          </cell>
          <cell r="G812" t="str">
            <v>Yosowilangun</v>
          </cell>
          <cell r="H812" t="str">
            <v>Lumajang</v>
          </cell>
          <cell r="I812" t="str">
            <v>'113.294711</v>
          </cell>
          <cell r="J812" t="str">
            <v>'-8.2330470</v>
          </cell>
          <cell r="K812" t="str">
            <v>-</v>
          </cell>
          <cell r="L812" t="str">
            <v>Bondoyudo Bedadung</v>
          </cell>
          <cell r="M812" t="str">
            <v>PHB</v>
          </cell>
          <cell r="N812" t="str">
            <v>-</v>
          </cell>
          <cell r="O812" t="str">
            <v>-</v>
          </cell>
          <cell r="P812" t="str">
            <v>-</v>
          </cell>
        </row>
        <row r="813">
          <cell r="B813">
            <v>350808028</v>
          </cell>
          <cell r="C813" t="str">
            <v>Munggir</v>
          </cell>
          <cell r="D813" t="str">
            <v>-</v>
          </cell>
          <cell r="E813" t="str">
            <v>PSDA di Lumajang</v>
          </cell>
          <cell r="F813" t="str">
            <v>Pasrujambe</v>
          </cell>
          <cell r="G813" t="str">
            <v>Pasrujambe</v>
          </cell>
          <cell r="H813" t="str">
            <v>Lumajang</v>
          </cell>
          <cell r="I813" t="str">
            <v>'113.0415810</v>
          </cell>
          <cell r="J813" t="str">
            <v>'-8.1205110</v>
          </cell>
          <cell r="K813" t="str">
            <v>-</v>
          </cell>
          <cell r="L813" t="str">
            <v>Bondoyudo Bedadung</v>
          </cell>
          <cell r="M813" t="str">
            <v>PHB</v>
          </cell>
          <cell r="N813" t="str">
            <v>-</v>
          </cell>
          <cell r="O813" t="str">
            <v>-</v>
          </cell>
          <cell r="P813" t="str">
            <v>-</v>
          </cell>
        </row>
        <row r="814">
          <cell r="B814">
            <v>350808029</v>
          </cell>
          <cell r="C814" t="str">
            <v>Nogosari</v>
          </cell>
          <cell r="D814" t="str">
            <v>-</v>
          </cell>
          <cell r="E814" t="str">
            <v>PSDA di Lumajang</v>
          </cell>
          <cell r="F814" t="str">
            <v>Nogosari</v>
          </cell>
          <cell r="G814" t="str">
            <v>Rowokangkung</v>
          </cell>
          <cell r="H814" t="str">
            <v>Lumajang</v>
          </cell>
          <cell r="I814" t="str">
            <v>'113.295633</v>
          </cell>
          <cell r="J814" t="str">
            <v>'-8.200522</v>
          </cell>
          <cell r="K814" t="str">
            <v>-</v>
          </cell>
          <cell r="L814" t="str">
            <v>Bondoyudo Bedadung</v>
          </cell>
          <cell r="M814" t="str">
            <v>PHB</v>
          </cell>
          <cell r="N814" t="str">
            <v>-</v>
          </cell>
          <cell r="O814" t="str">
            <v>-</v>
          </cell>
          <cell r="P814" t="str">
            <v>-</v>
          </cell>
        </row>
        <row r="815">
          <cell r="B815">
            <v>350808030</v>
          </cell>
          <cell r="C815" t="str">
            <v>Pace</v>
          </cell>
          <cell r="D815" t="str">
            <v>-</v>
          </cell>
          <cell r="E815" t="str">
            <v>PSDA di Lumajang</v>
          </cell>
          <cell r="F815" t="str">
            <v>Bandaran</v>
          </cell>
          <cell r="G815" t="str">
            <v>Kedungjajang</v>
          </cell>
          <cell r="H815" t="str">
            <v>Lumajang</v>
          </cell>
          <cell r="I815" t="str">
            <v>'113.196280</v>
          </cell>
          <cell r="J815" t="str">
            <v>'-8.0038150</v>
          </cell>
          <cell r="K815" t="str">
            <v>-</v>
          </cell>
          <cell r="L815" t="str">
            <v>Bondoyudo Bedadung</v>
          </cell>
          <cell r="M815" t="str">
            <v>PHB</v>
          </cell>
          <cell r="N815" t="str">
            <v>-</v>
          </cell>
          <cell r="O815" t="str">
            <v>-</v>
          </cell>
          <cell r="P815" t="str">
            <v>-</v>
          </cell>
        </row>
        <row r="816">
          <cell r="B816">
            <v>350808031</v>
          </cell>
          <cell r="C816" t="str">
            <v>Padang</v>
          </cell>
          <cell r="D816" t="str">
            <v>-</v>
          </cell>
          <cell r="E816" t="str">
            <v>PSDA di Lumajang</v>
          </cell>
          <cell r="F816" t="str">
            <v>Padang</v>
          </cell>
          <cell r="G816" t="str">
            <v>Padang</v>
          </cell>
          <cell r="H816" t="str">
            <v>Lumajang</v>
          </cell>
          <cell r="I816" t="str">
            <v>'113.190201</v>
          </cell>
          <cell r="J816" t="str">
            <v>'-8.088934</v>
          </cell>
          <cell r="K816" t="str">
            <v>-</v>
          </cell>
          <cell r="L816" t="str">
            <v>Bondoyudo Bedadung</v>
          </cell>
          <cell r="M816" t="str">
            <v>PHB</v>
          </cell>
          <cell r="N816" t="str">
            <v>-</v>
          </cell>
          <cell r="O816" t="str">
            <v>-</v>
          </cell>
          <cell r="P816" t="str">
            <v>-</v>
          </cell>
        </row>
        <row r="817">
          <cell r="B817">
            <v>350808032</v>
          </cell>
          <cell r="C817" t="str">
            <v>Pagowan</v>
          </cell>
          <cell r="D817" t="str">
            <v>-</v>
          </cell>
          <cell r="E817" t="str">
            <v>PSDA di Lumajang</v>
          </cell>
          <cell r="F817" t="str">
            <v>Karanganom</v>
          </cell>
          <cell r="G817" t="str">
            <v>Pasrujambe</v>
          </cell>
          <cell r="H817" t="str">
            <v>Lumajang</v>
          </cell>
          <cell r="I817" t="str">
            <v>'113.1309530</v>
          </cell>
          <cell r="J817" t="str">
            <v>'-8.14654700</v>
          </cell>
          <cell r="K817" t="str">
            <v>-</v>
          </cell>
          <cell r="L817" t="str">
            <v>Bondoyudo Bedadung</v>
          </cell>
          <cell r="M817" t="str">
            <v>PHB</v>
          </cell>
          <cell r="N817" t="str">
            <v>-</v>
          </cell>
          <cell r="O817" t="str">
            <v>-</v>
          </cell>
          <cell r="P817" t="str">
            <v>-</v>
          </cell>
        </row>
        <row r="818">
          <cell r="B818">
            <v>350808033</v>
          </cell>
          <cell r="C818" t="str">
            <v>Paleran</v>
          </cell>
          <cell r="D818" t="str">
            <v>-</v>
          </cell>
          <cell r="E818" t="str">
            <v>PSDA di Lumajang</v>
          </cell>
          <cell r="F818" t="str">
            <v>Banyuputih Lor</v>
          </cell>
          <cell r="G818" t="str">
            <v>Randuagung</v>
          </cell>
          <cell r="H818" t="str">
            <v>Lumajang</v>
          </cell>
          <cell r="I818" t="str">
            <v>'113.286452</v>
          </cell>
          <cell r="J818" t="str">
            <v>'-8.088840</v>
          </cell>
          <cell r="K818" t="str">
            <v>-</v>
          </cell>
          <cell r="L818" t="str">
            <v>Bondoyudo Bedadung</v>
          </cell>
          <cell r="M818" t="str">
            <v>PHB</v>
          </cell>
          <cell r="N818" t="str">
            <v>-</v>
          </cell>
          <cell r="O818" t="str">
            <v>-</v>
          </cell>
          <cell r="P818" t="str">
            <v>-</v>
          </cell>
        </row>
        <row r="819">
          <cell r="B819">
            <v>350808034</v>
          </cell>
          <cell r="C819" t="str">
            <v>Pasirian (Pas)</v>
          </cell>
          <cell r="D819" t="str">
            <v>-</v>
          </cell>
          <cell r="E819" t="str">
            <v>PSDA di Lumajang</v>
          </cell>
          <cell r="F819" t="str">
            <v>Pasirian</v>
          </cell>
          <cell r="G819" t="str">
            <v>Pasirian</v>
          </cell>
          <cell r="H819" t="str">
            <v>Lumajang</v>
          </cell>
          <cell r="I819" t="str">
            <v>'113.114214</v>
          </cell>
          <cell r="J819" t="str">
            <v>'-8.206486</v>
          </cell>
          <cell r="K819" t="str">
            <v>-</v>
          </cell>
          <cell r="L819" t="str">
            <v>Bondoyudo Bedadung</v>
          </cell>
          <cell r="M819" t="str">
            <v>PHB</v>
          </cell>
          <cell r="N819" t="str">
            <v>-</v>
          </cell>
          <cell r="O819" t="str">
            <v>-</v>
          </cell>
          <cell r="P819" t="str">
            <v>-</v>
          </cell>
        </row>
        <row r="820">
          <cell r="B820">
            <v>350808035</v>
          </cell>
          <cell r="C820" t="str">
            <v>Pasrujambe</v>
          </cell>
          <cell r="D820" t="str">
            <v>-</v>
          </cell>
          <cell r="E820" t="str">
            <v>PSDA di Lumajang</v>
          </cell>
          <cell r="F820" t="str">
            <v>Pasrujambe</v>
          </cell>
          <cell r="G820" t="str">
            <v>Pasrujambe</v>
          </cell>
          <cell r="H820" t="str">
            <v>Lumajang</v>
          </cell>
          <cell r="I820" t="str">
            <v>'113.058875</v>
          </cell>
          <cell r="J820" t="str">
            <v>'-8.1214110</v>
          </cell>
          <cell r="K820" t="str">
            <v>-</v>
          </cell>
          <cell r="L820" t="str">
            <v>Bondoyudo Bedadung</v>
          </cell>
          <cell r="M820" t="str">
            <v>PHB</v>
          </cell>
          <cell r="N820" t="str">
            <v>-</v>
          </cell>
          <cell r="O820" t="str">
            <v>-</v>
          </cell>
          <cell r="P820" t="str">
            <v>-</v>
          </cell>
        </row>
        <row r="821">
          <cell r="B821">
            <v>350808036</v>
          </cell>
          <cell r="C821" t="str">
            <v>Pronojiwo</v>
          </cell>
          <cell r="D821" t="str">
            <v>-</v>
          </cell>
          <cell r="E821" t="str">
            <v>PSDA di Lumajang</v>
          </cell>
          <cell r="F821" t="str">
            <v>Tamanayu</v>
          </cell>
          <cell r="G821" t="str">
            <v>Pronojiwo</v>
          </cell>
          <cell r="H821" t="str">
            <v>Lumajang</v>
          </cell>
          <cell r="I821" t="str">
            <v>'112.952733</v>
          </cell>
          <cell r="J821" t="str">
            <v>'-8.240292</v>
          </cell>
          <cell r="K821" t="str">
            <v>-</v>
          </cell>
          <cell r="L821" t="str">
            <v>Bondoyudo Bedadung</v>
          </cell>
          <cell r="M821" t="str">
            <v>PHB</v>
          </cell>
          <cell r="N821" t="str">
            <v>-</v>
          </cell>
          <cell r="O821" t="str">
            <v>-</v>
          </cell>
          <cell r="P821" t="str">
            <v>-</v>
          </cell>
        </row>
        <row r="822">
          <cell r="B822">
            <v>350808037</v>
          </cell>
          <cell r="C822" t="str">
            <v>Randu Agung</v>
          </cell>
          <cell r="D822" t="str">
            <v>-</v>
          </cell>
          <cell r="E822" t="str">
            <v>PSDA di Lumajang</v>
          </cell>
          <cell r="F822" t="str">
            <v>Ledoktempuro</v>
          </cell>
          <cell r="G822" t="str">
            <v>Randuagung</v>
          </cell>
          <cell r="H822" t="str">
            <v>Lumajang</v>
          </cell>
          <cell r="I822" t="str">
            <v>'113.287014</v>
          </cell>
          <cell r="J822" t="str">
            <v>'-8.048325</v>
          </cell>
          <cell r="K822" t="str">
            <v>-</v>
          </cell>
          <cell r="L822" t="str">
            <v>Bondoyudo Bedadung</v>
          </cell>
          <cell r="M822" t="str">
            <v>PHB</v>
          </cell>
          <cell r="N822" t="str">
            <v>-</v>
          </cell>
          <cell r="O822" t="str">
            <v>-</v>
          </cell>
          <cell r="P822" t="str">
            <v>-</v>
          </cell>
        </row>
        <row r="823">
          <cell r="B823">
            <v>350808038</v>
          </cell>
          <cell r="C823" t="str">
            <v>Ranu Klakah</v>
          </cell>
          <cell r="D823" t="str">
            <v>-</v>
          </cell>
          <cell r="E823" t="str">
            <v>PSDA di Lumajang</v>
          </cell>
          <cell r="F823" t="str">
            <v>Tegalrandu</v>
          </cell>
          <cell r="G823" t="str">
            <v>Klakah</v>
          </cell>
          <cell r="H823" t="str">
            <v>Lumajang</v>
          </cell>
          <cell r="I823" t="str">
            <v>'113.268342</v>
          </cell>
          <cell r="J823" t="str">
            <v>'-7.986317</v>
          </cell>
          <cell r="K823" t="str">
            <v>-</v>
          </cell>
          <cell r="L823" t="str">
            <v>Bondoyudo Bedadung</v>
          </cell>
          <cell r="M823" t="str">
            <v>PHB</v>
          </cell>
          <cell r="N823" t="str">
            <v>-</v>
          </cell>
          <cell r="O823" t="str">
            <v>-</v>
          </cell>
          <cell r="P823" t="str">
            <v>-</v>
          </cell>
        </row>
        <row r="824">
          <cell r="B824">
            <v>350808039</v>
          </cell>
          <cell r="C824" t="str">
            <v>Ranu Pakis</v>
          </cell>
          <cell r="D824" t="str">
            <v>-</v>
          </cell>
          <cell r="E824" t="str">
            <v>PSDA di Lumajang</v>
          </cell>
          <cell r="F824" t="str">
            <v>Ranupakis</v>
          </cell>
          <cell r="G824" t="str">
            <v>Klakah</v>
          </cell>
          <cell r="H824" t="str">
            <v>Lumajang</v>
          </cell>
          <cell r="I824" t="str">
            <v>'113.267456</v>
          </cell>
          <cell r="J824" t="str">
            <v>'-8.001514</v>
          </cell>
          <cell r="K824" t="str">
            <v>-</v>
          </cell>
          <cell r="L824" t="str">
            <v>Bondoyudo Bedadung</v>
          </cell>
          <cell r="M824" t="str">
            <v>PHB</v>
          </cell>
          <cell r="N824" t="str">
            <v>-</v>
          </cell>
          <cell r="O824" t="str">
            <v>-</v>
          </cell>
          <cell r="P824" t="str">
            <v>-</v>
          </cell>
        </row>
        <row r="825">
          <cell r="B825">
            <v>350808040</v>
          </cell>
          <cell r="C825" t="str">
            <v>Ranuyoso</v>
          </cell>
          <cell r="D825" t="str">
            <v>-</v>
          </cell>
          <cell r="E825" t="str">
            <v>PSDA di Lumajang</v>
          </cell>
          <cell r="F825" t="str">
            <v>Ranubedali</v>
          </cell>
          <cell r="G825" t="str">
            <v>Ranuyoso</v>
          </cell>
          <cell r="H825" t="str">
            <v>Lumajang</v>
          </cell>
          <cell r="I825" t="str">
            <v>'113.269553</v>
          </cell>
          <cell r="J825" t="str">
            <v>'-7.954186</v>
          </cell>
          <cell r="K825" t="str">
            <v>-</v>
          </cell>
          <cell r="L825" t="str">
            <v>Bondoyudo Bedadung</v>
          </cell>
          <cell r="M825" t="str">
            <v>PHB</v>
          </cell>
          <cell r="N825" t="str">
            <v>-</v>
          </cell>
          <cell r="O825" t="str">
            <v>-</v>
          </cell>
          <cell r="P825" t="str">
            <v>-</v>
          </cell>
        </row>
        <row r="826">
          <cell r="B826">
            <v>350808041</v>
          </cell>
          <cell r="C826" t="str">
            <v>Rojopolo</v>
          </cell>
          <cell r="D826" t="str">
            <v>-</v>
          </cell>
          <cell r="E826" t="str">
            <v>PSDA di Lumajang</v>
          </cell>
          <cell r="F826" t="str">
            <v>Rojopolo</v>
          </cell>
          <cell r="G826" t="str">
            <v>Jatiroto</v>
          </cell>
          <cell r="H826" t="str">
            <v>Lumajang</v>
          </cell>
          <cell r="I826" t="str">
            <v>'113.327100</v>
          </cell>
          <cell r="J826" t="str">
            <v>'-8.128162</v>
          </cell>
          <cell r="K826" t="str">
            <v>-</v>
          </cell>
          <cell r="L826" t="str">
            <v>Bondoyudo Bedadung</v>
          </cell>
          <cell r="M826" t="str">
            <v>PHB</v>
          </cell>
          <cell r="N826" t="str">
            <v>-</v>
          </cell>
          <cell r="O826" t="str">
            <v>-</v>
          </cell>
          <cell r="P826" t="str">
            <v>-</v>
          </cell>
        </row>
        <row r="827">
          <cell r="B827">
            <v>350808042</v>
          </cell>
          <cell r="C827" t="str">
            <v>Sememu</v>
          </cell>
          <cell r="D827" t="str">
            <v>-</v>
          </cell>
          <cell r="E827" t="str">
            <v>PSDA di Lumajang</v>
          </cell>
          <cell r="F827" t="str">
            <v>Sememu</v>
          </cell>
          <cell r="G827" t="str">
            <v>Pasirian</v>
          </cell>
          <cell r="H827" t="str">
            <v>Lumajang</v>
          </cell>
          <cell r="I827" t="str">
            <v>'113.132585</v>
          </cell>
          <cell r="J827" t="str">
            <v>'-8.197622</v>
          </cell>
          <cell r="K827" t="str">
            <v>-</v>
          </cell>
          <cell r="L827" t="str">
            <v>Bondoyudo Bedadung</v>
          </cell>
          <cell r="M827" t="str">
            <v>PHB</v>
          </cell>
          <cell r="N827" t="str">
            <v>-</v>
          </cell>
          <cell r="O827" t="str">
            <v>-</v>
          </cell>
          <cell r="P827" t="str">
            <v>-</v>
          </cell>
        </row>
        <row r="828">
          <cell r="B828">
            <v>350808043</v>
          </cell>
          <cell r="C828" t="str">
            <v>Senduro</v>
          </cell>
          <cell r="D828" t="str">
            <v>-</v>
          </cell>
          <cell r="E828" t="str">
            <v>PSDA di Lumajang</v>
          </cell>
          <cell r="F828" t="str">
            <v>Senduro</v>
          </cell>
          <cell r="G828" t="str">
            <v>Senduro</v>
          </cell>
          <cell r="H828" t="str">
            <v>Lumajang</v>
          </cell>
          <cell r="I828" t="str">
            <v>'113.091561</v>
          </cell>
          <cell r="J828" t="str">
            <v>'-8.1022140</v>
          </cell>
          <cell r="K828" t="str">
            <v>-</v>
          </cell>
          <cell r="L828" t="str">
            <v>Bondoyudo Bedadung</v>
          </cell>
          <cell r="M828" t="str">
            <v>PHB</v>
          </cell>
          <cell r="N828" t="str">
            <v>-</v>
          </cell>
          <cell r="O828" t="str">
            <v>-</v>
          </cell>
          <cell r="P828" t="str">
            <v>-</v>
          </cell>
        </row>
        <row r="829">
          <cell r="B829">
            <v>350808044</v>
          </cell>
          <cell r="C829" t="str">
            <v>Sukodono (Skd)</v>
          </cell>
          <cell r="D829" t="str">
            <v>-</v>
          </cell>
          <cell r="E829" t="str">
            <v>PSDA di Lumajang</v>
          </cell>
          <cell r="F829" t="str">
            <v>Kutorenon</v>
          </cell>
          <cell r="G829" t="str">
            <v>Sukodono</v>
          </cell>
          <cell r="H829" t="str">
            <v>Lumajang</v>
          </cell>
          <cell r="I829" t="str">
            <v>'113.228558</v>
          </cell>
          <cell r="J829" t="str">
            <v>'-8.102989</v>
          </cell>
          <cell r="K829" t="str">
            <v>-</v>
          </cell>
          <cell r="L829" t="str">
            <v>Bondoyudo Bedadung</v>
          </cell>
          <cell r="M829" t="str">
            <v>PHB</v>
          </cell>
          <cell r="N829" t="str">
            <v>-</v>
          </cell>
          <cell r="O829" t="str">
            <v>-</v>
          </cell>
          <cell r="P829" t="str">
            <v>-</v>
          </cell>
        </row>
        <row r="830">
          <cell r="B830">
            <v>350808045</v>
          </cell>
          <cell r="C830" t="str">
            <v>Sumber Pandan</v>
          </cell>
          <cell r="D830" t="str">
            <v>-</v>
          </cell>
          <cell r="E830" t="str">
            <v>PSDA di Lumajang</v>
          </cell>
          <cell r="F830" t="str">
            <v>Sawaran Kulon</v>
          </cell>
          <cell r="G830" t="str">
            <v>Kedungjajang</v>
          </cell>
          <cell r="H830" t="str">
            <v>Lumajang</v>
          </cell>
          <cell r="I830" t="str">
            <v>'113.203456</v>
          </cell>
          <cell r="J830" t="str">
            <v>'-8.001085</v>
          </cell>
          <cell r="K830" t="str">
            <v>-</v>
          </cell>
          <cell r="L830" t="str">
            <v>Bondoyudo Bedadung</v>
          </cell>
          <cell r="M830" t="str">
            <v>PHB</v>
          </cell>
          <cell r="N830" t="str">
            <v>-</v>
          </cell>
          <cell r="O830" t="str">
            <v>-</v>
          </cell>
          <cell r="P830" t="str">
            <v>-</v>
          </cell>
        </row>
        <row r="831">
          <cell r="B831">
            <v>350808046</v>
          </cell>
          <cell r="C831" t="str">
            <v>Supit Urang</v>
          </cell>
          <cell r="D831" t="str">
            <v>-</v>
          </cell>
          <cell r="E831" t="str">
            <v>PSDA di Lumajang</v>
          </cell>
          <cell r="F831" t="str">
            <v>Supit Urang</v>
          </cell>
          <cell r="G831" t="str">
            <v>Pronojiwo</v>
          </cell>
          <cell r="H831" t="str">
            <v>Lumajang</v>
          </cell>
          <cell r="I831" t="str">
            <v>'112.997028</v>
          </cell>
          <cell r="J831" t="str">
            <v>'-8.180425</v>
          </cell>
          <cell r="K831" t="str">
            <v>-</v>
          </cell>
          <cell r="L831" t="str">
            <v>Bondoyudo Bedadung</v>
          </cell>
          <cell r="M831" t="str">
            <v>PHB</v>
          </cell>
          <cell r="N831" t="str">
            <v>-</v>
          </cell>
          <cell r="O831" t="str">
            <v>-</v>
          </cell>
          <cell r="P831" t="str">
            <v>-</v>
          </cell>
        </row>
        <row r="832">
          <cell r="B832">
            <v>350808047</v>
          </cell>
          <cell r="C832" t="str">
            <v>Tekung</v>
          </cell>
          <cell r="D832" t="str">
            <v>-</v>
          </cell>
          <cell r="E832" t="str">
            <v>PSDA di Lumajang</v>
          </cell>
          <cell r="F832" t="str">
            <v>Tekung</v>
          </cell>
          <cell r="G832" t="str">
            <v>Tekung</v>
          </cell>
          <cell r="H832" t="str">
            <v>Lumajang</v>
          </cell>
          <cell r="I832" t="str">
            <v>'113.286636</v>
          </cell>
          <cell r="J832" t="str">
            <v>'-8.1786470</v>
          </cell>
          <cell r="K832" t="str">
            <v>-</v>
          </cell>
          <cell r="L832" t="str">
            <v>Bondoyudo Bedadung</v>
          </cell>
          <cell r="M832" t="str">
            <v>PHB</v>
          </cell>
          <cell r="N832" t="str">
            <v>-</v>
          </cell>
          <cell r="O832" t="str">
            <v>-</v>
          </cell>
          <cell r="P832" t="str">
            <v>-</v>
          </cell>
        </row>
        <row r="833">
          <cell r="B833">
            <v>350808048</v>
          </cell>
          <cell r="C833" t="str">
            <v>Tempeh Kidul</v>
          </cell>
          <cell r="D833" t="str">
            <v>-</v>
          </cell>
          <cell r="E833" t="str">
            <v>PSDA di Lumajang</v>
          </cell>
          <cell r="F833" t="str">
            <v>Ledoktempuro</v>
          </cell>
          <cell r="G833" t="str">
            <v>Randuagung</v>
          </cell>
          <cell r="H833" t="str">
            <v>Lumajang</v>
          </cell>
          <cell r="I833" t="str">
            <v>'113.178350</v>
          </cell>
          <cell r="J833" t="str">
            <v>'-8.2231022</v>
          </cell>
          <cell r="K833" t="str">
            <v>-</v>
          </cell>
          <cell r="L833" t="str">
            <v>Bondoyudo Bedadung</v>
          </cell>
          <cell r="M833" t="str">
            <v>PHB</v>
          </cell>
          <cell r="N833" t="str">
            <v>-</v>
          </cell>
          <cell r="O833" t="str">
            <v>-</v>
          </cell>
          <cell r="P833" t="str">
            <v>-</v>
          </cell>
        </row>
        <row r="834">
          <cell r="B834">
            <v>350808049</v>
          </cell>
          <cell r="C834" t="str">
            <v>Tempeh Lor</v>
          </cell>
          <cell r="D834" t="str">
            <v>-</v>
          </cell>
          <cell r="E834" t="str">
            <v>PSDA di Lumajang</v>
          </cell>
          <cell r="F834" t="str">
            <v>Tempeh Lor</v>
          </cell>
          <cell r="G834" t="str">
            <v>Tempeh</v>
          </cell>
          <cell r="H834" t="str">
            <v>Lumajang</v>
          </cell>
          <cell r="I834" t="str">
            <v>'113.178067</v>
          </cell>
          <cell r="J834" t="str">
            <v>'-8.194206</v>
          </cell>
          <cell r="K834" t="str">
            <v>-</v>
          </cell>
          <cell r="L834" t="str">
            <v>Bondoyudo Bedadung</v>
          </cell>
          <cell r="M834" t="str">
            <v>PHB</v>
          </cell>
          <cell r="N834" t="str">
            <v>-</v>
          </cell>
          <cell r="O834" t="str">
            <v>-</v>
          </cell>
          <cell r="P834" t="str">
            <v>-</v>
          </cell>
        </row>
        <row r="835">
          <cell r="B835">
            <v>350808050</v>
          </cell>
          <cell r="C835" t="str">
            <v>Tempursari / Rawaan</v>
          </cell>
          <cell r="D835" t="str">
            <v>-</v>
          </cell>
          <cell r="E835" t="str">
            <v>PSDA di Lumajang</v>
          </cell>
          <cell r="F835" t="str">
            <v>Tempursari</v>
          </cell>
          <cell r="G835" t="str">
            <v>Tempursari</v>
          </cell>
          <cell r="H835" t="str">
            <v>Lumajang</v>
          </cell>
          <cell r="I835" t="str">
            <v>'112.976775</v>
          </cell>
          <cell r="J835" t="str">
            <v>'-8.286503</v>
          </cell>
          <cell r="K835" t="str">
            <v>-</v>
          </cell>
          <cell r="L835" t="str">
            <v>Bondoyudo Bedadung</v>
          </cell>
          <cell r="M835" t="str">
            <v>PHB</v>
          </cell>
          <cell r="N835" t="str">
            <v>-</v>
          </cell>
          <cell r="O835" t="str">
            <v>-</v>
          </cell>
          <cell r="P835" t="str">
            <v>-</v>
          </cell>
        </row>
        <row r="836">
          <cell r="B836">
            <v>350808051</v>
          </cell>
          <cell r="C836" t="str">
            <v>Umbul</v>
          </cell>
          <cell r="D836" t="str">
            <v>-</v>
          </cell>
          <cell r="E836" t="str">
            <v>PSDA di Lumajang</v>
          </cell>
          <cell r="F836" t="str">
            <v>Banyuputih Kidul</v>
          </cell>
          <cell r="G836" t="str">
            <v>Jatiroto</v>
          </cell>
          <cell r="H836" t="str">
            <v>Lumajang</v>
          </cell>
          <cell r="I836" t="str">
            <v>'113.26278300000</v>
          </cell>
          <cell r="J836" t="str">
            <v>'-8.09443100000</v>
          </cell>
          <cell r="K836" t="str">
            <v>-</v>
          </cell>
          <cell r="L836" t="str">
            <v>Bondoyudo Bedadung</v>
          </cell>
          <cell r="M836" t="str">
            <v>PHB</v>
          </cell>
          <cell r="N836" t="str">
            <v>-</v>
          </cell>
          <cell r="O836" t="str">
            <v>-</v>
          </cell>
          <cell r="P836" t="str">
            <v>-</v>
          </cell>
        </row>
        <row r="837">
          <cell r="B837">
            <v>350808052</v>
          </cell>
          <cell r="C837" t="str">
            <v>Wonokerto (Yosowil)</v>
          </cell>
          <cell r="D837" t="str">
            <v>-</v>
          </cell>
          <cell r="E837" t="str">
            <v>PSDA di Lumajang</v>
          </cell>
          <cell r="F837" t="str">
            <v>Wonokerto</v>
          </cell>
          <cell r="G837" t="str">
            <v>Tekung</v>
          </cell>
          <cell r="H837" t="str">
            <v>Lumajang</v>
          </cell>
          <cell r="I837" t="str">
            <v>'113.2589080</v>
          </cell>
          <cell r="J837" t="str">
            <v>'-8.1600830</v>
          </cell>
          <cell r="K837" t="str">
            <v>-</v>
          </cell>
          <cell r="L837" t="str">
            <v>Bondoyudo Bedadung</v>
          </cell>
          <cell r="M837" t="str">
            <v>PHB</v>
          </cell>
          <cell r="N837" t="str">
            <v>-</v>
          </cell>
          <cell r="O837" t="str">
            <v>-</v>
          </cell>
          <cell r="P837" t="str">
            <v>-</v>
          </cell>
        </row>
        <row r="838">
          <cell r="B838">
            <v>350808053</v>
          </cell>
          <cell r="C838" t="str">
            <v>Yosowilangun Lor / Cakru</v>
          </cell>
          <cell r="D838" t="str">
            <v>-</v>
          </cell>
          <cell r="E838" t="str">
            <v>PSDA di Lumajang</v>
          </cell>
          <cell r="F838" t="str">
            <v>Tunjungrejo</v>
          </cell>
          <cell r="G838" t="str">
            <v>Yosowilangun</v>
          </cell>
          <cell r="H838" t="str">
            <v>Lumajang</v>
          </cell>
          <cell r="I838" t="str">
            <v>'113.311119</v>
          </cell>
          <cell r="J838" t="str">
            <v>'-8.279003</v>
          </cell>
          <cell r="K838" t="str">
            <v>-</v>
          </cell>
          <cell r="L838" t="str">
            <v>Bondoyudo Bedadung</v>
          </cell>
          <cell r="M838" t="str">
            <v>PHB</v>
          </cell>
          <cell r="N838" t="str">
            <v>-</v>
          </cell>
          <cell r="O838" t="str">
            <v>-</v>
          </cell>
          <cell r="P838" t="str">
            <v>-</v>
          </cell>
        </row>
        <row r="839">
          <cell r="B839">
            <v>350809001</v>
          </cell>
          <cell r="C839" t="str">
            <v>Ajung</v>
          </cell>
          <cell r="D839" t="str">
            <v>-</v>
          </cell>
          <cell r="E839" t="str">
            <v>PSDA di Lumajang</v>
          </cell>
          <cell r="F839" t="str">
            <v>Ajung</v>
          </cell>
          <cell r="G839" t="str">
            <v>Kalisat</v>
          </cell>
          <cell r="H839" t="str">
            <v>Jember</v>
          </cell>
          <cell r="I839" t="str">
            <v>'113.82150</v>
          </cell>
          <cell r="J839" t="str">
            <v>'-8.132967</v>
          </cell>
          <cell r="K839" t="str">
            <v>-</v>
          </cell>
          <cell r="L839" t="str">
            <v>Bondoyudo Bedadung</v>
          </cell>
          <cell r="M839" t="str">
            <v>PHB</v>
          </cell>
          <cell r="N839" t="str">
            <v>-</v>
          </cell>
          <cell r="O839" t="str">
            <v>-</v>
          </cell>
          <cell r="P839" t="str">
            <v>-</v>
          </cell>
        </row>
        <row r="840">
          <cell r="B840">
            <v>350809002</v>
          </cell>
          <cell r="C840" t="str">
            <v>Ampel</v>
          </cell>
          <cell r="D840" t="str">
            <v>-</v>
          </cell>
          <cell r="E840" t="str">
            <v>PSDA di Lumajang</v>
          </cell>
          <cell r="F840" t="str">
            <v>Ampel</v>
          </cell>
          <cell r="G840" t="str">
            <v>Wuluhan</v>
          </cell>
          <cell r="H840" t="str">
            <v>Jember</v>
          </cell>
          <cell r="I840" t="str">
            <v>'113.5286830</v>
          </cell>
          <cell r="J840" t="str">
            <v>'-8.3532670</v>
          </cell>
          <cell r="K840" t="str">
            <v>-</v>
          </cell>
          <cell r="L840" t="str">
            <v>Bondoyudo Bedadung</v>
          </cell>
          <cell r="M840" t="str">
            <v>PHB</v>
          </cell>
          <cell r="N840" t="str">
            <v>-</v>
          </cell>
          <cell r="O840" t="str">
            <v>-</v>
          </cell>
          <cell r="P840" t="str">
            <v>-</v>
          </cell>
        </row>
        <row r="841">
          <cell r="B841">
            <v>350809003</v>
          </cell>
          <cell r="C841" t="str">
            <v>Bedodo</v>
          </cell>
          <cell r="D841" t="str">
            <v>-</v>
          </cell>
          <cell r="E841" t="str">
            <v>PSDA di Lumajang</v>
          </cell>
          <cell r="F841" t="str">
            <v>Mayangan</v>
          </cell>
          <cell r="G841" t="str">
            <v>Gumukmas</v>
          </cell>
          <cell r="H841" t="str">
            <v>Jember</v>
          </cell>
          <cell r="I841" t="str">
            <v>'113.382866</v>
          </cell>
          <cell r="J841" t="str">
            <v>'-8.338183</v>
          </cell>
          <cell r="K841" t="str">
            <v>-</v>
          </cell>
          <cell r="L841" t="str">
            <v>Bondoyudo Bedadung</v>
          </cell>
          <cell r="M841" t="str">
            <v>PHB</v>
          </cell>
          <cell r="N841" t="str">
            <v>-</v>
          </cell>
          <cell r="O841" t="str">
            <v>-</v>
          </cell>
          <cell r="P841" t="str">
            <v>-</v>
          </cell>
        </row>
        <row r="842">
          <cell r="B842">
            <v>350809004</v>
          </cell>
          <cell r="C842" t="str">
            <v>Bintoro</v>
          </cell>
          <cell r="D842" t="str">
            <v>-</v>
          </cell>
          <cell r="E842" t="str">
            <v>PSDA di Lumajang</v>
          </cell>
          <cell r="F842" t="str">
            <v>Bintoro</v>
          </cell>
          <cell r="G842" t="str">
            <v>Patrang</v>
          </cell>
          <cell r="H842" t="str">
            <v>Jember</v>
          </cell>
          <cell r="I842" t="str">
            <v>'113.70280</v>
          </cell>
          <cell r="J842" t="str">
            <v>'-8.125350</v>
          </cell>
          <cell r="K842" t="str">
            <v>-</v>
          </cell>
          <cell r="L842" t="str">
            <v>Bondoyudo Bedadung</v>
          </cell>
          <cell r="M842" t="str">
            <v>PHB</v>
          </cell>
          <cell r="N842" t="str">
            <v>-</v>
          </cell>
          <cell r="O842" t="str">
            <v>-</v>
          </cell>
          <cell r="P842" t="str">
            <v>-</v>
          </cell>
        </row>
        <row r="843">
          <cell r="B843">
            <v>350809005</v>
          </cell>
          <cell r="C843" t="str">
            <v>Bagorejo</v>
          </cell>
          <cell r="D843" t="str">
            <v>-</v>
          </cell>
          <cell r="E843" t="str">
            <v>PSDA di Lumajang</v>
          </cell>
          <cell r="F843" t="str">
            <v>Bagorejo</v>
          </cell>
          <cell r="G843" t="str">
            <v>Gumukmas</v>
          </cell>
          <cell r="H843" t="str">
            <v>Jember</v>
          </cell>
          <cell r="I843" t="str">
            <v>'113.445350</v>
          </cell>
          <cell r="J843" t="str">
            <v>'-8.303350</v>
          </cell>
          <cell r="K843" t="str">
            <v>-</v>
          </cell>
          <cell r="L843" t="str">
            <v>Bondoyudo Bedadung</v>
          </cell>
          <cell r="M843" t="str">
            <v>PHB</v>
          </cell>
          <cell r="N843" t="str">
            <v>-</v>
          </cell>
          <cell r="O843" t="str">
            <v>-</v>
          </cell>
          <cell r="P843" t="str">
            <v>-</v>
          </cell>
        </row>
        <row r="844">
          <cell r="B844">
            <v>350809006</v>
          </cell>
          <cell r="C844" t="str">
            <v>Balung</v>
          </cell>
          <cell r="D844" t="str">
            <v>-</v>
          </cell>
          <cell r="E844" t="str">
            <v>PSDA di Lumajang</v>
          </cell>
          <cell r="F844" t="str">
            <v>Balunglor</v>
          </cell>
          <cell r="G844" t="str">
            <v>Balung</v>
          </cell>
          <cell r="H844" t="str">
            <v>Jember</v>
          </cell>
          <cell r="I844" t="str">
            <v>'113.53158300000</v>
          </cell>
          <cell r="J844" t="str">
            <v>'-8.28071700000</v>
          </cell>
          <cell r="K844" t="str">
            <v>-</v>
          </cell>
          <cell r="L844" t="str">
            <v>Bondoyudo Bedadung</v>
          </cell>
          <cell r="M844" t="str">
            <v>PHB</v>
          </cell>
          <cell r="N844" t="str">
            <v>-</v>
          </cell>
          <cell r="O844" t="str">
            <v>-</v>
          </cell>
          <cell r="P844" t="str">
            <v>-</v>
          </cell>
        </row>
        <row r="845">
          <cell r="B845">
            <v>350809007</v>
          </cell>
          <cell r="C845" t="str">
            <v>Cumedak</v>
          </cell>
          <cell r="D845" t="str">
            <v>-</v>
          </cell>
          <cell r="E845" t="str">
            <v>PSDA di Lumajang</v>
          </cell>
          <cell r="F845" t="str">
            <v>Cumedak</v>
          </cell>
          <cell r="G845" t="str">
            <v>Sumberjambe</v>
          </cell>
          <cell r="H845" t="str">
            <v>Jember</v>
          </cell>
          <cell r="I845" t="str">
            <v>'113.8924330</v>
          </cell>
          <cell r="J845" t="str">
            <v>'-8.097650</v>
          </cell>
          <cell r="K845" t="str">
            <v>-</v>
          </cell>
          <cell r="L845" t="str">
            <v>Bondoyudo Bedadung</v>
          </cell>
          <cell r="M845" t="str">
            <v>PHB</v>
          </cell>
          <cell r="N845" t="str">
            <v>-</v>
          </cell>
          <cell r="O845" t="str">
            <v>-</v>
          </cell>
          <cell r="P845" t="str">
            <v>-</v>
          </cell>
        </row>
        <row r="846">
          <cell r="B846">
            <v>350809008</v>
          </cell>
          <cell r="C846" t="str">
            <v>Curahmalang</v>
          </cell>
          <cell r="D846" t="str">
            <v>-</v>
          </cell>
          <cell r="E846" t="str">
            <v>PSDA di Lumajang</v>
          </cell>
          <cell r="F846" t="str">
            <v>Curahmalang</v>
          </cell>
          <cell r="G846" t="str">
            <v>Rambipuji</v>
          </cell>
          <cell r="H846" t="str">
            <v>Jember</v>
          </cell>
          <cell r="I846" t="str">
            <v>'113.5674</v>
          </cell>
          <cell r="J846" t="str">
            <v>'-8.241550</v>
          </cell>
          <cell r="K846" t="str">
            <v>-</v>
          </cell>
          <cell r="L846" t="str">
            <v>Bondoyudo Bedadung</v>
          </cell>
          <cell r="M846" t="str">
            <v>PHB</v>
          </cell>
          <cell r="N846" t="str">
            <v>-</v>
          </cell>
          <cell r="O846" t="str">
            <v>-</v>
          </cell>
          <cell r="P846" t="str">
            <v>-</v>
          </cell>
        </row>
        <row r="847">
          <cell r="B847">
            <v>350809009</v>
          </cell>
          <cell r="C847" t="str">
            <v>Dam  Arjasa</v>
          </cell>
          <cell r="D847" t="str">
            <v>-</v>
          </cell>
          <cell r="E847" t="str">
            <v>PSDA di Lumajang</v>
          </cell>
          <cell r="F847" t="str">
            <v>Arjasa</v>
          </cell>
          <cell r="G847" t="str">
            <v>Arjasa</v>
          </cell>
          <cell r="H847" t="str">
            <v>Jember</v>
          </cell>
          <cell r="I847" t="str">
            <v>'113.747517</v>
          </cell>
          <cell r="J847" t="str">
            <v>'-8.121767</v>
          </cell>
          <cell r="K847" t="str">
            <v>-</v>
          </cell>
          <cell r="L847" t="str">
            <v>Bondoyudo Bedadung</v>
          </cell>
          <cell r="M847" t="str">
            <v>PHB</v>
          </cell>
          <cell r="N847" t="str">
            <v>-</v>
          </cell>
          <cell r="O847" t="str">
            <v>-</v>
          </cell>
          <cell r="P847" t="str">
            <v>-</v>
          </cell>
        </row>
        <row r="848">
          <cell r="B848">
            <v>350809010</v>
          </cell>
          <cell r="C848" t="str">
            <v>Dam  Karanganom</v>
          </cell>
          <cell r="D848" t="str">
            <v>-</v>
          </cell>
          <cell r="E848" t="str">
            <v>PSDA di Lumajang</v>
          </cell>
          <cell r="F848" t="str">
            <v>Serut</v>
          </cell>
          <cell r="G848" t="str">
            <v>Panti</v>
          </cell>
          <cell r="H848" t="str">
            <v>Jember</v>
          </cell>
          <cell r="I848" t="str">
            <v>'113.632267</v>
          </cell>
          <cell r="J848" t="str">
            <v>'-8.140567</v>
          </cell>
          <cell r="K848" t="str">
            <v>-</v>
          </cell>
          <cell r="L848" t="str">
            <v>Bondoyudo Bedadung</v>
          </cell>
          <cell r="M848" t="str">
            <v>PHB</v>
          </cell>
          <cell r="N848" t="str">
            <v>-</v>
          </cell>
          <cell r="O848" t="str">
            <v>-</v>
          </cell>
          <cell r="P848" t="str">
            <v>-</v>
          </cell>
        </row>
        <row r="849">
          <cell r="B849">
            <v>350809011</v>
          </cell>
          <cell r="C849" t="str">
            <v>Dam  Klatakan</v>
          </cell>
          <cell r="D849" t="str">
            <v>-</v>
          </cell>
          <cell r="E849" t="str">
            <v>PSDA di Lumajang</v>
          </cell>
          <cell r="F849" t="str">
            <v>Pakis</v>
          </cell>
          <cell r="G849" t="str">
            <v>Panti</v>
          </cell>
          <cell r="H849" t="str">
            <v>Jember</v>
          </cell>
          <cell r="I849" t="str">
            <v>'113.59385</v>
          </cell>
          <cell r="J849" t="str">
            <v>'-8.121717</v>
          </cell>
          <cell r="K849" t="str">
            <v>-</v>
          </cell>
          <cell r="L849" t="str">
            <v>Bondoyudo Bedadung</v>
          </cell>
          <cell r="M849" t="str">
            <v>PHB</v>
          </cell>
          <cell r="N849" t="str">
            <v>-</v>
          </cell>
          <cell r="O849" t="str">
            <v>-</v>
          </cell>
          <cell r="P849" t="str">
            <v>-</v>
          </cell>
        </row>
        <row r="850">
          <cell r="B850">
            <v>350809012</v>
          </cell>
          <cell r="C850" t="str">
            <v>Dam  Makam</v>
          </cell>
          <cell r="D850" t="str">
            <v>-</v>
          </cell>
          <cell r="E850" t="str">
            <v>PSDA di Lumajang</v>
          </cell>
          <cell r="F850" t="str">
            <v>Rambigundam</v>
          </cell>
          <cell r="G850" t="str">
            <v>Rambipuji</v>
          </cell>
          <cell r="H850" t="str">
            <v>Jember</v>
          </cell>
          <cell r="I850" t="str">
            <v>'113.619050</v>
          </cell>
          <cell r="J850" t="str">
            <v>'-8.1943170</v>
          </cell>
          <cell r="K850" t="str">
            <v>-</v>
          </cell>
          <cell r="L850" t="str">
            <v>Bondoyudo Bedadung</v>
          </cell>
          <cell r="M850" t="str">
            <v>PHB</v>
          </cell>
          <cell r="N850" t="str">
            <v>-</v>
          </cell>
          <cell r="O850" t="str">
            <v>-</v>
          </cell>
          <cell r="P850" t="str">
            <v>-</v>
          </cell>
        </row>
        <row r="851">
          <cell r="B851">
            <v>350809013</v>
          </cell>
          <cell r="C851" t="str">
            <v>Dam Manggis</v>
          </cell>
          <cell r="D851" t="str">
            <v>-</v>
          </cell>
          <cell r="E851" t="str">
            <v>PSDA di Lumajang</v>
          </cell>
          <cell r="F851" t="str">
            <v>Sukorambi</v>
          </cell>
          <cell r="G851" t="str">
            <v>Sukorambi</v>
          </cell>
          <cell r="H851" t="str">
            <v>Jember</v>
          </cell>
          <cell r="I851" t="str">
            <v>'113.650624</v>
          </cell>
          <cell r="J851" t="str">
            <v>'-8.1299593</v>
          </cell>
          <cell r="K851" t="str">
            <v>-</v>
          </cell>
          <cell r="L851" t="str">
            <v>Bondoyudo Bedadung</v>
          </cell>
          <cell r="M851" t="str">
            <v>PHB</v>
          </cell>
          <cell r="N851" t="str">
            <v>-</v>
          </cell>
          <cell r="O851" t="str">
            <v>-</v>
          </cell>
          <cell r="P851" t="str">
            <v>-</v>
          </cell>
        </row>
        <row r="852">
          <cell r="B852">
            <v>350809014</v>
          </cell>
          <cell r="C852" t="str">
            <v>Dam Pono</v>
          </cell>
          <cell r="D852" t="str">
            <v>-</v>
          </cell>
          <cell r="E852" t="str">
            <v>PSDA di Lumajang</v>
          </cell>
          <cell r="F852" t="str">
            <v>Serut</v>
          </cell>
          <cell r="G852" t="str">
            <v>Panti</v>
          </cell>
          <cell r="H852" t="str">
            <v>Jember</v>
          </cell>
          <cell r="I852" t="str">
            <v>'113.6392830</v>
          </cell>
          <cell r="J852" t="str">
            <v>'-8.1519830</v>
          </cell>
          <cell r="K852" t="str">
            <v>-</v>
          </cell>
          <cell r="L852" t="str">
            <v>Bondoyudo Bedadung</v>
          </cell>
          <cell r="M852" t="str">
            <v>PHB</v>
          </cell>
          <cell r="N852" t="str">
            <v>-</v>
          </cell>
          <cell r="O852" t="str">
            <v>-</v>
          </cell>
          <cell r="P852" t="str">
            <v>-</v>
          </cell>
        </row>
        <row r="853">
          <cell r="B853">
            <v>350809015</v>
          </cell>
          <cell r="C853" t="str">
            <v>Dam  Pecoro</v>
          </cell>
          <cell r="D853" t="str">
            <v>-</v>
          </cell>
          <cell r="E853" t="str">
            <v>PSDA di Lumajang</v>
          </cell>
          <cell r="F853" t="str">
            <v>Pecoro</v>
          </cell>
          <cell r="G853" t="str">
            <v>Rambipuji</v>
          </cell>
          <cell r="H853" t="str">
            <v>Jember</v>
          </cell>
          <cell r="I853" t="str">
            <v>'113.58595</v>
          </cell>
          <cell r="J853" t="str">
            <v>'-8.214550</v>
          </cell>
          <cell r="K853" t="str">
            <v>-</v>
          </cell>
          <cell r="L853" t="str">
            <v>Bondoyudo Bedadung</v>
          </cell>
          <cell r="M853" t="str">
            <v>PHB</v>
          </cell>
          <cell r="N853" t="str">
            <v>-</v>
          </cell>
          <cell r="O853" t="str">
            <v>-</v>
          </cell>
          <cell r="P853" t="str">
            <v>-</v>
          </cell>
        </row>
        <row r="854">
          <cell r="B854">
            <v>350809016</v>
          </cell>
          <cell r="C854" t="str">
            <v>Dam  Semangir</v>
          </cell>
          <cell r="D854" t="str">
            <v>-</v>
          </cell>
          <cell r="E854" t="str">
            <v>PSDA di Lumajang</v>
          </cell>
          <cell r="F854" t="str">
            <v>Mangli</v>
          </cell>
          <cell r="G854" t="str">
            <v>Kaliwates</v>
          </cell>
          <cell r="H854" t="str">
            <v>Jember</v>
          </cell>
          <cell r="I854" t="str">
            <v>'113.652950</v>
          </cell>
          <cell r="J854" t="str">
            <v>'-8.1811670</v>
          </cell>
          <cell r="K854" t="str">
            <v>-</v>
          </cell>
          <cell r="L854" t="str">
            <v>Bondoyudo Bedadung</v>
          </cell>
          <cell r="M854" t="str">
            <v>PHB</v>
          </cell>
          <cell r="N854" t="str">
            <v>-</v>
          </cell>
          <cell r="O854" t="str">
            <v>-</v>
          </cell>
          <cell r="P854" t="str">
            <v>-</v>
          </cell>
        </row>
        <row r="855">
          <cell r="B855">
            <v>350809017</v>
          </cell>
          <cell r="C855" t="str">
            <v>Dam  Sembah</v>
          </cell>
          <cell r="D855" t="str">
            <v>-</v>
          </cell>
          <cell r="E855" t="str">
            <v>PSDA di Lumajang</v>
          </cell>
          <cell r="F855" t="str">
            <v>Gebang</v>
          </cell>
          <cell r="G855" t="str">
            <v>Patrang</v>
          </cell>
          <cell r="H855" t="str">
            <v>Jember</v>
          </cell>
          <cell r="I855" t="str">
            <v>'113.69210</v>
          </cell>
          <cell r="J855" t="str">
            <v>'-8.156550</v>
          </cell>
          <cell r="K855" t="str">
            <v>-</v>
          </cell>
          <cell r="L855" t="str">
            <v>Bondoyudo Bedadung</v>
          </cell>
          <cell r="M855" t="str">
            <v>PHB</v>
          </cell>
          <cell r="N855" t="str">
            <v>-</v>
          </cell>
          <cell r="O855" t="str">
            <v>-</v>
          </cell>
          <cell r="P855" t="str">
            <v>-</v>
          </cell>
        </row>
        <row r="856">
          <cell r="B856">
            <v>350809018</v>
          </cell>
          <cell r="C856" t="str">
            <v>Dam Talang</v>
          </cell>
          <cell r="D856" t="str">
            <v>-</v>
          </cell>
          <cell r="E856" t="str">
            <v>PSDA di Lumajang</v>
          </cell>
          <cell r="F856" t="str">
            <v>Jenggawah</v>
          </cell>
          <cell r="G856" t="str">
            <v>Jenggawah</v>
          </cell>
          <cell r="H856" t="str">
            <v>Jember</v>
          </cell>
          <cell r="I856" t="str">
            <v>'113.6940</v>
          </cell>
          <cell r="J856" t="str">
            <v>'-8.2630330</v>
          </cell>
          <cell r="K856" t="str">
            <v>-</v>
          </cell>
          <cell r="L856" t="str">
            <v>Bondoyudo Bedadung</v>
          </cell>
          <cell r="M856" t="str">
            <v>PHB</v>
          </cell>
          <cell r="N856" t="str">
            <v>-</v>
          </cell>
          <cell r="O856" t="str">
            <v>-</v>
          </cell>
          <cell r="P856" t="str">
            <v>-</v>
          </cell>
        </row>
        <row r="857">
          <cell r="B857">
            <v>350809019</v>
          </cell>
          <cell r="C857" t="str">
            <v>Dam  Tegal  Batu</v>
          </cell>
          <cell r="D857" t="str">
            <v>-</v>
          </cell>
          <cell r="E857" t="str">
            <v>PSDA di Lumajang</v>
          </cell>
          <cell r="F857" t="str">
            <v>Panduman</v>
          </cell>
          <cell r="G857" t="str">
            <v>Jelbuk</v>
          </cell>
          <cell r="H857" t="str">
            <v>Jember</v>
          </cell>
          <cell r="I857" t="str">
            <v>'113.749683</v>
          </cell>
          <cell r="J857" t="str">
            <v>'-8.07536700</v>
          </cell>
          <cell r="K857" t="str">
            <v>-</v>
          </cell>
          <cell r="L857" t="str">
            <v>Bondoyudo Bedadung</v>
          </cell>
          <cell r="M857" t="str">
            <v>PHB</v>
          </cell>
          <cell r="N857" t="str">
            <v>-</v>
          </cell>
          <cell r="O857" t="str">
            <v>-</v>
          </cell>
          <cell r="P857" t="str">
            <v>-</v>
          </cell>
        </row>
        <row r="858">
          <cell r="B858">
            <v>350809020</v>
          </cell>
          <cell r="C858" t="str">
            <v>Dam Tugusari</v>
          </cell>
          <cell r="D858" t="str">
            <v>-</v>
          </cell>
          <cell r="E858" t="str">
            <v>PSDA di Lumajang</v>
          </cell>
          <cell r="F858" t="str">
            <v>Tugusari</v>
          </cell>
          <cell r="G858" t="str">
            <v>Bangsalsari</v>
          </cell>
          <cell r="H858" t="str">
            <v>Jember</v>
          </cell>
          <cell r="I858" t="str">
            <v>'113.54490</v>
          </cell>
          <cell r="J858" t="str">
            <v>'-8.1678670</v>
          </cell>
          <cell r="K858" t="str">
            <v>-</v>
          </cell>
          <cell r="L858" t="str">
            <v>Bondoyudo Bedadung</v>
          </cell>
          <cell r="M858" t="str">
            <v>PHB</v>
          </cell>
          <cell r="N858" t="str">
            <v>-</v>
          </cell>
          <cell r="O858" t="str">
            <v>-</v>
          </cell>
          <cell r="P858" t="str">
            <v>-</v>
          </cell>
        </row>
        <row r="859">
          <cell r="B859">
            <v>350809021</v>
          </cell>
          <cell r="C859" t="str">
            <v>Dam Kijingan</v>
          </cell>
          <cell r="D859" t="str">
            <v>-</v>
          </cell>
          <cell r="E859" t="str">
            <v>PSDA di Lumajang</v>
          </cell>
          <cell r="F859" t="str">
            <v>Tisnogambar</v>
          </cell>
          <cell r="G859" t="str">
            <v>Bangsalsari</v>
          </cell>
          <cell r="H859" t="str">
            <v>Jember</v>
          </cell>
          <cell r="I859" t="str">
            <v>'113.567750</v>
          </cell>
          <cell r="J859" t="str">
            <v>'-8.195333</v>
          </cell>
          <cell r="K859" t="str">
            <v>-</v>
          </cell>
          <cell r="L859" t="str">
            <v>Bondoyudo Bedadung</v>
          </cell>
          <cell r="M859" t="str">
            <v>PHB</v>
          </cell>
          <cell r="N859" t="str">
            <v>-</v>
          </cell>
          <cell r="O859" t="str">
            <v>-</v>
          </cell>
          <cell r="P859" t="str">
            <v>-</v>
          </cell>
        </row>
        <row r="860">
          <cell r="B860">
            <v>350809022</v>
          </cell>
          <cell r="C860" t="str">
            <v>Dam Langkap</v>
          </cell>
          <cell r="D860" t="str">
            <v>-</v>
          </cell>
          <cell r="E860" t="str">
            <v>PSDA di Lumajang</v>
          </cell>
          <cell r="F860" t="str">
            <v>Langkap</v>
          </cell>
          <cell r="G860" t="str">
            <v>Bangsalsari</v>
          </cell>
          <cell r="H860" t="str">
            <v>Jember</v>
          </cell>
          <cell r="I860" t="str">
            <v>'113.543150</v>
          </cell>
          <cell r="J860" t="str">
            <v>'-8.201300</v>
          </cell>
          <cell r="K860" t="str">
            <v>-</v>
          </cell>
          <cell r="L860" t="str">
            <v>Bondoyudo Bedadung</v>
          </cell>
          <cell r="M860" t="str">
            <v>PHB</v>
          </cell>
          <cell r="N860" t="str">
            <v>-</v>
          </cell>
          <cell r="O860" t="str">
            <v>-</v>
          </cell>
          <cell r="P860" t="str">
            <v>-</v>
          </cell>
        </row>
        <row r="861">
          <cell r="B861">
            <v>350809023</v>
          </cell>
          <cell r="C861" t="str">
            <v>Darungan</v>
          </cell>
          <cell r="D861" t="str">
            <v>-</v>
          </cell>
          <cell r="E861" t="str">
            <v>PSDA di Lumajang</v>
          </cell>
          <cell r="F861" t="str">
            <v>Darungan</v>
          </cell>
          <cell r="G861" t="str">
            <v>Tanggul</v>
          </cell>
          <cell r="H861" t="str">
            <v>Jember</v>
          </cell>
          <cell r="I861" t="str">
            <v>'113.4763888</v>
          </cell>
          <cell r="J861" t="str">
            <v>'-8.1483333</v>
          </cell>
          <cell r="K861" t="str">
            <v>-</v>
          </cell>
          <cell r="L861" t="str">
            <v>Bondoyudo Bedadung</v>
          </cell>
          <cell r="M861" t="str">
            <v>PHB</v>
          </cell>
          <cell r="N861" t="str">
            <v>-</v>
          </cell>
          <cell r="O861" t="str">
            <v>-</v>
          </cell>
          <cell r="P861" t="str">
            <v>-</v>
          </cell>
        </row>
        <row r="862">
          <cell r="B862">
            <v>350809024</v>
          </cell>
          <cell r="C862" t="str">
            <v>Grenden</v>
          </cell>
          <cell r="D862" t="str">
            <v>-</v>
          </cell>
          <cell r="E862" t="str">
            <v>PSDA di Lumajang</v>
          </cell>
          <cell r="F862" t="str">
            <v>Grenden</v>
          </cell>
          <cell r="G862" t="str">
            <v>Puger</v>
          </cell>
          <cell r="H862" t="str">
            <v>Jember</v>
          </cell>
          <cell r="I862" t="str">
            <v>'113.4709830</v>
          </cell>
          <cell r="J862" t="str">
            <v>'-8.3450830</v>
          </cell>
          <cell r="K862" t="str">
            <v>-</v>
          </cell>
          <cell r="L862" t="str">
            <v>Bondoyudo Bedadung</v>
          </cell>
          <cell r="M862" t="str">
            <v>PHB</v>
          </cell>
          <cell r="N862" t="str">
            <v>-</v>
          </cell>
          <cell r="O862" t="str">
            <v>-</v>
          </cell>
          <cell r="P862" t="str">
            <v>-</v>
          </cell>
        </row>
        <row r="863">
          <cell r="B863">
            <v>350809025</v>
          </cell>
          <cell r="C863" t="str">
            <v>Glundengan</v>
          </cell>
          <cell r="D863" t="str">
            <v>-</v>
          </cell>
          <cell r="E863" t="str">
            <v>PSDA di Lumajang</v>
          </cell>
          <cell r="F863" t="str">
            <v>Glundengan</v>
          </cell>
          <cell r="G863" t="str">
            <v>Wuluhan</v>
          </cell>
          <cell r="H863" t="str">
            <v>Jember</v>
          </cell>
          <cell r="I863" t="str">
            <v>'113.561083</v>
          </cell>
          <cell r="J863" t="str">
            <v>'-8.299083</v>
          </cell>
          <cell r="K863" t="str">
            <v>-</v>
          </cell>
          <cell r="L863" t="str">
            <v>Bondoyudo Bedadung</v>
          </cell>
          <cell r="M863" t="str">
            <v>PHB</v>
          </cell>
          <cell r="N863" t="str">
            <v>-</v>
          </cell>
          <cell r="O863" t="str">
            <v>-</v>
          </cell>
          <cell r="P863" t="str">
            <v>-</v>
          </cell>
        </row>
        <row r="864">
          <cell r="B864">
            <v>350809026</v>
          </cell>
          <cell r="C864" t="str">
            <v>Gumelar  Timur</v>
          </cell>
          <cell r="D864" t="str">
            <v>-</v>
          </cell>
          <cell r="E864" t="str">
            <v>PSDA di Lumajang</v>
          </cell>
          <cell r="F864" t="str">
            <v>Gumelar</v>
          </cell>
          <cell r="G864" t="str">
            <v>Balung</v>
          </cell>
          <cell r="H864" t="str">
            <v>Jember</v>
          </cell>
          <cell r="I864" t="str">
            <v>'113.5651330</v>
          </cell>
          <cell r="J864" t="str">
            <v>'-8.248750</v>
          </cell>
          <cell r="K864" t="str">
            <v>-</v>
          </cell>
          <cell r="L864" t="str">
            <v>Bondoyudo Bedadung</v>
          </cell>
          <cell r="M864" t="str">
            <v>PHB</v>
          </cell>
          <cell r="N864" t="str">
            <v>-</v>
          </cell>
          <cell r="O864" t="str">
            <v>-</v>
          </cell>
          <cell r="P864" t="str">
            <v>-</v>
          </cell>
        </row>
        <row r="865">
          <cell r="B865">
            <v>350809027</v>
          </cell>
          <cell r="C865" t="str">
            <v>Gumukmas ( BT )</v>
          </cell>
          <cell r="D865" t="str">
            <v>-</v>
          </cell>
          <cell r="E865" t="str">
            <v>PSDA di Lumajang</v>
          </cell>
          <cell r="F865" t="str">
            <v>Gumukmas</v>
          </cell>
          <cell r="G865" t="str">
            <v>Gumukmas</v>
          </cell>
          <cell r="H865" t="str">
            <v>Jember</v>
          </cell>
          <cell r="I865" t="str">
            <v>'113.40490</v>
          </cell>
          <cell r="J865" t="str">
            <v>'-8.2834830</v>
          </cell>
          <cell r="K865" t="str">
            <v>-</v>
          </cell>
          <cell r="L865" t="str">
            <v>Bondoyudo Bedadung</v>
          </cell>
          <cell r="M865" t="str">
            <v>PHB</v>
          </cell>
          <cell r="N865" t="str">
            <v>-</v>
          </cell>
          <cell r="O865" t="str">
            <v>-</v>
          </cell>
          <cell r="P865" t="str">
            <v>-</v>
          </cell>
        </row>
        <row r="866">
          <cell r="B866">
            <v>350809028</v>
          </cell>
          <cell r="C866" t="str">
            <v>Gumukmas ( KT )</v>
          </cell>
          <cell r="D866" t="str">
            <v>-</v>
          </cell>
          <cell r="E866" t="str">
            <v>PSDA di Lumajang</v>
          </cell>
          <cell r="F866" t="str">
            <v>Gumukmas</v>
          </cell>
          <cell r="G866" t="str">
            <v>Gumukmas</v>
          </cell>
          <cell r="H866" t="str">
            <v>Jember</v>
          </cell>
          <cell r="I866" t="str">
            <v>'113.398133</v>
          </cell>
          <cell r="J866" t="str">
            <v>'-8.30205</v>
          </cell>
          <cell r="K866" t="str">
            <v>-</v>
          </cell>
          <cell r="L866" t="str">
            <v>Bondoyudo Bedadung</v>
          </cell>
          <cell r="M866" t="str">
            <v>PHB</v>
          </cell>
          <cell r="N866" t="str">
            <v>-</v>
          </cell>
          <cell r="O866" t="str">
            <v>-</v>
          </cell>
          <cell r="P866" t="str">
            <v>-</v>
          </cell>
        </row>
        <row r="867">
          <cell r="B867">
            <v>350809029</v>
          </cell>
          <cell r="C867" t="str">
            <v>Jatian</v>
          </cell>
          <cell r="D867" t="str">
            <v>-</v>
          </cell>
          <cell r="E867" t="str">
            <v>PSDA di Lumajang</v>
          </cell>
          <cell r="F867" t="str">
            <v>Jatian</v>
          </cell>
          <cell r="G867" t="str">
            <v>Pakusari</v>
          </cell>
          <cell r="H867" t="str">
            <v>Jember</v>
          </cell>
          <cell r="I867" t="str">
            <v>'113.796233</v>
          </cell>
          <cell r="J867" t="str">
            <v>'-8.1498170</v>
          </cell>
          <cell r="K867" t="str">
            <v>-</v>
          </cell>
          <cell r="L867" t="str">
            <v>Bondoyudo Bedadung</v>
          </cell>
          <cell r="M867" t="str">
            <v>PHB</v>
          </cell>
          <cell r="N867" t="str">
            <v>-</v>
          </cell>
          <cell r="O867" t="str">
            <v>-</v>
          </cell>
          <cell r="P867" t="str">
            <v>-</v>
          </cell>
        </row>
        <row r="868">
          <cell r="B868">
            <v>350809030</v>
          </cell>
          <cell r="C868" t="str">
            <v>Jatisari</v>
          </cell>
          <cell r="D868" t="str">
            <v>-</v>
          </cell>
          <cell r="E868" t="str">
            <v>PSDA di Lumajang</v>
          </cell>
          <cell r="F868" t="str">
            <v>Cangkring</v>
          </cell>
          <cell r="G868" t="str">
            <v>Jenggawah</v>
          </cell>
          <cell r="H868" t="str">
            <v>Jember</v>
          </cell>
          <cell r="I868" t="str">
            <v>'113.674099</v>
          </cell>
          <cell r="J868" t="str">
            <v>'-8.299449</v>
          </cell>
          <cell r="K868" t="str">
            <v>-</v>
          </cell>
          <cell r="L868" t="str">
            <v>Bondoyudo Bedadung</v>
          </cell>
          <cell r="M868" t="str">
            <v>PHB</v>
          </cell>
          <cell r="N868" t="str">
            <v>-</v>
          </cell>
          <cell r="O868" t="str">
            <v>-</v>
          </cell>
          <cell r="P868" t="str">
            <v>-</v>
          </cell>
        </row>
        <row r="869">
          <cell r="B869">
            <v>350809031</v>
          </cell>
          <cell r="C869" t="str">
            <v>Jember</v>
          </cell>
          <cell r="D869" t="str">
            <v>-</v>
          </cell>
          <cell r="E869" t="str">
            <v>PSDA di Lumajang</v>
          </cell>
          <cell r="F869" t="str">
            <v>Kebonsari</v>
          </cell>
          <cell r="G869" t="str">
            <v>Sumbersari</v>
          </cell>
          <cell r="H869" t="str">
            <v>Jember</v>
          </cell>
          <cell r="I869" t="str">
            <v>'113.707633</v>
          </cell>
          <cell r="J869" t="str">
            <v>'-8.195233</v>
          </cell>
          <cell r="K869" t="str">
            <v>-</v>
          </cell>
          <cell r="L869" t="str">
            <v>Bondoyudo Bedadung</v>
          </cell>
          <cell r="M869" t="str">
            <v>PHB</v>
          </cell>
          <cell r="N869" t="str">
            <v>-</v>
          </cell>
          <cell r="O869" t="str">
            <v>-</v>
          </cell>
          <cell r="P869" t="str">
            <v>-</v>
          </cell>
        </row>
        <row r="870">
          <cell r="B870">
            <v>350809032</v>
          </cell>
          <cell r="C870" t="str">
            <v>Jambearum</v>
          </cell>
          <cell r="D870" t="str">
            <v>-</v>
          </cell>
          <cell r="E870" t="str">
            <v>PSDA di Lumajang</v>
          </cell>
          <cell r="F870" t="str">
            <v>Jambearum</v>
          </cell>
          <cell r="G870" t="str">
            <v>Puger</v>
          </cell>
          <cell r="H870" t="str">
            <v>Jember</v>
          </cell>
          <cell r="I870" t="str">
            <v>'113.5111330</v>
          </cell>
          <cell r="J870" t="str">
            <v>'-8.2944670</v>
          </cell>
          <cell r="K870" t="str">
            <v>-</v>
          </cell>
          <cell r="L870" t="str">
            <v>Bondoyudo Bedadung</v>
          </cell>
          <cell r="M870" t="str">
            <v>PHB</v>
          </cell>
          <cell r="N870" t="str">
            <v>-</v>
          </cell>
          <cell r="O870" t="str">
            <v>-</v>
          </cell>
          <cell r="P870" t="str">
            <v>-</v>
          </cell>
        </row>
        <row r="871">
          <cell r="B871">
            <v>350809033</v>
          </cell>
          <cell r="C871" t="str">
            <v>Jenggawah</v>
          </cell>
          <cell r="D871" t="str">
            <v>-</v>
          </cell>
          <cell r="E871" t="str">
            <v>PSDA di Lumajang</v>
          </cell>
          <cell r="F871" t="str">
            <v>Jenggawah</v>
          </cell>
          <cell r="G871" t="str">
            <v>Jenggawah</v>
          </cell>
          <cell r="H871" t="str">
            <v>Jember</v>
          </cell>
          <cell r="I871" t="str">
            <v>'113.650633</v>
          </cell>
          <cell r="J871" t="str">
            <v>'-8.254100</v>
          </cell>
          <cell r="K871" t="str">
            <v>-</v>
          </cell>
          <cell r="L871" t="str">
            <v>Bondoyudo Bedadung</v>
          </cell>
          <cell r="M871" t="str">
            <v>PHB</v>
          </cell>
          <cell r="N871" t="str">
            <v>-</v>
          </cell>
          <cell r="O871" t="str">
            <v>-</v>
          </cell>
          <cell r="P871" t="str">
            <v>-</v>
          </cell>
        </row>
        <row r="872">
          <cell r="B872">
            <v>350809034</v>
          </cell>
          <cell r="C872" t="str">
            <v>Kesilir</v>
          </cell>
          <cell r="D872" t="str">
            <v>-</v>
          </cell>
          <cell r="E872" t="str">
            <v>PSDA di Lumajang</v>
          </cell>
          <cell r="F872" t="str">
            <v>Kesilir</v>
          </cell>
          <cell r="G872" t="str">
            <v>Wuluhan</v>
          </cell>
          <cell r="H872" t="str">
            <v>Jember</v>
          </cell>
          <cell r="I872" t="str">
            <v>'113.5878</v>
          </cell>
          <cell r="J872" t="str">
            <v>'-8.354199</v>
          </cell>
          <cell r="K872" t="str">
            <v>-</v>
          </cell>
          <cell r="L872" t="str">
            <v>Bondoyudo Bedadung</v>
          </cell>
          <cell r="M872" t="str">
            <v>PHB</v>
          </cell>
          <cell r="N872" t="str">
            <v>-</v>
          </cell>
          <cell r="O872" t="str">
            <v>-</v>
          </cell>
          <cell r="P872" t="str">
            <v>-</v>
          </cell>
        </row>
        <row r="873">
          <cell r="B873">
            <v>350809035</v>
          </cell>
          <cell r="C873" t="str">
            <v>Kopang</v>
          </cell>
          <cell r="D873" t="str">
            <v>-</v>
          </cell>
          <cell r="E873" t="str">
            <v>PSDA di Lumajang</v>
          </cell>
          <cell r="F873" t="str">
            <v>Darsono</v>
          </cell>
          <cell r="G873" t="str">
            <v>Arjasa</v>
          </cell>
          <cell r="H873" t="str">
            <v>Jember</v>
          </cell>
          <cell r="I873" t="str">
            <v>'113.719233</v>
          </cell>
          <cell r="J873" t="str">
            <v>'-8.1049170</v>
          </cell>
          <cell r="K873" t="str">
            <v>-</v>
          </cell>
          <cell r="L873" t="str">
            <v>Bondoyudo Bedadung</v>
          </cell>
          <cell r="M873" t="str">
            <v>PHB</v>
          </cell>
          <cell r="N873" t="str">
            <v>-</v>
          </cell>
          <cell r="O873" t="str">
            <v>-</v>
          </cell>
          <cell r="P873" t="str">
            <v>-</v>
          </cell>
        </row>
        <row r="874">
          <cell r="B874">
            <v>350809036</v>
          </cell>
          <cell r="C874" t="str">
            <v>Kottok</v>
          </cell>
          <cell r="D874" t="str">
            <v>-</v>
          </cell>
          <cell r="E874" t="str">
            <v>PSDA di Lumajang</v>
          </cell>
          <cell r="F874" t="str">
            <v>Bedadung</v>
          </cell>
          <cell r="G874" t="str">
            <v>Pakusari</v>
          </cell>
          <cell r="H874" t="str">
            <v>Jember</v>
          </cell>
          <cell r="I874" t="str">
            <v>'113.771083</v>
          </cell>
          <cell r="J874" t="str">
            <v>'-8.121600</v>
          </cell>
          <cell r="K874" t="str">
            <v>-</v>
          </cell>
          <cell r="L874" t="str">
            <v>Bondoyudo Bedadung</v>
          </cell>
          <cell r="M874" t="str">
            <v>PHB</v>
          </cell>
          <cell r="N874" t="str">
            <v>-</v>
          </cell>
          <cell r="O874" t="str">
            <v>-</v>
          </cell>
          <cell r="P874" t="str">
            <v>-</v>
          </cell>
        </row>
        <row r="875">
          <cell r="B875">
            <v>350809037</v>
          </cell>
          <cell r="C875" t="str">
            <v>Karang Anyar</v>
          </cell>
          <cell r="D875" t="str">
            <v>-</v>
          </cell>
          <cell r="E875" t="str">
            <v>PSDA di Lumajang</v>
          </cell>
          <cell r="F875" t="str">
            <v>Ambulu</v>
          </cell>
          <cell r="G875" t="str">
            <v>Ambulu</v>
          </cell>
          <cell r="H875" t="str">
            <v>Jember</v>
          </cell>
          <cell r="I875" t="str">
            <v>'113.60835</v>
          </cell>
          <cell r="J875" t="str">
            <v>'-8.3428833</v>
          </cell>
          <cell r="K875" t="str">
            <v>-</v>
          </cell>
          <cell r="L875" t="str">
            <v>Bondoyudo Bedadung</v>
          </cell>
          <cell r="M875" t="str">
            <v>PHB</v>
          </cell>
          <cell r="N875" t="str">
            <v>-</v>
          </cell>
          <cell r="O875" t="str">
            <v>-</v>
          </cell>
          <cell r="P875" t="str">
            <v>-</v>
          </cell>
        </row>
        <row r="876">
          <cell r="B876">
            <v>350809038</v>
          </cell>
          <cell r="C876" t="str">
            <v>Karangduren</v>
          </cell>
          <cell r="D876" t="str">
            <v>-</v>
          </cell>
          <cell r="E876" t="str">
            <v>PSDA di Lumajang</v>
          </cell>
          <cell r="F876" t="str">
            <v>Karangduren</v>
          </cell>
          <cell r="G876" t="str">
            <v>Balung</v>
          </cell>
          <cell r="H876" t="str">
            <v>Jember</v>
          </cell>
          <cell r="I876" t="str">
            <v>'113.48980</v>
          </cell>
          <cell r="J876" t="str">
            <v>'-8.2718170</v>
          </cell>
          <cell r="K876" t="str">
            <v>-</v>
          </cell>
          <cell r="L876" t="str">
            <v>Bondoyudo Bedadung</v>
          </cell>
          <cell r="M876" t="str">
            <v>PHB</v>
          </cell>
          <cell r="N876" t="str">
            <v>-</v>
          </cell>
          <cell r="O876" t="str">
            <v>-</v>
          </cell>
          <cell r="P876" t="str">
            <v>-</v>
          </cell>
        </row>
        <row r="877">
          <cell r="B877">
            <v>350809039</v>
          </cell>
          <cell r="C877" t="str">
            <v>Kemuningsari</v>
          </cell>
          <cell r="D877" t="str">
            <v>-</v>
          </cell>
          <cell r="E877" t="str">
            <v>PSDA di Lumajang</v>
          </cell>
          <cell r="F877" t="str">
            <v>Kemuningsarikidul</v>
          </cell>
          <cell r="G877" t="str">
            <v>Jenggawah</v>
          </cell>
          <cell r="H877" t="str">
            <v>Jember</v>
          </cell>
          <cell r="I877" t="str">
            <v>'113.615266</v>
          </cell>
          <cell r="J877" t="str">
            <v>'-8.287283</v>
          </cell>
          <cell r="K877" t="str">
            <v>-</v>
          </cell>
          <cell r="L877" t="str">
            <v>Bondoyudo Bedadung</v>
          </cell>
          <cell r="M877" t="str">
            <v>PHB</v>
          </cell>
          <cell r="N877" t="str">
            <v>-</v>
          </cell>
          <cell r="O877" t="str">
            <v>-</v>
          </cell>
          <cell r="P877" t="str">
            <v>-</v>
          </cell>
        </row>
        <row r="878">
          <cell r="B878">
            <v>350809040</v>
          </cell>
          <cell r="C878" t="str">
            <v>Kencong (28K)</v>
          </cell>
          <cell r="D878" t="str">
            <v>-</v>
          </cell>
          <cell r="E878" t="str">
            <v>PSDA di Lumajang</v>
          </cell>
          <cell r="F878" t="str">
            <v>Kencong</v>
          </cell>
          <cell r="G878" t="str">
            <v>Kencong</v>
          </cell>
          <cell r="H878" t="str">
            <v>Jember</v>
          </cell>
          <cell r="I878" t="str">
            <v>'113.37196</v>
          </cell>
          <cell r="J878" t="str">
            <v>'-8.270000</v>
          </cell>
          <cell r="K878" t="str">
            <v>-</v>
          </cell>
          <cell r="L878" t="str">
            <v>Bondoyudo Bedadung</v>
          </cell>
          <cell r="M878" t="str">
            <v>PHB</v>
          </cell>
          <cell r="N878" t="str">
            <v>-</v>
          </cell>
          <cell r="O878" t="str">
            <v>-</v>
          </cell>
          <cell r="P878" t="str">
            <v>-</v>
          </cell>
        </row>
        <row r="879">
          <cell r="B879">
            <v>350809041</v>
          </cell>
          <cell r="C879" t="str">
            <v>Kencong</v>
          </cell>
          <cell r="D879" t="str">
            <v>-</v>
          </cell>
          <cell r="E879" t="str">
            <v>PSDA di Lumajang</v>
          </cell>
          <cell r="F879" t="str">
            <v>Kencong</v>
          </cell>
          <cell r="G879" t="str">
            <v>Kencong</v>
          </cell>
          <cell r="H879" t="str">
            <v>Jember</v>
          </cell>
          <cell r="I879" t="str">
            <v>'113.368383</v>
          </cell>
          <cell r="J879" t="str">
            <v>'-8.273116</v>
          </cell>
          <cell r="K879" t="str">
            <v>-</v>
          </cell>
          <cell r="L879" t="str">
            <v>Bondoyudo Bedadung</v>
          </cell>
          <cell r="M879" t="str">
            <v>PHB</v>
          </cell>
          <cell r="N879" t="str">
            <v>-</v>
          </cell>
          <cell r="O879" t="str">
            <v>-</v>
          </cell>
          <cell r="P879" t="str">
            <v>-</v>
          </cell>
        </row>
        <row r="880">
          <cell r="B880">
            <v>350809042</v>
          </cell>
          <cell r="C880" t="str">
            <v>Karang Kedawung</v>
          </cell>
          <cell r="D880" t="str">
            <v>-</v>
          </cell>
          <cell r="E880" t="str">
            <v>PSDA di Lumajang</v>
          </cell>
          <cell r="F880" t="str">
            <v>Karang Kedawung</v>
          </cell>
          <cell r="G880" t="str">
            <v>Mumbulsari</v>
          </cell>
          <cell r="H880" t="str">
            <v>Jember</v>
          </cell>
          <cell r="I880" t="str">
            <v>'113.755050</v>
          </cell>
          <cell r="J880" t="str">
            <v>'-8.233917</v>
          </cell>
          <cell r="K880" t="str">
            <v>-</v>
          </cell>
          <cell r="L880" t="str">
            <v>Bondoyudo Bedadung</v>
          </cell>
          <cell r="M880" t="str">
            <v>PHB</v>
          </cell>
          <cell r="N880" t="str">
            <v>-</v>
          </cell>
          <cell r="O880" t="str">
            <v>-</v>
          </cell>
          <cell r="P880" t="str">
            <v>-</v>
          </cell>
        </row>
        <row r="881">
          <cell r="B881">
            <v>350809043</v>
          </cell>
          <cell r="C881" t="str">
            <v>Lojejer</v>
          </cell>
          <cell r="D881" t="str">
            <v>-</v>
          </cell>
          <cell r="E881" t="str">
            <v>PSDA di Lumajang</v>
          </cell>
          <cell r="F881" t="str">
            <v>Lojejer</v>
          </cell>
          <cell r="G881" t="str">
            <v>Wuluhan</v>
          </cell>
          <cell r="H881" t="str">
            <v>Jember</v>
          </cell>
          <cell r="I881" t="str">
            <v>'113.5076830</v>
          </cell>
          <cell r="J881" t="str">
            <v>'-8.3490000</v>
          </cell>
          <cell r="K881" t="str">
            <v>-</v>
          </cell>
          <cell r="L881" t="str">
            <v>Bondoyudo Bedadung</v>
          </cell>
          <cell r="M881" t="str">
            <v>PHB</v>
          </cell>
          <cell r="N881" t="str">
            <v>-</v>
          </cell>
          <cell r="O881" t="str">
            <v>-</v>
          </cell>
          <cell r="P881" t="str">
            <v>-</v>
          </cell>
        </row>
        <row r="882">
          <cell r="B882">
            <v>350809044</v>
          </cell>
          <cell r="C882" t="str">
            <v>Ledokombo</v>
          </cell>
          <cell r="D882" t="str">
            <v>-</v>
          </cell>
          <cell r="E882" t="str">
            <v>PSDA di Lumajang</v>
          </cell>
          <cell r="F882" t="str">
            <v>Ledokombo</v>
          </cell>
          <cell r="G882" t="str">
            <v>Ledokombo</v>
          </cell>
          <cell r="H882" t="str">
            <v>Jember</v>
          </cell>
          <cell r="I882" t="str">
            <v>'113.870233</v>
          </cell>
          <cell r="J882" t="str">
            <v>'-8.141189</v>
          </cell>
          <cell r="K882" t="str">
            <v>-</v>
          </cell>
          <cell r="L882" t="str">
            <v>Bondoyudo Bedadung</v>
          </cell>
          <cell r="M882" t="str">
            <v>PHB</v>
          </cell>
          <cell r="N882" t="str">
            <v>-</v>
          </cell>
          <cell r="O882" t="str">
            <v>-</v>
          </cell>
          <cell r="P882" t="str">
            <v>-</v>
          </cell>
        </row>
        <row r="883">
          <cell r="B883">
            <v>350809045</v>
          </cell>
          <cell r="C883" t="str">
            <v>Pakusari</v>
          </cell>
          <cell r="D883" t="str">
            <v>-</v>
          </cell>
          <cell r="E883" t="str">
            <v>PSDA di Lumajang</v>
          </cell>
          <cell r="F883" t="str">
            <v>Pakusari</v>
          </cell>
          <cell r="G883" t="str">
            <v>Pakusari</v>
          </cell>
          <cell r="H883" t="str">
            <v>Jember</v>
          </cell>
          <cell r="I883" t="str">
            <v>'113.787250</v>
          </cell>
          <cell r="J883" t="str">
            <v>'-8.1773500</v>
          </cell>
          <cell r="K883" t="str">
            <v>-</v>
          </cell>
          <cell r="L883" t="str">
            <v>Bondoyudo Bedadung</v>
          </cell>
          <cell r="M883" t="str">
            <v>PHB</v>
          </cell>
          <cell r="N883" t="str">
            <v>-</v>
          </cell>
          <cell r="O883" t="str">
            <v>-</v>
          </cell>
          <cell r="P883" t="str">
            <v>-</v>
          </cell>
        </row>
        <row r="884">
          <cell r="B884">
            <v>350809046</v>
          </cell>
          <cell r="C884" t="str">
            <v>Puger</v>
          </cell>
          <cell r="D884" t="str">
            <v>-</v>
          </cell>
          <cell r="E884" t="str">
            <v>PSDA di Lumajang</v>
          </cell>
          <cell r="F884" t="str">
            <v>Wonosari</v>
          </cell>
          <cell r="G884" t="str">
            <v>Puger</v>
          </cell>
          <cell r="H884" t="str">
            <v>Jember</v>
          </cell>
          <cell r="I884" t="str">
            <v>'113.49960</v>
          </cell>
          <cell r="J884" t="str">
            <v>'-8.3346330</v>
          </cell>
          <cell r="K884" t="str">
            <v>-</v>
          </cell>
          <cell r="L884" t="str">
            <v>Bondoyudo Bedadung</v>
          </cell>
          <cell r="M884" t="str">
            <v>PHB</v>
          </cell>
          <cell r="N884" t="str">
            <v>-</v>
          </cell>
          <cell r="O884" t="str">
            <v>-</v>
          </cell>
          <cell r="P884" t="str">
            <v>-</v>
          </cell>
        </row>
        <row r="885">
          <cell r="B885">
            <v>350809047</v>
          </cell>
          <cell r="C885" t="str">
            <v>Paleran</v>
          </cell>
          <cell r="D885" t="str">
            <v>-</v>
          </cell>
          <cell r="E885" t="str">
            <v>PSDA di Lumajang</v>
          </cell>
          <cell r="F885" t="str">
            <v>Paleran</v>
          </cell>
          <cell r="G885" t="str">
            <v>Umbulsari</v>
          </cell>
          <cell r="H885" t="str">
            <v>Jember</v>
          </cell>
          <cell r="I885" t="str">
            <v>'113.477767</v>
          </cell>
          <cell r="J885" t="str">
            <v>'-8.229917</v>
          </cell>
          <cell r="K885" t="str">
            <v>-</v>
          </cell>
          <cell r="L885" t="str">
            <v>Bondoyudo Bedadung</v>
          </cell>
          <cell r="M885" t="str">
            <v>PHB</v>
          </cell>
          <cell r="N885" t="str">
            <v>-</v>
          </cell>
          <cell r="O885" t="str">
            <v>-</v>
          </cell>
          <cell r="P885" t="str">
            <v>-</v>
          </cell>
        </row>
        <row r="886">
          <cell r="B886">
            <v>350809048</v>
          </cell>
          <cell r="C886" t="str">
            <v>Pladingan</v>
          </cell>
          <cell r="D886" t="str">
            <v>-</v>
          </cell>
          <cell r="E886" t="str">
            <v>PSDA di Lumajang</v>
          </cell>
          <cell r="F886" t="str">
            <v>Ngampelrejo</v>
          </cell>
          <cell r="G886" t="str">
            <v>Jombang</v>
          </cell>
          <cell r="H886" t="str">
            <v>Jember</v>
          </cell>
          <cell r="I886" t="str">
            <v>'113.35175000000</v>
          </cell>
          <cell r="J886" t="str">
            <v>'-8.22798300000</v>
          </cell>
          <cell r="K886" t="str">
            <v>-</v>
          </cell>
          <cell r="L886" t="str">
            <v>Bondoyudo Bedadung</v>
          </cell>
          <cell r="M886" t="str">
            <v>PHB</v>
          </cell>
          <cell r="N886" t="str">
            <v>-</v>
          </cell>
          <cell r="O886" t="str">
            <v>-</v>
          </cell>
          <cell r="P886" t="str">
            <v>-</v>
          </cell>
        </row>
        <row r="887">
          <cell r="B887">
            <v>350809049</v>
          </cell>
          <cell r="C887" t="str">
            <v>Pondokjoyo</v>
          </cell>
          <cell r="D887" t="str">
            <v>-</v>
          </cell>
          <cell r="E887" t="str">
            <v>PSDA di Lumajang</v>
          </cell>
          <cell r="F887" t="str">
            <v>Pondokjoyo</v>
          </cell>
          <cell r="G887" t="str">
            <v>Semboro</v>
          </cell>
          <cell r="H887" t="str">
            <v>Jember</v>
          </cell>
          <cell r="I887" t="str">
            <v>'113.42885</v>
          </cell>
          <cell r="J887" t="str">
            <v>'-8.1500166</v>
          </cell>
          <cell r="K887" t="str">
            <v>-</v>
          </cell>
          <cell r="L887" t="str">
            <v>Bondoyudo Bedadung</v>
          </cell>
          <cell r="M887" t="str">
            <v>PHB</v>
          </cell>
          <cell r="N887" t="str">
            <v>-</v>
          </cell>
          <cell r="O887" t="str">
            <v>-</v>
          </cell>
          <cell r="P887" t="str">
            <v>-</v>
          </cell>
        </row>
        <row r="888">
          <cell r="B888">
            <v>350809051</v>
          </cell>
          <cell r="C888" t="str">
            <v>Pondokwaluh</v>
          </cell>
          <cell r="D888" t="str">
            <v>-</v>
          </cell>
          <cell r="E888" t="str">
            <v>PSDA di Lumajang</v>
          </cell>
          <cell r="F888" t="str">
            <v>Wringinagung</v>
          </cell>
          <cell r="G888" t="str">
            <v>Jombang</v>
          </cell>
          <cell r="H888" t="str">
            <v>Jember</v>
          </cell>
          <cell r="I888" t="str">
            <v>'113.3891999</v>
          </cell>
          <cell r="J888" t="str">
            <v>'-8.221866</v>
          </cell>
          <cell r="K888" t="str">
            <v>-</v>
          </cell>
          <cell r="L888" t="str">
            <v>Bondoyudo Bedadung</v>
          </cell>
          <cell r="M888" t="str">
            <v>PHB</v>
          </cell>
          <cell r="N888" t="str">
            <v>-</v>
          </cell>
          <cell r="O888" t="str">
            <v>-</v>
          </cell>
          <cell r="P888" t="str">
            <v>-</v>
          </cell>
        </row>
        <row r="889">
          <cell r="B889">
            <v>350809052</v>
          </cell>
          <cell r="C889" t="str">
            <v>Rambipuji</v>
          </cell>
          <cell r="D889" t="str">
            <v>-</v>
          </cell>
          <cell r="E889" t="str">
            <v>PSDA di Lumajang</v>
          </cell>
          <cell r="F889" t="str">
            <v>Rambipuji</v>
          </cell>
          <cell r="G889" t="str">
            <v>Rambipuji</v>
          </cell>
          <cell r="H889" t="str">
            <v>Jember</v>
          </cell>
          <cell r="I889" t="str">
            <v>'113.6110330</v>
          </cell>
          <cell r="J889" t="str">
            <v>'-8.2070670</v>
          </cell>
          <cell r="K889" t="str">
            <v>-</v>
          </cell>
          <cell r="L889" t="str">
            <v>Bondoyudo Bedadung</v>
          </cell>
          <cell r="M889" t="str">
            <v>PHB</v>
          </cell>
          <cell r="N889" t="str">
            <v>-</v>
          </cell>
          <cell r="O889" t="str">
            <v>-</v>
          </cell>
          <cell r="P889" t="str">
            <v>-</v>
          </cell>
        </row>
        <row r="890">
          <cell r="B890">
            <v>350809053</v>
          </cell>
          <cell r="C890" t="str">
            <v>Rawatamtu</v>
          </cell>
          <cell r="D890" t="str">
            <v>-</v>
          </cell>
          <cell r="E890" t="str">
            <v>PSDA di Lumajang</v>
          </cell>
          <cell r="F890" t="str">
            <v>Rowotamtu</v>
          </cell>
          <cell r="G890" t="str">
            <v>Rambipuji</v>
          </cell>
          <cell r="H890" t="str">
            <v>Jember</v>
          </cell>
          <cell r="I890" t="str">
            <v>'113.584233</v>
          </cell>
          <cell r="J890" t="str">
            <v>'-8.229750</v>
          </cell>
          <cell r="K890" t="str">
            <v>-</v>
          </cell>
          <cell r="L890" t="str">
            <v>Bondoyudo Bedadung</v>
          </cell>
          <cell r="M890" t="str">
            <v>PHB</v>
          </cell>
          <cell r="N890" t="str">
            <v>-</v>
          </cell>
          <cell r="O890" t="str">
            <v>-</v>
          </cell>
          <cell r="P890" t="str">
            <v>-</v>
          </cell>
        </row>
        <row r="891">
          <cell r="B891">
            <v>350809054</v>
          </cell>
          <cell r="C891" t="str">
            <v>Renes (Ajung)</v>
          </cell>
          <cell r="D891" t="str">
            <v>-</v>
          </cell>
          <cell r="E891" t="str">
            <v>PSDA di Lumajang</v>
          </cell>
          <cell r="F891" t="str">
            <v>Ajung</v>
          </cell>
          <cell r="G891" t="str">
            <v>Ajung</v>
          </cell>
          <cell r="H891" t="str">
            <v>Jember</v>
          </cell>
          <cell r="I891" t="str">
            <v>'113.66950</v>
          </cell>
          <cell r="J891" t="str">
            <v>'-8.213733</v>
          </cell>
          <cell r="K891" t="str">
            <v>-</v>
          </cell>
          <cell r="L891" t="str">
            <v>Bondoyudo Bedadung</v>
          </cell>
          <cell r="M891" t="str">
            <v>PHB</v>
          </cell>
          <cell r="N891" t="str">
            <v>-</v>
          </cell>
          <cell r="O891" t="str">
            <v>-</v>
          </cell>
          <cell r="P891" t="str">
            <v>-</v>
          </cell>
        </row>
        <row r="892">
          <cell r="B892">
            <v>350809055</v>
          </cell>
          <cell r="C892" t="str">
            <v>Silo</v>
          </cell>
          <cell r="D892" t="str">
            <v>-</v>
          </cell>
          <cell r="E892" t="str">
            <v>PSDA di Lumajang</v>
          </cell>
          <cell r="F892" t="str">
            <v>Silo</v>
          </cell>
          <cell r="G892" t="str">
            <v>Silo</v>
          </cell>
          <cell r="H892" t="str">
            <v>Jember</v>
          </cell>
          <cell r="I892" t="str">
            <v>'113.8669170</v>
          </cell>
          <cell r="J892" t="str">
            <v>'-8.1953000</v>
          </cell>
          <cell r="K892" t="str">
            <v>-</v>
          </cell>
          <cell r="L892" t="str">
            <v>Bondoyudo Bedadung</v>
          </cell>
          <cell r="M892" t="str">
            <v>PHB</v>
          </cell>
          <cell r="N892" t="str">
            <v>-</v>
          </cell>
          <cell r="O892" t="str">
            <v>-</v>
          </cell>
          <cell r="P892" t="str">
            <v>-</v>
          </cell>
        </row>
        <row r="893">
          <cell r="B893">
            <v>350809056</v>
          </cell>
          <cell r="C893" t="str">
            <v>Suren</v>
          </cell>
          <cell r="D893" t="str">
            <v>-</v>
          </cell>
          <cell r="E893" t="str">
            <v>PSDA di Lumajang</v>
          </cell>
          <cell r="F893" t="str">
            <v>Suren</v>
          </cell>
          <cell r="G893" t="str">
            <v>Ledokombo</v>
          </cell>
          <cell r="H893" t="str">
            <v>Jember</v>
          </cell>
          <cell r="I893" t="str">
            <v>'113.8490670</v>
          </cell>
          <cell r="J893" t="str">
            <v>'-8.163900</v>
          </cell>
          <cell r="K893" t="str">
            <v>-</v>
          </cell>
          <cell r="L893" t="str">
            <v>Bondoyudo Bedadung</v>
          </cell>
          <cell r="M893" t="str">
            <v>PHB</v>
          </cell>
          <cell r="N893" t="str">
            <v>-</v>
          </cell>
          <cell r="O893" t="str">
            <v>-</v>
          </cell>
          <cell r="P893" t="str">
            <v>-</v>
          </cell>
        </row>
        <row r="894">
          <cell r="B894">
            <v>350809057</v>
          </cell>
          <cell r="C894" t="str">
            <v>Sabrang  DM. 4</v>
          </cell>
          <cell r="D894" t="str">
            <v>-</v>
          </cell>
          <cell r="E894" t="str">
            <v>PSDA di Lumajang</v>
          </cell>
          <cell r="F894" t="str">
            <v>Sabrang</v>
          </cell>
          <cell r="G894" t="str">
            <v>Ambulu</v>
          </cell>
          <cell r="H894" t="str">
            <v>Jember</v>
          </cell>
          <cell r="I894" t="str">
            <v>'113.5424</v>
          </cell>
          <cell r="J894" t="str">
            <v>'-8.3889670</v>
          </cell>
          <cell r="K894" t="str">
            <v>-</v>
          </cell>
          <cell r="L894" t="str">
            <v>Bondoyudo Bedadung</v>
          </cell>
          <cell r="M894" t="str">
            <v>PHB</v>
          </cell>
          <cell r="N894" t="str">
            <v>-</v>
          </cell>
          <cell r="O894" t="str">
            <v>-</v>
          </cell>
          <cell r="P894" t="str">
            <v>-</v>
          </cell>
        </row>
        <row r="895">
          <cell r="B895">
            <v>350809058</v>
          </cell>
          <cell r="C895" t="str">
            <v>Sabrang  SB. 1</v>
          </cell>
          <cell r="D895" t="str">
            <v>-</v>
          </cell>
          <cell r="E895" t="str">
            <v>PSDA di Lumajang</v>
          </cell>
          <cell r="F895" t="str">
            <v>Sabrang</v>
          </cell>
          <cell r="G895" t="str">
            <v>Ambulu</v>
          </cell>
          <cell r="H895" t="str">
            <v>Jember</v>
          </cell>
          <cell r="I895" t="str">
            <v>'113.596916</v>
          </cell>
          <cell r="J895" t="str">
            <v>'-8.3751999</v>
          </cell>
          <cell r="K895" t="str">
            <v>-</v>
          </cell>
          <cell r="L895" t="str">
            <v>Bondoyudo Bedadung</v>
          </cell>
          <cell r="M895" t="str">
            <v>PHB</v>
          </cell>
          <cell r="N895" t="str">
            <v>-</v>
          </cell>
          <cell r="O895" t="str">
            <v>-</v>
          </cell>
          <cell r="P895" t="str">
            <v>-</v>
          </cell>
        </row>
        <row r="896">
          <cell r="B896">
            <v>350809059</v>
          </cell>
          <cell r="C896" t="str">
            <v>Sanenrejo</v>
          </cell>
          <cell r="D896" t="str">
            <v>-</v>
          </cell>
          <cell r="E896" t="str">
            <v>PSDA di Lumajang</v>
          </cell>
          <cell r="F896" t="str">
            <v>Sanenrejo</v>
          </cell>
          <cell r="G896" t="str">
            <v>Tempurejo</v>
          </cell>
          <cell r="H896" t="str">
            <v>Jember</v>
          </cell>
          <cell r="I896" t="str">
            <v>'113.7858166</v>
          </cell>
          <cell r="J896" t="str">
            <v>'-8.36286</v>
          </cell>
          <cell r="K896" t="str">
            <v>-</v>
          </cell>
          <cell r="L896" t="str">
            <v>Bondoyudo Bedadung</v>
          </cell>
          <cell r="M896" t="str">
            <v>PHB</v>
          </cell>
          <cell r="N896" t="str">
            <v>-</v>
          </cell>
          <cell r="O896" t="str">
            <v>-</v>
          </cell>
          <cell r="P896" t="str">
            <v>-</v>
          </cell>
        </row>
        <row r="897">
          <cell r="B897">
            <v>350809060</v>
          </cell>
          <cell r="C897" t="str">
            <v>Sbr.  Jambe</v>
          </cell>
          <cell r="D897" t="str">
            <v>-</v>
          </cell>
          <cell r="E897" t="str">
            <v>PSDA di Lumajang</v>
          </cell>
          <cell r="F897" t="str">
            <v>Sumberjambe</v>
          </cell>
          <cell r="G897" t="str">
            <v>Sumberjambe</v>
          </cell>
          <cell r="H897" t="str">
            <v>Jember</v>
          </cell>
          <cell r="I897" t="str">
            <v>'113.899433</v>
          </cell>
          <cell r="J897" t="str">
            <v>'-8.065367</v>
          </cell>
          <cell r="K897" t="str">
            <v>-</v>
          </cell>
          <cell r="L897" t="str">
            <v>Bondoyudo Bedadung</v>
          </cell>
          <cell r="M897" t="str">
            <v>PHB</v>
          </cell>
          <cell r="N897" t="str">
            <v>-</v>
          </cell>
          <cell r="O897" t="str">
            <v>-</v>
          </cell>
          <cell r="P897" t="str">
            <v>-</v>
          </cell>
        </row>
        <row r="898">
          <cell r="B898">
            <v>350809061</v>
          </cell>
          <cell r="C898" t="str">
            <v>Sbr.  Kalong</v>
          </cell>
          <cell r="D898" t="str">
            <v>-</v>
          </cell>
          <cell r="E898" t="str">
            <v>PSDA di Lumajang</v>
          </cell>
          <cell r="F898" t="str">
            <v>Sumberkalong</v>
          </cell>
          <cell r="G898" t="str">
            <v>Kalisat</v>
          </cell>
          <cell r="H898" t="str">
            <v>Jember</v>
          </cell>
          <cell r="I898" t="str">
            <v>'113.822033</v>
          </cell>
          <cell r="J898" t="str">
            <v>'-8.083233</v>
          </cell>
          <cell r="K898" t="str">
            <v>-</v>
          </cell>
          <cell r="L898" t="str">
            <v>Bondoyudo Bedadung</v>
          </cell>
          <cell r="M898" t="str">
            <v>PHB</v>
          </cell>
          <cell r="N898" t="str">
            <v>-</v>
          </cell>
          <cell r="O898" t="str">
            <v>-</v>
          </cell>
          <cell r="P898" t="str">
            <v>-</v>
          </cell>
        </row>
        <row r="899">
          <cell r="B899">
            <v>350809062</v>
          </cell>
          <cell r="C899" t="str">
            <v>Semboro</v>
          </cell>
          <cell r="D899" t="str">
            <v>-</v>
          </cell>
          <cell r="E899" t="str">
            <v>PSDA di Lumajang</v>
          </cell>
          <cell r="F899" t="str">
            <v>Semboro</v>
          </cell>
          <cell r="G899" t="str">
            <v>Semboro</v>
          </cell>
          <cell r="H899" t="str">
            <v>Jember</v>
          </cell>
          <cell r="I899" t="str">
            <v>'113.4477170</v>
          </cell>
          <cell r="J899" t="str">
            <v>'-8.209500</v>
          </cell>
          <cell r="K899" t="str">
            <v>-</v>
          </cell>
          <cell r="L899" t="str">
            <v>Bondoyudo Bedadung</v>
          </cell>
          <cell r="M899" t="str">
            <v>PHB</v>
          </cell>
          <cell r="N899" t="str">
            <v>-</v>
          </cell>
          <cell r="O899" t="str">
            <v>-</v>
          </cell>
          <cell r="P899" t="str">
            <v>-</v>
          </cell>
        </row>
        <row r="900">
          <cell r="B900">
            <v>350809063</v>
          </cell>
          <cell r="C900" t="str">
            <v>Seputih</v>
          </cell>
          <cell r="D900" t="str">
            <v>-</v>
          </cell>
          <cell r="E900" t="str">
            <v>PSDA di Lumajang</v>
          </cell>
          <cell r="F900" t="str">
            <v>Seputih</v>
          </cell>
          <cell r="G900" t="str">
            <v>Mayang</v>
          </cell>
          <cell r="H900" t="str">
            <v>Jember</v>
          </cell>
          <cell r="I900" t="str">
            <v>'113.791517</v>
          </cell>
          <cell r="J900" t="str">
            <v>'-8.195300</v>
          </cell>
          <cell r="K900" t="str">
            <v>-</v>
          </cell>
          <cell r="L900" t="str">
            <v>Bondoyudo Bedadung</v>
          </cell>
          <cell r="M900" t="str">
            <v>PHB</v>
          </cell>
          <cell r="N900" t="str">
            <v>-</v>
          </cell>
          <cell r="O900" t="str">
            <v>-</v>
          </cell>
          <cell r="P900" t="str">
            <v>-</v>
          </cell>
        </row>
        <row r="901">
          <cell r="B901">
            <v>350809064</v>
          </cell>
          <cell r="C901" t="str">
            <v>Sukorejo</v>
          </cell>
          <cell r="D901" t="str">
            <v>-</v>
          </cell>
          <cell r="E901" t="str">
            <v>PSDA di Lumajang</v>
          </cell>
          <cell r="F901" t="str">
            <v>Sukorejo</v>
          </cell>
          <cell r="G901" t="str">
            <v>Sukowono</v>
          </cell>
          <cell r="H901" t="str">
            <v>Jember</v>
          </cell>
          <cell r="I901" t="str">
            <v>'113.837516</v>
          </cell>
          <cell r="J901" t="str">
            <v>'-8.087673</v>
          </cell>
          <cell r="K901" t="str">
            <v>-</v>
          </cell>
          <cell r="L901" t="str">
            <v>Bondoyudo Bedadung</v>
          </cell>
          <cell r="M901" t="str">
            <v>PHB</v>
          </cell>
          <cell r="N901" t="str">
            <v>-</v>
          </cell>
          <cell r="O901" t="str">
            <v>-</v>
          </cell>
          <cell r="P901" t="str">
            <v>-</v>
          </cell>
        </row>
        <row r="902">
          <cell r="B902">
            <v>350809065</v>
          </cell>
          <cell r="C902" t="str">
            <v>Sukorejo</v>
          </cell>
          <cell r="D902" t="str">
            <v>-</v>
          </cell>
          <cell r="E902" t="str">
            <v>PSDA di Lumajang</v>
          </cell>
          <cell r="F902" t="str">
            <v>Sukorejo</v>
          </cell>
          <cell r="G902" t="str">
            <v>Bangsalsari</v>
          </cell>
          <cell r="H902" t="str">
            <v>Jember</v>
          </cell>
          <cell r="I902" t="str">
            <v>'113.530233</v>
          </cell>
          <cell r="J902" t="str">
            <v>'-8.221750</v>
          </cell>
          <cell r="K902" t="str">
            <v>-</v>
          </cell>
          <cell r="L902" t="str">
            <v>Bondoyudo Bedadung</v>
          </cell>
          <cell r="M902" t="str">
            <v>PHB</v>
          </cell>
          <cell r="N902" t="str">
            <v>-</v>
          </cell>
          <cell r="O902" t="str">
            <v>-</v>
          </cell>
          <cell r="P902" t="str">
            <v>-</v>
          </cell>
        </row>
        <row r="903">
          <cell r="B903">
            <v>350809066</v>
          </cell>
          <cell r="C903" t="str">
            <v>Sukowono</v>
          </cell>
          <cell r="D903" t="str">
            <v>-</v>
          </cell>
          <cell r="E903" t="str">
            <v>PSDA di Lumajang</v>
          </cell>
          <cell r="F903" t="str">
            <v>Sukowono</v>
          </cell>
          <cell r="G903" t="str">
            <v>Sukowono</v>
          </cell>
          <cell r="H903" t="str">
            <v>Jember</v>
          </cell>
          <cell r="I903" t="str">
            <v>'113.834817</v>
          </cell>
          <cell r="J903" t="str">
            <v>'-8.051133</v>
          </cell>
          <cell r="K903" t="str">
            <v>-</v>
          </cell>
          <cell r="L903" t="str">
            <v>Bondoyudo Bedadung</v>
          </cell>
          <cell r="M903" t="str">
            <v>PHB</v>
          </cell>
          <cell r="N903" t="str">
            <v>-</v>
          </cell>
          <cell r="O903" t="str">
            <v>-</v>
          </cell>
          <cell r="P903" t="str">
            <v>-</v>
          </cell>
        </row>
        <row r="904">
          <cell r="B904">
            <v>350809067</v>
          </cell>
          <cell r="C904" t="str">
            <v>Sumber Jati</v>
          </cell>
          <cell r="D904" t="str">
            <v>-</v>
          </cell>
          <cell r="E904" t="str">
            <v>PSDA di Lumajang</v>
          </cell>
          <cell r="F904" t="str">
            <v>Sumberjati</v>
          </cell>
          <cell r="G904" t="str">
            <v>Silo</v>
          </cell>
          <cell r="H904" t="str">
            <v>Jember</v>
          </cell>
          <cell r="I904" t="str">
            <v>'113.885083</v>
          </cell>
          <cell r="J904" t="str">
            <v>'-8.191933</v>
          </cell>
          <cell r="K904" t="str">
            <v>-</v>
          </cell>
          <cell r="L904" t="str">
            <v>Bondoyudo Bedadung</v>
          </cell>
          <cell r="M904" t="str">
            <v>PHB</v>
          </cell>
          <cell r="N904" t="str">
            <v>-</v>
          </cell>
          <cell r="O904" t="str">
            <v>-</v>
          </cell>
          <cell r="P904" t="str">
            <v>-</v>
          </cell>
        </row>
        <row r="905">
          <cell r="B905">
            <v>350809068</v>
          </cell>
          <cell r="C905" t="str">
            <v>Sumberejo</v>
          </cell>
          <cell r="D905" t="str">
            <v>-</v>
          </cell>
          <cell r="E905" t="str">
            <v>PSDA di Lumajang</v>
          </cell>
          <cell r="F905" t="str">
            <v>Sumberejo</v>
          </cell>
          <cell r="G905" t="str">
            <v>Ambulu</v>
          </cell>
          <cell r="H905" t="str">
            <v>Jember</v>
          </cell>
          <cell r="I905" t="str">
            <v>'113.59395</v>
          </cell>
          <cell r="J905" t="str">
            <v>'-8.4009170</v>
          </cell>
          <cell r="K905" t="str">
            <v>-</v>
          </cell>
          <cell r="L905" t="str">
            <v>Bondoyudo Bedadung</v>
          </cell>
          <cell r="M905" t="str">
            <v>PHB</v>
          </cell>
          <cell r="N905" t="str">
            <v>-</v>
          </cell>
          <cell r="O905" t="str">
            <v>-</v>
          </cell>
          <cell r="P905" t="str">
            <v>-</v>
          </cell>
        </row>
        <row r="906">
          <cell r="B906">
            <v>350809069</v>
          </cell>
          <cell r="C906" t="str">
            <v>Tamansari</v>
          </cell>
          <cell r="D906" t="str">
            <v>-</v>
          </cell>
          <cell r="E906" t="str">
            <v>PSDA di Lumajang</v>
          </cell>
          <cell r="F906" t="str">
            <v>Tamansari</v>
          </cell>
          <cell r="G906" t="str">
            <v>Wuluhan</v>
          </cell>
          <cell r="H906" t="str">
            <v>Jember</v>
          </cell>
          <cell r="I906" t="str">
            <v>'113.5470330</v>
          </cell>
          <cell r="J906" t="str">
            <v>'-8.3012170</v>
          </cell>
          <cell r="K906" t="str">
            <v>-</v>
          </cell>
          <cell r="L906" t="str">
            <v>Bondoyudo Bedadung</v>
          </cell>
          <cell r="M906" t="str">
            <v>PHB</v>
          </cell>
          <cell r="N906" t="str">
            <v>-</v>
          </cell>
          <cell r="O906" t="str">
            <v>-</v>
          </cell>
          <cell r="P906" t="str">
            <v>-</v>
          </cell>
        </row>
        <row r="907">
          <cell r="B907">
            <v>350809070</v>
          </cell>
          <cell r="C907" t="str">
            <v>Tanggul JBR</v>
          </cell>
          <cell r="D907" t="str">
            <v>-</v>
          </cell>
          <cell r="E907" t="str">
            <v>PSDA di Lumajang</v>
          </cell>
          <cell r="F907" t="str">
            <v>Tanggulkulon</v>
          </cell>
          <cell r="G907" t="str">
            <v>Tanggul</v>
          </cell>
          <cell r="H907" t="str">
            <v>Jember</v>
          </cell>
          <cell r="I907" t="str">
            <v>'113.44995</v>
          </cell>
          <cell r="J907" t="str">
            <v>'-8.162966</v>
          </cell>
          <cell r="K907" t="str">
            <v>-</v>
          </cell>
          <cell r="L907" t="str">
            <v>Bondoyudo Bedadung</v>
          </cell>
          <cell r="M907" t="str">
            <v>PHB</v>
          </cell>
          <cell r="N907" t="str">
            <v>-</v>
          </cell>
          <cell r="O907" t="str">
            <v>-</v>
          </cell>
          <cell r="P907" t="str">
            <v>-</v>
          </cell>
        </row>
        <row r="908">
          <cell r="B908">
            <v>350809071</v>
          </cell>
          <cell r="C908" t="str">
            <v>Tanjungrejo</v>
          </cell>
          <cell r="D908" t="str">
            <v>-</v>
          </cell>
          <cell r="E908" t="str">
            <v>PSDA di Lumajang</v>
          </cell>
          <cell r="F908" t="str">
            <v>Tanjungrejo</v>
          </cell>
          <cell r="G908" t="str">
            <v>Wuluhan</v>
          </cell>
          <cell r="H908" t="str">
            <v>Jember</v>
          </cell>
          <cell r="I908" t="str">
            <v>'113.567617</v>
          </cell>
          <cell r="J908" t="str">
            <v>'-8.327350</v>
          </cell>
          <cell r="K908" t="str">
            <v>-</v>
          </cell>
          <cell r="L908" t="str">
            <v>Bondoyudo Bedadung</v>
          </cell>
          <cell r="M908" t="str">
            <v>PHB</v>
          </cell>
          <cell r="N908" t="str">
            <v>-</v>
          </cell>
          <cell r="O908" t="str">
            <v>-</v>
          </cell>
          <cell r="P908" t="str">
            <v>-</v>
          </cell>
        </row>
        <row r="909">
          <cell r="B909">
            <v>350809072</v>
          </cell>
          <cell r="C909" t="str">
            <v>Tempurejo</v>
          </cell>
          <cell r="D909" t="str">
            <v>-</v>
          </cell>
          <cell r="E909" t="str">
            <v>PSDA di Lumajang</v>
          </cell>
          <cell r="F909" t="str">
            <v>Tempurejo</v>
          </cell>
          <cell r="G909" t="str">
            <v>Tempurejo</v>
          </cell>
          <cell r="H909" t="str">
            <v>Jember</v>
          </cell>
          <cell r="I909" t="str">
            <v>'113.691749</v>
          </cell>
          <cell r="J909" t="str">
            <v>'-8.290350</v>
          </cell>
          <cell r="K909" t="str">
            <v>-</v>
          </cell>
          <cell r="L909" t="str">
            <v>Bondoyudo Bedadung</v>
          </cell>
          <cell r="M909" t="str">
            <v>PHB</v>
          </cell>
          <cell r="N909" t="str">
            <v>-</v>
          </cell>
          <cell r="O909" t="str">
            <v>-</v>
          </cell>
          <cell r="P909" t="str">
            <v>-</v>
          </cell>
        </row>
        <row r="910">
          <cell r="B910">
            <v>350809073</v>
          </cell>
          <cell r="C910" t="str">
            <v>Watuurip</v>
          </cell>
          <cell r="D910" t="str">
            <v>-</v>
          </cell>
          <cell r="E910" t="str">
            <v>PSDA di Lumajang</v>
          </cell>
          <cell r="F910" t="str">
            <v>Pringgowirawan</v>
          </cell>
          <cell r="G910" t="str">
            <v>Sumberbaru</v>
          </cell>
          <cell r="H910" t="str">
            <v>Jember</v>
          </cell>
          <cell r="I910" t="str">
            <v>'113.416483</v>
          </cell>
          <cell r="J910" t="str">
            <v>'-8.121950</v>
          </cell>
          <cell r="K910" t="str">
            <v>-</v>
          </cell>
          <cell r="L910" t="str">
            <v>Bondoyudo Bedadung</v>
          </cell>
          <cell r="M910" t="str">
            <v>PHB</v>
          </cell>
          <cell r="N910" t="str">
            <v>-</v>
          </cell>
          <cell r="O910" t="str">
            <v>-</v>
          </cell>
          <cell r="P910" t="str">
            <v>-</v>
          </cell>
        </row>
        <row r="911">
          <cell r="B911">
            <v>350809074</v>
          </cell>
          <cell r="C911" t="str">
            <v>Wirolegi</v>
          </cell>
          <cell r="D911" t="str">
            <v>-</v>
          </cell>
          <cell r="E911" t="str">
            <v>PSDA di Lumajang</v>
          </cell>
          <cell r="F911" t="str">
            <v>Wirolegi</v>
          </cell>
          <cell r="G911" t="str">
            <v>Sumbersari</v>
          </cell>
          <cell r="H911" t="str">
            <v>Jember</v>
          </cell>
          <cell r="I911" t="str">
            <v>'113.7391670</v>
          </cell>
          <cell r="J911" t="str">
            <v>'-8.194417</v>
          </cell>
          <cell r="K911" t="str">
            <v>-</v>
          </cell>
          <cell r="L911" t="str">
            <v>Bondoyudo Bedadung</v>
          </cell>
          <cell r="M911" t="str">
            <v>PHB</v>
          </cell>
          <cell r="N911" t="str">
            <v>-</v>
          </cell>
          <cell r="O911" t="str">
            <v>-</v>
          </cell>
          <cell r="P911" t="str">
            <v>-</v>
          </cell>
        </row>
        <row r="912">
          <cell r="B912">
            <v>350809075</v>
          </cell>
          <cell r="C912" t="str">
            <v>Wonorejo JMBR</v>
          </cell>
          <cell r="D912" t="str">
            <v>-</v>
          </cell>
          <cell r="E912" t="str">
            <v>PSDA di Lumajang</v>
          </cell>
          <cell r="F912" t="str">
            <v>Wonorejo</v>
          </cell>
          <cell r="G912" t="str">
            <v>Kencong</v>
          </cell>
          <cell r="H912" t="str">
            <v>Jember</v>
          </cell>
          <cell r="I912" t="str">
            <v>'113.40385</v>
          </cell>
          <cell r="J912" t="str">
            <v>'-8.269000</v>
          </cell>
          <cell r="K912" t="str">
            <v>-</v>
          </cell>
          <cell r="L912" t="str">
            <v>Bondoyudo Bedadung</v>
          </cell>
          <cell r="M912" t="str">
            <v>PHB</v>
          </cell>
          <cell r="N912" t="str">
            <v>-</v>
          </cell>
          <cell r="O912" t="str">
            <v>-</v>
          </cell>
          <cell r="P912" t="str">
            <v>-</v>
          </cell>
        </row>
        <row r="913">
          <cell r="B913">
            <v>350809076</v>
          </cell>
          <cell r="C913" t="str">
            <v>Wringin Agung</v>
          </cell>
          <cell r="D913" t="str">
            <v>-</v>
          </cell>
          <cell r="E913" t="str">
            <v>PSDA di Lumajang</v>
          </cell>
          <cell r="F913" t="str">
            <v>Wringinagung</v>
          </cell>
          <cell r="G913" t="str">
            <v>Jombang</v>
          </cell>
          <cell r="H913" t="str">
            <v>Jember</v>
          </cell>
          <cell r="I913" t="str">
            <v>'113.407166</v>
          </cell>
          <cell r="J913" t="str">
            <v>'-8.190766</v>
          </cell>
          <cell r="K913" t="str">
            <v>-</v>
          </cell>
          <cell r="L913" t="str">
            <v>Bondoyudo Bedadung</v>
          </cell>
          <cell r="M913" t="str">
            <v>PHB</v>
          </cell>
          <cell r="N913" t="str">
            <v>-</v>
          </cell>
          <cell r="O913" t="str">
            <v>-</v>
          </cell>
          <cell r="P913" t="str">
            <v>-</v>
          </cell>
        </row>
        <row r="914">
          <cell r="B914">
            <v>350809077</v>
          </cell>
          <cell r="C914" t="str">
            <v>Menampu</v>
          </cell>
          <cell r="D914" t="str">
            <v>-</v>
          </cell>
          <cell r="E914" t="str">
            <v>PSDA di Lumajang</v>
          </cell>
          <cell r="F914" t="str">
            <v>Menampu</v>
          </cell>
          <cell r="G914" t="str">
            <v>Gumukmas</v>
          </cell>
          <cell r="H914" t="str">
            <v>Jember</v>
          </cell>
          <cell r="I914" t="str">
            <v>'113.412433</v>
          </cell>
          <cell r="J914" t="str">
            <v>'-8.326533</v>
          </cell>
          <cell r="K914" t="str">
            <v>-</v>
          </cell>
          <cell r="L914" t="str">
            <v>Bondoyudo Bedadung</v>
          </cell>
          <cell r="M914" t="str">
            <v>PHB</v>
          </cell>
          <cell r="N914" t="str">
            <v>-</v>
          </cell>
          <cell r="O914" t="str">
            <v>-</v>
          </cell>
          <cell r="P914" t="str">
            <v>-</v>
          </cell>
        </row>
        <row r="915">
          <cell r="B915">
            <v>350809079</v>
          </cell>
          <cell r="C915" t="str">
            <v>Karang Bayat</v>
          </cell>
          <cell r="D915" t="str">
            <v>-</v>
          </cell>
          <cell r="E915" t="str">
            <v>PSDA di Lumajang</v>
          </cell>
          <cell r="F915" t="str">
            <v>Karangbayat</v>
          </cell>
          <cell r="G915" t="str">
            <v>Sumberbaru</v>
          </cell>
          <cell r="H915" t="str">
            <v>Jember</v>
          </cell>
          <cell r="I915" t="str">
            <v>'113.432274</v>
          </cell>
          <cell r="J915" t="str">
            <v>'-8.077748</v>
          </cell>
          <cell r="K915" t="str">
            <v>-</v>
          </cell>
          <cell r="L915" t="str">
            <v>Bondoyudo Bedadung</v>
          </cell>
          <cell r="M915" t="str">
            <v>PHB</v>
          </cell>
          <cell r="N915" t="str">
            <v>-</v>
          </cell>
          <cell r="O915" t="str">
            <v>-</v>
          </cell>
          <cell r="P915" t="str">
            <v>-</v>
          </cell>
        </row>
        <row r="916">
          <cell r="B916">
            <v>350809080</v>
          </cell>
          <cell r="C916" t="str">
            <v>Jamintoro</v>
          </cell>
          <cell r="D916" t="str">
            <v>-</v>
          </cell>
          <cell r="E916" t="str">
            <v>PSDA di Lumajang</v>
          </cell>
          <cell r="F916" t="str">
            <v>Jamintoro</v>
          </cell>
          <cell r="G916" t="str">
            <v>Sumberbaru</v>
          </cell>
          <cell r="H916" t="str">
            <v>Jember</v>
          </cell>
          <cell r="I916" t="str">
            <v>'113.359393</v>
          </cell>
          <cell r="J916" t="str">
            <v>'-8.061226</v>
          </cell>
          <cell r="K916" t="str">
            <v>-</v>
          </cell>
          <cell r="L916" t="str">
            <v>Bondoyudo Bedadung</v>
          </cell>
          <cell r="M916" t="str">
            <v>PHB</v>
          </cell>
          <cell r="N916" t="str">
            <v>-</v>
          </cell>
          <cell r="O916" t="str">
            <v>-</v>
          </cell>
          <cell r="P916" t="str">
            <v>-</v>
          </cell>
        </row>
        <row r="917">
          <cell r="B917">
            <v>350809081</v>
          </cell>
          <cell r="C917" t="str">
            <v>Gunung Pasang</v>
          </cell>
          <cell r="D917" t="str">
            <v>-</v>
          </cell>
          <cell r="E917" t="str">
            <v>PSDA di Lumajang</v>
          </cell>
          <cell r="F917" t="str">
            <v>Suci</v>
          </cell>
          <cell r="G917" t="str">
            <v>Panti</v>
          </cell>
          <cell r="H917" t="str">
            <v>Jember</v>
          </cell>
          <cell r="I917" t="str">
            <v>'113.637653</v>
          </cell>
          <cell r="J917" t="str">
            <v>'-8.101043</v>
          </cell>
          <cell r="K917" t="str">
            <v>-</v>
          </cell>
          <cell r="L917" t="str">
            <v>Bondoyudo Bedadung</v>
          </cell>
          <cell r="M917" t="str">
            <v>PHB</v>
          </cell>
          <cell r="N917" t="str">
            <v>-</v>
          </cell>
          <cell r="O917" t="str">
            <v>-</v>
          </cell>
          <cell r="P917" t="str">
            <v>-</v>
          </cell>
        </row>
        <row r="918">
          <cell r="B918">
            <v>350809082</v>
          </cell>
          <cell r="C918" t="str">
            <v>Sekar</v>
          </cell>
          <cell r="D918" t="str">
            <v>-</v>
          </cell>
          <cell r="E918" t="str">
            <v>PSDA di Lumajang</v>
          </cell>
          <cell r="F918" t="str">
            <v>Karangpring</v>
          </cell>
          <cell r="G918" t="str">
            <v>Sukorambi</v>
          </cell>
          <cell r="H918" t="str">
            <v>Jember</v>
          </cell>
          <cell r="I918" t="str">
            <v>'113.662197</v>
          </cell>
          <cell r="J918" t="str">
            <v>'-8.094567</v>
          </cell>
          <cell r="K918" t="str">
            <v>-</v>
          </cell>
          <cell r="L918" t="str">
            <v>Bondoyudo Bedadung</v>
          </cell>
          <cell r="M918" t="str">
            <v>PHB</v>
          </cell>
          <cell r="N918" t="str">
            <v>-</v>
          </cell>
          <cell r="O918" t="str">
            <v>-</v>
          </cell>
          <cell r="P918" t="str">
            <v>-</v>
          </cell>
        </row>
        <row r="919">
          <cell r="B919">
            <v>350809083</v>
          </cell>
          <cell r="C919" t="str">
            <v>Kemuning Lor</v>
          </cell>
          <cell r="D919" t="str">
            <v>-</v>
          </cell>
          <cell r="E919" t="str">
            <v>PSDA di Lumajang</v>
          </cell>
          <cell r="F919" t="str">
            <v>Kemuninglor</v>
          </cell>
          <cell r="G919" t="str">
            <v>Arjasa</v>
          </cell>
          <cell r="H919" t="str">
            <v>Jember</v>
          </cell>
          <cell r="I919" t="str">
            <v>'113.6940822</v>
          </cell>
          <cell r="J919" t="str">
            <v>'-8.0887820</v>
          </cell>
          <cell r="K919" t="str">
            <v>-</v>
          </cell>
          <cell r="L919" t="str">
            <v>Bondoyudo Bedadung</v>
          </cell>
          <cell r="M919" t="str">
            <v>PHB</v>
          </cell>
          <cell r="N919" t="str">
            <v>-</v>
          </cell>
          <cell r="O919" t="str">
            <v>-</v>
          </cell>
          <cell r="P919" t="str">
            <v>-</v>
          </cell>
        </row>
        <row r="920">
          <cell r="B920">
            <v>350926001</v>
          </cell>
          <cell r="C920" t="str">
            <v>Burneh Dam Tunjung</v>
          </cell>
          <cell r="D920" t="str">
            <v>-</v>
          </cell>
          <cell r="E920" t="str">
            <v>PSDA di Pamekasan</v>
          </cell>
          <cell r="F920" t="str">
            <v>Burneh</v>
          </cell>
          <cell r="G920" t="str">
            <v>Burneh</v>
          </cell>
          <cell r="H920" t="str">
            <v>Bangkalan</v>
          </cell>
          <cell r="I920" t="str">
            <v>'112.78610</v>
          </cell>
          <cell r="J920" t="str">
            <v>'-7.047326</v>
          </cell>
          <cell r="K920" t="str">
            <v>-</v>
          </cell>
          <cell r="L920" t="str">
            <v>Madura Bawean</v>
          </cell>
          <cell r="M920" t="str">
            <v>PHB</v>
          </cell>
          <cell r="N920" t="str">
            <v>-</v>
          </cell>
          <cell r="O920" t="str">
            <v>-</v>
          </cell>
          <cell r="P920" t="str">
            <v>-</v>
          </cell>
        </row>
        <row r="921">
          <cell r="B921">
            <v>350926002</v>
          </cell>
          <cell r="C921" t="str">
            <v>Kokop</v>
          </cell>
          <cell r="D921" t="str">
            <v>-</v>
          </cell>
          <cell r="E921" t="str">
            <v>PSDA di Pamekasan</v>
          </cell>
          <cell r="F921" t="str">
            <v>Kokop</v>
          </cell>
          <cell r="G921" t="str">
            <v>Kokop</v>
          </cell>
          <cell r="H921" t="str">
            <v>Bangkalan</v>
          </cell>
          <cell r="I921" t="str">
            <v>'113.030014</v>
          </cell>
          <cell r="J921" t="str">
            <v>'-6.942599</v>
          </cell>
          <cell r="K921" t="str">
            <v>-</v>
          </cell>
          <cell r="L921" t="str">
            <v>Madura Bawean</v>
          </cell>
          <cell r="M921" t="str">
            <v>PHB</v>
          </cell>
          <cell r="N921" t="str">
            <v>-</v>
          </cell>
          <cell r="O921" t="str">
            <v>-</v>
          </cell>
          <cell r="P921" t="str">
            <v>-</v>
          </cell>
        </row>
        <row r="922">
          <cell r="B922">
            <v>350926003</v>
          </cell>
          <cell r="C922" t="str">
            <v>Galis Bangkalan</v>
          </cell>
          <cell r="D922" t="str">
            <v>-</v>
          </cell>
          <cell r="E922" t="str">
            <v>PSDA di Pamekasan</v>
          </cell>
          <cell r="F922" t="str">
            <v>Galis</v>
          </cell>
          <cell r="G922" t="str">
            <v>Galis</v>
          </cell>
          <cell r="H922" t="str">
            <v>Bangkalan</v>
          </cell>
          <cell r="I922" t="str">
            <v>'112.962505</v>
          </cell>
          <cell r="J922" t="str">
            <v>'-7.112833</v>
          </cell>
          <cell r="K922" t="str">
            <v>-</v>
          </cell>
          <cell r="L922" t="str">
            <v>Madura Bawean</v>
          </cell>
          <cell r="M922" t="str">
            <v>PHB</v>
          </cell>
          <cell r="N922" t="str">
            <v>-</v>
          </cell>
          <cell r="O922" t="str">
            <v>-</v>
          </cell>
          <cell r="P922" t="str">
            <v>-</v>
          </cell>
        </row>
        <row r="923">
          <cell r="B923">
            <v>350926004</v>
          </cell>
          <cell r="C923" t="str">
            <v>Geger</v>
          </cell>
          <cell r="D923" t="str">
            <v>-</v>
          </cell>
          <cell r="E923" t="str">
            <v>PSDA di Pamekasan</v>
          </cell>
          <cell r="F923" t="str">
            <v>Geger</v>
          </cell>
          <cell r="G923" t="str">
            <v>Geger</v>
          </cell>
          <cell r="H923" t="str">
            <v>Bangkalan</v>
          </cell>
          <cell r="I923" t="str">
            <v>'112.887887</v>
          </cell>
          <cell r="J923" t="str">
            <v>'-6.974319</v>
          </cell>
          <cell r="K923" t="str">
            <v>-</v>
          </cell>
          <cell r="L923" t="str">
            <v>Madura Bawean</v>
          </cell>
          <cell r="M923" t="str">
            <v>PHB</v>
          </cell>
          <cell r="N923" t="str">
            <v>-</v>
          </cell>
          <cell r="O923" t="str">
            <v>-</v>
          </cell>
          <cell r="P923" t="str">
            <v>-</v>
          </cell>
        </row>
      </sheetData>
      <sheetData sheetId="1"/>
      <sheetData sheetId="2">
        <row r="1">
          <cell r="B1" t="str">
            <v>CURAH  HUJAN  WS BENGAWAN SOLO</v>
          </cell>
        </row>
        <row r="3">
          <cell r="C3">
            <v>2022</v>
          </cell>
        </row>
        <row r="8">
          <cell r="A8">
            <v>1</v>
          </cell>
          <cell r="B8" t="str">
            <v>Krikilan</v>
          </cell>
          <cell r="C8">
            <v>350125005</v>
          </cell>
          <cell r="D8">
            <v>1.5</v>
          </cell>
          <cell r="E8">
            <v>3.5</v>
          </cell>
          <cell r="F8">
            <v>2.6</v>
          </cell>
          <cell r="G8">
            <v>2.2999999999999998</v>
          </cell>
          <cell r="H8">
            <v>1.5</v>
          </cell>
          <cell r="I8">
            <v>6.3</v>
          </cell>
          <cell r="J8">
            <v>6.5</v>
          </cell>
          <cell r="K8">
            <v>18</v>
          </cell>
          <cell r="L8">
            <v>1</v>
          </cell>
          <cell r="M8">
            <v>14</v>
          </cell>
          <cell r="N8">
            <v>12</v>
          </cell>
          <cell r="O8">
            <v>32</v>
          </cell>
          <cell r="P8">
            <v>29</v>
          </cell>
          <cell r="Q8">
            <v>0</v>
          </cell>
          <cell r="R8">
            <v>0</v>
          </cell>
          <cell r="S8">
            <v>0</v>
          </cell>
          <cell r="T8">
            <v>39</v>
          </cell>
          <cell r="U8">
            <v>4</v>
          </cell>
          <cell r="V8">
            <v>16</v>
          </cell>
          <cell r="W8">
            <v>44</v>
          </cell>
          <cell r="X8">
            <v>68</v>
          </cell>
          <cell r="Y8">
            <v>34</v>
          </cell>
          <cell r="Z8">
            <v>7</v>
          </cell>
          <cell r="AA8">
            <v>0</v>
          </cell>
          <cell r="AB8">
            <v>0</v>
          </cell>
          <cell r="AC8">
            <v>9</v>
          </cell>
          <cell r="AD8">
            <v>0</v>
          </cell>
          <cell r="AE8">
            <v>0</v>
          </cell>
          <cell r="AF8">
            <v>21</v>
          </cell>
          <cell r="AG8">
            <v>17</v>
          </cell>
          <cell r="AH8">
            <v>56</v>
          </cell>
          <cell r="AI8">
            <v>445.2</v>
          </cell>
          <cell r="AJ8">
            <v>68</v>
          </cell>
          <cell r="AK8">
            <v>24</v>
          </cell>
        </row>
        <row r="9">
          <cell r="A9">
            <v>2</v>
          </cell>
          <cell r="B9" t="str">
            <v>Duduksampean</v>
          </cell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1.5</v>
          </cell>
          <cell r="K9">
            <v>42</v>
          </cell>
          <cell r="L9">
            <v>7</v>
          </cell>
          <cell r="M9">
            <v>2</v>
          </cell>
          <cell r="N9">
            <v>0</v>
          </cell>
          <cell r="O9">
            <v>13</v>
          </cell>
          <cell r="P9">
            <v>11</v>
          </cell>
          <cell r="Q9">
            <v>10</v>
          </cell>
          <cell r="R9">
            <v>0</v>
          </cell>
          <cell r="S9">
            <v>0</v>
          </cell>
          <cell r="T9">
            <v>0</v>
          </cell>
          <cell r="U9">
            <v>19</v>
          </cell>
          <cell r="V9">
            <v>31</v>
          </cell>
          <cell r="W9">
            <v>13</v>
          </cell>
          <cell r="X9">
            <v>10</v>
          </cell>
          <cell r="Y9">
            <v>0</v>
          </cell>
          <cell r="Z9">
            <v>5</v>
          </cell>
          <cell r="AA9">
            <v>0</v>
          </cell>
          <cell r="AB9">
            <v>0</v>
          </cell>
          <cell r="AC9">
            <v>26</v>
          </cell>
          <cell r="AD9">
            <v>3</v>
          </cell>
          <cell r="AE9">
            <v>0</v>
          </cell>
          <cell r="AF9">
            <v>5</v>
          </cell>
          <cell r="AG9">
            <v>2</v>
          </cell>
          <cell r="AH9">
            <v>0</v>
          </cell>
          <cell r="AI9">
            <v>200.5</v>
          </cell>
          <cell r="AJ9">
            <v>42</v>
          </cell>
          <cell r="AK9">
            <v>16</v>
          </cell>
        </row>
        <row r="10">
          <cell r="A10">
            <v>3</v>
          </cell>
          <cell r="B10" t="str">
            <v>Cerme GRS</v>
          </cell>
          <cell r="C10">
            <v>350125003</v>
          </cell>
          <cell r="D10">
            <v>3</v>
          </cell>
          <cell r="E10">
            <v>6</v>
          </cell>
          <cell r="F10">
            <v>40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64</v>
          </cell>
          <cell r="L10">
            <v>3</v>
          </cell>
          <cell r="M10">
            <v>2.5</v>
          </cell>
          <cell r="N10">
            <v>0</v>
          </cell>
          <cell r="O10">
            <v>9</v>
          </cell>
          <cell r="P10">
            <v>28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4</v>
          </cell>
          <cell r="V10">
            <v>12</v>
          </cell>
          <cell r="W10">
            <v>12</v>
          </cell>
          <cell r="X10">
            <v>10</v>
          </cell>
          <cell r="Y10">
            <v>0</v>
          </cell>
          <cell r="Z10">
            <v>21.5</v>
          </cell>
          <cell r="AA10">
            <v>0</v>
          </cell>
          <cell r="AB10">
            <v>0</v>
          </cell>
          <cell r="AC10">
            <v>3.5</v>
          </cell>
          <cell r="AD10">
            <v>8</v>
          </cell>
          <cell r="AE10">
            <v>2.5</v>
          </cell>
          <cell r="AF10">
            <v>24.5</v>
          </cell>
          <cell r="AG10">
            <v>8.5</v>
          </cell>
          <cell r="AH10">
            <v>3</v>
          </cell>
          <cell r="AI10">
            <v>265</v>
          </cell>
          <cell r="AJ10">
            <v>64</v>
          </cell>
          <cell r="AK10">
            <v>19</v>
          </cell>
        </row>
        <row r="11">
          <cell r="A11">
            <v>4</v>
          </cell>
          <cell r="B11" t="str">
            <v>Bunder / Gresik</v>
          </cell>
          <cell r="C11">
            <v>350125002</v>
          </cell>
          <cell r="D11">
            <v>25</v>
          </cell>
          <cell r="E11">
            <v>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25</v>
          </cell>
          <cell r="L11">
            <v>0</v>
          </cell>
          <cell r="M11">
            <v>21</v>
          </cell>
          <cell r="N11">
            <v>21</v>
          </cell>
          <cell r="O11">
            <v>7</v>
          </cell>
          <cell r="P11">
            <v>7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6</v>
          </cell>
          <cell r="V11">
            <v>28</v>
          </cell>
          <cell r="W11">
            <v>16</v>
          </cell>
          <cell r="X11">
            <v>16</v>
          </cell>
          <cell r="Y11">
            <v>11</v>
          </cell>
          <cell r="Z11">
            <v>7</v>
          </cell>
          <cell r="AA11">
            <v>9</v>
          </cell>
          <cell r="AB11">
            <v>9</v>
          </cell>
          <cell r="AC11">
            <v>12</v>
          </cell>
          <cell r="AD11">
            <v>0</v>
          </cell>
          <cell r="AE11">
            <v>5</v>
          </cell>
          <cell r="AF11">
            <v>0</v>
          </cell>
          <cell r="AG11">
            <v>15</v>
          </cell>
          <cell r="AH11">
            <v>0</v>
          </cell>
          <cell r="AI11">
            <v>245</v>
          </cell>
          <cell r="AJ11">
            <v>28</v>
          </cell>
          <cell r="AK11">
            <v>18</v>
          </cell>
        </row>
        <row r="12">
          <cell r="A12">
            <v>5</v>
          </cell>
          <cell r="B12" t="str">
            <v>Benjeng</v>
          </cell>
          <cell r="C12">
            <v>350125001</v>
          </cell>
          <cell r="D12">
            <v>10</v>
          </cell>
          <cell r="E12">
            <v>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</v>
          </cell>
          <cell r="K12">
            <v>6</v>
          </cell>
          <cell r="L12">
            <v>0</v>
          </cell>
          <cell r="M12">
            <v>5</v>
          </cell>
          <cell r="N12">
            <v>0</v>
          </cell>
          <cell r="O12">
            <v>11</v>
          </cell>
          <cell r="P12">
            <v>10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13</v>
          </cell>
          <cell r="V12">
            <v>19</v>
          </cell>
          <cell r="W12">
            <v>8</v>
          </cell>
          <cell r="X12">
            <v>0</v>
          </cell>
          <cell r="Y12">
            <v>0</v>
          </cell>
          <cell r="Z12">
            <v>38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10</v>
          </cell>
          <cell r="AF12">
            <v>40</v>
          </cell>
          <cell r="AG12">
            <v>0</v>
          </cell>
          <cell r="AH12">
            <v>4</v>
          </cell>
          <cell r="AI12">
            <v>188</v>
          </cell>
          <cell r="AJ12">
            <v>40</v>
          </cell>
          <cell r="AK12">
            <v>14</v>
          </cell>
        </row>
        <row r="13">
          <cell r="A13">
            <v>6</v>
          </cell>
          <cell r="B13" t="str">
            <v>Kedungkumpul</v>
          </cell>
          <cell r="C13">
            <v>350124024</v>
          </cell>
          <cell r="D13">
            <v>0</v>
          </cell>
          <cell r="E13">
            <v>5</v>
          </cell>
          <cell r="F13">
            <v>1</v>
          </cell>
          <cell r="G13">
            <v>0</v>
          </cell>
          <cell r="H13">
            <v>0</v>
          </cell>
          <cell r="I13">
            <v>9</v>
          </cell>
          <cell r="J13">
            <v>15</v>
          </cell>
          <cell r="K13">
            <v>25</v>
          </cell>
          <cell r="L13">
            <v>5</v>
          </cell>
          <cell r="M13">
            <v>3</v>
          </cell>
          <cell r="N13">
            <v>0</v>
          </cell>
          <cell r="O13">
            <v>5</v>
          </cell>
          <cell r="P13">
            <v>9</v>
          </cell>
          <cell r="Q13">
            <v>3</v>
          </cell>
          <cell r="R13">
            <v>0</v>
          </cell>
          <cell r="S13">
            <v>0</v>
          </cell>
          <cell r="T13">
            <v>0</v>
          </cell>
          <cell r="U13">
            <v>11</v>
          </cell>
          <cell r="V13">
            <v>13</v>
          </cell>
          <cell r="W13">
            <v>4</v>
          </cell>
          <cell r="X13">
            <v>13.5</v>
          </cell>
          <cell r="Y13">
            <v>0</v>
          </cell>
          <cell r="Z13">
            <v>6</v>
          </cell>
          <cell r="AA13">
            <v>2</v>
          </cell>
          <cell r="AB13">
            <v>0</v>
          </cell>
          <cell r="AC13">
            <v>6</v>
          </cell>
          <cell r="AD13">
            <v>0</v>
          </cell>
          <cell r="AE13">
            <v>0</v>
          </cell>
          <cell r="AF13">
            <v>65</v>
          </cell>
          <cell r="AG13">
            <v>2.5</v>
          </cell>
          <cell r="AH13">
            <v>1.5</v>
          </cell>
          <cell r="AI13">
            <v>204.5</v>
          </cell>
          <cell r="AJ13">
            <v>65</v>
          </cell>
          <cell r="AK13">
            <v>20</v>
          </cell>
        </row>
        <row r="14">
          <cell r="A14">
            <v>7</v>
          </cell>
          <cell r="B14" t="str">
            <v>Sukorejo</v>
          </cell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</v>
          </cell>
          <cell r="L14">
            <v>0</v>
          </cell>
          <cell r="M14">
            <v>6</v>
          </cell>
          <cell r="N14">
            <v>0</v>
          </cell>
          <cell r="O14">
            <v>9</v>
          </cell>
          <cell r="P14">
            <v>7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12</v>
          </cell>
          <cell r="V14">
            <v>118</v>
          </cell>
          <cell r="W14">
            <v>43</v>
          </cell>
          <cell r="X14">
            <v>11</v>
          </cell>
          <cell r="Y14">
            <v>7</v>
          </cell>
          <cell r="Z14">
            <v>5</v>
          </cell>
          <cell r="AA14">
            <v>15</v>
          </cell>
          <cell r="AB14">
            <v>0</v>
          </cell>
          <cell r="AC14">
            <v>0</v>
          </cell>
          <cell r="AD14">
            <v>4</v>
          </cell>
          <cell r="AE14">
            <v>0</v>
          </cell>
          <cell r="AF14">
            <v>17</v>
          </cell>
          <cell r="AG14">
            <v>2</v>
          </cell>
          <cell r="AH14">
            <v>15</v>
          </cell>
          <cell r="AI14">
            <v>277</v>
          </cell>
          <cell r="AJ14">
            <v>118</v>
          </cell>
          <cell r="AK14">
            <v>16</v>
          </cell>
        </row>
        <row r="15">
          <cell r="A15">
            <v>8</v>
          </cell>
          <cell r="B15" t="str">
            <v>Wudi</v>
          </cell>
          <cell r="C15">
            <v>350124022</v>
          </cell>
          <cell r="D15">
            <v>0</v>
          </cell>
          <cell r="E15">
            <v>7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43.5</v>
          </cell>
          <cell r="L15">
            <v>1.5</v>
          </cell>
          <cell r="M15">
            <v>16</v>
          </cell>
          <cell r="N15">
            <v>0</v>
          </cell>
          <cell r="O15">
            <v>9</v>
          </cell>
          <cell r="P15">
            <v>34.5</v>
          </cell>
          <cell r="Q15">
            <v>11.5</v>
          </cell>
          <cell r="R15">
            <v>0</v>
          </cell>
          <cell r="S15">
            <v>0</v>
          </cell>
          <cell r="T15">
            <v>0</v>
          </cell>
          <cell r="U15">
            <v>3.5</v>
          </cell>
          <cell r="V15">
            <v>34.5</v>
          </cell>
          <cell r="W15">
            <v>6</v>
          </cell>
          <cell r="X15">
            <v>17</v>
          </cell>
          <cell r="Y15">
            <v>0</v>
          </cell>
          <cell r="Z15">
            <v>4</v>
          </cell>
          <cell r="AA15">
            <v>19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54</v>
          </cell>
          <cell r="AG15">
            <v>1</v>
          </cell>
          <cell r="AH15">
            <v>2</v>
          </cell>
          <cell r="AI15">
            <v>265</v>
          </cell>
          <cell r="AJ15">
            <v>54</v>
          </cell>
          <cell r="AK15">
            <v>17</v>
          </cell>
        </row>
        <row r="16">
          <cell r="A16">
            <v>9</v>
          </cell>
          <cell r="B16" t="str">
            <v>Takeran</v>
          </cell>
          <cell r="C16">
            <v>350124021</v>
          </cell>
          <cell r="D16">
            <v>0</v>
          </cell>
          <cell r="E16">
            <v>8</v>
          </cell>
          <cell r="F16">
            <v>1</v>
          </cell>
          <cell r="G16">
            <v>0</v>
          </cell>
          <cell r="H16">
            <v>0</v>
          </cell>
          <cell r="I16">
            <v>2</v>
          </cell>
          <cell r="J16">
            <v>15</v>
          </cell>
          <cell r="K16">
            <v>25</v>
          </cell>
          <cell r="L16">
            <v>10</v>
          </cell>
          <cell r="M16">
            <v>5</v>
          </cell>
          <cell r="N16">
            <v>0</v>
          </cell>
          <cell r="O16">
            <v>7</v>
          </cell>
          <cell r="P16">
            <v>23</v>
          </cell>
          <cell r="Q16">
            <v>18</v>
          </cell>
          <cell r="R16">
            <v>0</v>
          </cell>
          <cell r="S16">
            <v>0</v>
          </cell>
          <cell r="T16">
            <v>0</v>
          </cell>
          <cell r="U16">
            <v>20</v>
          </cell>
          <cell r="V16">
            <v>42</v>
          </cell>
          <cell r="W16">
            <v>18</v>
          </cell>
          <cell r="X16">
            <v>14</v>
          </cell>
          <cell r="Y16">
            <v>0</v>
          </cell>
          <cell r="Z16">
            <v>7</v>
          </cell>
          <cell r="AA16">
            <v>0</v>
          </cell>
          <cell r="AB16">
            <v>0</v>
          </cell>
          <cell r="AC16">
            <v>12</v>
          </cell>
          <cell r="AD16">
            <v>0</v>
          </cell>
          <cell r="AE16">
            <v>0</v>
          </cell>
          <cell r="AF16">
            <v>57</v>
          </cell>
          <cell r="AG16">
            <v>3</v>
          </cell>
          <cell r="AH16">
            <v>1</v>
          </cell>
          <cell r="AI16">
            <v>288</v>
          </cell>
          <cell r="AJ16">
            <v>57</v>
          </cell>
          <cell r="AK16">
            <v>19</v>
          </cell>
        </row>
        <row r="17">
          <cell r="A17">
            <v>10</v>
          </cell>
          <cell r="B17" t="str">
            <v>Sukodadi</v>
          </cell>
          <cell r="C17">
            <v>350124020</v>
          </cell>
          <cell r="D17">
            <v>0</v>
          </cell>
          <cell r="E17">
            <v>3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22</v>
          </cell>
          <cell r="K17">
            <v>24</v>
          </cell>
          <cell r="L17">
            <v>1</v>
          </cell>
          <cell r="M17">
            <v>3</v>
          </cell>
          <cell r="N17">
            <v>0</v>
          </cell>
          <cell r="O17">
            <v>14</v>
          </cell>
          <cell r="P17">
            <v>3</v>
          </cell>
          <cell r="Q17">
            <v>3</v>
          </cell>
          <cell r="R17">
            <v>0</v>
          </cell>
          <cell r="S17">
            <v>0</v>
          </cell>
          <cell r="T17">
            <v>0</v>
          </cell>
          <cell r="U17">
            <v>22</v>
          </cell>
          <cell r="V17">
            <v>105</v>
          </cell>
          <cell r="W17">
            <v>58</v>
          </cell>
          <cell r="X17">
            <v>11</v>
          </cell>
          <cell r="Y17">
            <v>1</v>
          </cell>
          <cell r="Z17">
            <v>31</v>
          </cell>
          <cell r="AA17">
            <v>27</v>
          </cell>
          <cell r="AB17">
            <v>0</v>
          </cell>
          <cell r="AC17">
            <v>10</v>
          </cell>
          <cell r="AD17">
            <v>1</v>
          </cell>
          <cell r="AE17">
            <v>0</v>
          </cell>
          <cell r="AF17">
            <v>10</v>
          </cell>
          <cell r="AG17">
            <v>5</v>
          </cell>
          <cell r="AH17">
            <v>6</v>
          </cell>
          <cell r="AI17">
            <v>360</v>
          </cell>
          <cell r="AJ17">
            <v>105</v>
          </cell>
          <cell r="AK17">
            <v>20</v>
          </cell>
        </row>
        <row r="18">
          <cell r="A18">
            <v>11</v>
          </cell>
          <cell r="B18" t="str">
            <v>Pulekidul</v>
          </cell>
          <cell r="C18">
            <v>350124019</v>
          </cell>
          <cell r="D18">
            <v>0</v>
          </cell>
          <cell r="E18">
            <v>21</v>
          </cell>
          <cell r="F18">
            <v>10</v>
          </cell>
          <cell r="G18">
            <v>0</v>
          </cell>
          <cell r="H18">
            <v>15</v>
          </cell>
          <cell r="I18">
            <v>32</v>
          </cell>
          <cell r="J18">
            <v>14</v>
          </cell>
          <cell r="K18">
            <v>45</v>
          </cell>
          <cell r="L18">
            <v>20</v>
          </cell>
          <cell r="M18">
            <v>10</v>
          </cell>
          <cell r="N18">
            <v>0</v>
          </cell>
          <cell r="O18">
            <v>25</v>
          </cell>
          <cell r="P18">
            <v>9</v>
          </cell>
          <cell r="Q18">
            <v>0</v>
          </cell>
          <cell r="R18">
            <v>5</v>
          </cell>
          <cell r="S18">
            <v>0</v>
          </cell>
          <cell r="T18">
            <v>5</v>
          </cell>
          <cell r="U18">
            <v>5</v>
          </cell>
          <cell r="V18">
            <v>10</v>
          </cell>
          <cell r="W18">
            <v>26</v>
          </cell>
          <cell r="X18">
            <v>24</v>
          </cell>
          <cell r="Y18">
            <v>0</v>
          </cell>
          <cell r="Z18">
            <v>16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5</v>
          </cell>
          <cell r="AF18">
            <v>26</v>
          </cell>
          <cell r="AG18">
            <v>28</v>
          </cell>
          <cell r="AH18">
            <v>9</v>
          </cell>
          <cell r="AI18">
            <v>360</v>
          </cell>
          <cell r="AJ18">
            <v>45</v>
          </cell>
          <cell r="AK18">
            <v>21</v>
          </cell>
        </row>
        <row r="19">
          <cell r="A19">
            <v>12</v>
          </cell>
          <cell r="B19" t="str">
            <v>Prijetan</v>
          </cell>
          <cell r="C19">
            <v>350124018</v>
          </cell>
          <cell r="D19">
            <v>0</v>
          </cell>
          <cell r="E19">
            <v>7</v>
          </cell>
          <cell r="F19">
            <v>1</v>
          </cell>
          <cell r="G19">
            <v>0</v>
          </cell>
          <cell r="H19">
            <v>0</v>
          </cell>
          <cell r="I19">
            <v>0</v>
          </cell>
          <cell r="J19">
            <v>2</v>
          </cell>
          <cell r="K19">
            <v>70</v>
          </cell>
          <cell r="L19">
            <v>1</v>
          </cell>
          <cell r="M19">
            <v>39</v>
          </cell>
          <cell r="N19">
            <v>0</v>
          </cell>
          <cell r="O19">
            <v>10</v>
          </cell>
          <cell r="P19">
            <v>25</v>
          </cell>
          <cell r="Q19">
            <v>15</v>
          </cell>
          <cell r="R19">
            <v>0</v>
          </cell>
          <cell r="S19">
            <v>1</v>
          </cell>
          <cell r="T19">
            <v>0</v>
          </cell>
          <cell r="U19">
            <v>1</v>
          </cell>
          <cell r="V19">
            <v>31</v>
          </cell>
          <cell r="W19">
            <v>12</v>
          </cell>
          <cell r="X19">
            <v>34</v>
          </cell>
          <cell r="Y19">
            <v>1</v>
          </cell>
          <cell r="Z19">
            <v>14</v>
          </cell>
          <cell r="AA19">
            <v>11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63</v>
          </cell>
          <cell r="AG19">
            <v>1</v>
          </cell>
          <cell r="AH19">
            <v>3</v>
          </cell>
          <cell r="AI19">
            <v>342</v>
          </cell>
          <cell r="AJ19">
            <v>70</v>
          </cell>
          <cell r="AK19">
            <v>20</v>
          </cell>
        </row>
        <row r="20">
          <cell r="A20">
            <v>13</v>
          </cell>
          <cell r="B20" t="str">
            <v>Pangkatrejo</v>
          </cell>
          <cell r="C20">
            <v>350124017</v>
          </cell>
          <cell r="D20">
            <v>2</v>
          </cell>
          <cell r="E20">
            <v>2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41</v>
          </cell>
          <cell r="K20">
            <v>5</v>
          </cell>
          <cell r="L20">
            <v>0</v>
          </cell>
          <cell r="M20">
            <v>33</v>
          </cell>
          <cell r="N20">
            <v>0</v>
          </cell>
          <cell r="O20">
            <v>48</v>
          </cell>
          <cell r="P20">
            <v>2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33</v>
          </cell>
          <cell r="W20">
            <v>45</v>
          </cell>
          <cell r="X20">
            <v>3</v>
          </cell>
          <cell r="Y20">
            <v>0</v>
          </cell>
          <cell r="Z20">
            <v>16</v>
          </cell>
          <cell r="AA20">
            <v>18</v>
          </cell>
          <cell r="AB20">
            <v>0</v>
          </cell>
          <cell r="AC20">
            <v>0</v>
          </cell>
          <cell r="AD20">
            <v>0</v>
          </cell>
          <cell r="AE20">
            <v>7</v>
          </cell>
          <cell r="AF20">
            <v>0</v>
          </cell>
          <cell r="AG20">
            <v>1</v>
          </cell>
          <cell r="AH20">
            <v>21</v>
          </cell>
          <cell r="AI20">
            <v>277</v>
          </cell>
          <cell r="AJ20">
            <v>48</v>
          </cell>
          <cell r="AK20">
            <v>15</v>
          </cell>
        </row>
        <row r="21">
          <cell r="A21">
            <v>14</v>
          </cell>
          <cell r="B21" t="str">
            <v>Sumberbanjar</v>
          </cell>
          <cell r="C21">
            <v>350124016</v>
          </cell>
          <cell r="D21">
            <v>2</v>
          </cell>
          <cell r="E21">
            <v>24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16</v>
          </cell>
          <cell r="L21">
            <v>3</v>
          </cell>
          <cell r="M21">
            <v>53</v>
          </cell>
          <cell r="N21">
            <v>0</v>
          </cell>
          <cell r="O21">
            <v>33</v>
          </cell>
          <cell r="P21">
            <v>20</v>
          </cell>
          <cell r="Q21">
            <v>3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30</v>
          </cell>
          <cell r="W21">
            <v>33</v>
          </cell>
          <cell r="X21">
            <v>20</v>
          </cell>
          <cell r="Y21">
            <v>2</v>
          </cell>
          <cell r="Z21">
            <v>41</v>
          </cell>
          <cell r="AA21">
            <v>1</v>
          </cell>
          <cell r="AB21">
            <v>0</v>
          </cell>
          <cell r="AC21">
            <v>3</v>
          </cell>
          <cell r="AD21">
            <v>0</v>
          </cell>
          <cell r="AE21">
            <v>12</v>
          </cell>
          <cell r="AF21">
            <v>27</v>
          </cell>
          <cell r="AG21">
            <v>33</v>
          </cell>
          <cell r="AH21">
            <v>13</v>
          </cell>
          <cell r="AI21">
            <v>369</v>
          </cell>
          <cell r="AJ21">
            <v>53</v>
          </cell>
          <cell r="AK21">
            <v>19</v>
          </cell>
        </row>
        <row r="22">
          <cell r="A22">
            <v>15</v>
          </cell>
          <cell r="B22" t="str">
            <v>Lamongan</v>
          </cell>
          <cell r="C22">
            <v>350124015</v>
          </cell>
          <cell r="D22">
            <v>1</v>
          </cell>
          <cell r="E22">
            <v>5</v>
          </cell>
          <cell r="F22">
            <v>2</v>
          </cell>
          <cell r="G22">
            <v>0</v>
          </cell>
          <cell r="H22">
            <v>0</v>
          </cell>
          <cell r="I22">
            <v>12</v>
          </cell>
          <cell r="J22">
            <v>1</v>
          </cell>
          <cell r="K22">
            <v>20</v>
          </cell>
          <cell r="L22">
            <v>25</v>
          </cell>
          <cell r="M22">
            <v>1</v>
          </cell>
          <cell r="N22">
            <v>0</v>
          </cell>
          <cell r="O22">
            <v>7</v>
          </cell>
          <cell r="P22">
            <v>4</v>
          </cell>
          <cell r="Q22">
            <v>27</v>
          </cell>
          <cell r="R22">
            <v>0</v>
          </cell>
          <cell r="S22">
            <v>0</v>
          </cell>
          <cell r="T22">
            <v>0</v>
          </cell>
          <cell r="U22">
            <v>14</v>
          </cell>
          <cell r="V22">
            <v>70</v>
          </cell>
          <cell r="W22">
            <v>57</v>
          </cell>
          <cell r="X22">
            <v>25</v>
          </cell>
          <cell r="Y22">
            <v>0</v>
          </cell>
          <cell r="Z22">
            <v>6</v>
          </cell>
          <cell r="AA22">
            <v>13</v>
          </cell>
          <cell r="AB22">
            <v>0</v>
          </cell>
          <cell r="AC22">
            <v>22</v>
          </cell>
          <cell r="AD22">
            <v>7</v>
          </cell>
          <cell r="AE22">
            <v>1</v>
          </cell>
          <cell r="AF22">
            <v>12</v>
          </cell>
          <cell r="AG22">
            <v>2</v>
          </cell>
          <cell r="AH22">
            <v>1</v>
          </cell>
          <cell r="AI22">
            <v>335</v>
          </cell>
          <cell r="AJ22">
            <v>70</v>
          </cell>
          <cell r="AK22">
            <v>23</v>
          </cell>
        </row>
        <row r="23">
          <cell r="A23">
            <v>16</v>
          </cell>
          <cell r="B23" t="str">
            <v>Kuro</v>
          </cell>
          <cell r="C23">
            <v>350124014</v>
          </cell>
          <cell r="D23">
            <v>1</v>
          </cell>
          <cell r="E23">
            <v>0</v>
          </cell>
          <cell r="F23">
            <v>0</v>
          </cell>
          <cell r="G23">
            <v>7</v>
          </cell>
          <cell r="H23">
            <v>3</v>
          </cell>
          <cell r="I23">
            <v>0</v>
          </cell>
          <cell r="J23">
            <v>2</v>
          </cell>
          <cell r="K23">
            <v>4</v>
          </cell>
          <cell r="L23">
            <v>3</v>
          </cell>
          <cell r="M23">
            <v>0</v>
          </cell>
          <cell r="N23">
            <v>0</v>
          </cell>
          <cell r="O23">
            <v>20</v>
          </cell>
          <cell r="P23">
            <v>2</v>
          </cell>
          <cell r="Q23">
            <v>0</v>
          </cell>
          <cell r="R23">
            <v>0</v>
          </cell>
          <cell r="S23">
            <v>2</v>
          </cell>
          <cell r="T23">
            <v>0</v>
          </cell>
          <cell r="U23">
            <v>3</v>
          </cell>
          <cell r="V23">
            <v>78</v>
          </cell>
          <cell r="W23">
            <v>17</v>
          </cell>
          <cell r="X23">
            <v>14</v>
          </cell>
          <cell r="Y23">
            <v>0</v>
          </cell>
          <cell r="Z23">
            <v>14</v>
          </cell>
          <cell r="AA23">
            <v>19</v>
          </cell>
          <cell r="AB23">
            <v>0</v>
          </cell>
          <cell r="AC23">
            <v>0</v>
          </cell>
          <cell r="AD23">
            <v>0</v>
          </cell>
          <cell r="AE23">
            <v>3</v>
          </cell>
          <cell r="AF23">
            <v>10</v>
          </cell>
          <cell r="AG23">
            <v>2</v>
          </cell>
          <cell r="AH23">
            <v>3</v>
          </cell>
          <cell r="AI23">
            <v>207</v>
          </cell>
          <cell r="AJ23">
            <v>78</v>
          </cell>
          <cell r="AK23">
            <v>19</v>
          </cell>
        </row>
        <row r="24">
          <cell r="A24">
            <v>17</v>
          </cell>
          <cell r="B24" t="str">
            <v>Kr.binangun</v>
          </cell>
          <cell r="C24">
            <v>350124013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</v>
          </cell>
          <cell r="J24">
            <v>0</v>
          </cell>
          <cell r="K24">
            <v>2</v>
          </cell>
          <cell r="L24">
            <v>0</v>
          </cell>
          <cell r="M24">
            <v>6</v>
          </cell>
          <cell r="N24">
            <v>0</v>
          </cell>
          <cell r="O24">
            <v>31</v>
          </cell>
          <cell r="P24">
            <v>2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2</v>
          </cell>
          <cell r="V24">
            <v>102</v>
          </cell>
          <cell r="W24">
            <v>31</v>
          </cell>
          <cell r="X24">
            <v>2</v>
          </cell>
          <cell r="Y24">
            <v>0</v>
          </cell>
          <cell r="Z24">
            <v>23</v>
          </cell>
          <cell r="AA24">
            <v>27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10</v>
          </cell>
          <cell r="AG24">
            <v>0</v>
          </cell>
          <cell r="AH24">
            <v>10</v>
          </cell>
          <cell r="AI24">
            <v>250</v>
          </cell>
          <cell r="AJ24">
            <v>102</v>
          </cell>
          <cell r="AK24">
            <v>13</v>
          </cell>
        </row>
        <row r="25">
          <cell r="A25">
            <v>18</v>
          </cell>
          <cell r="B25" t="str">
            <v>Kembangbahu</v>
          </cell>
          <cell r="C25">
            <v>350124012</v>
          </cell>
          <cell r="D25">
            <v>0</v>
          </cell>
          <cell r="E25">
            <v>8</v>
          </cell>
          <cell r="F25">
            <v>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48</v>
          </cell>
          <cell r="L25">
            <v>8</v>
          </cell>
          <cell r="M25">
            <v>13</v>
          </cell>
          <cell r="N25">
            <v>0</v>
          </cell>
          <cell r="O25">
            <v>7</v>
          </cell>
          <cell r="P25">
            <v>41</v>
          </cell>
          <cell r="Q25">
            <v>18</v>
          </cell>
          <cell r="R25">
            <v>0</v>
          </cell>
          <cell r="S25">
            <v>0</v>
          </cell>
          <cell r="T25">
            <v>0</v>
          </cell>
          <cell r="U25">
            <v>13</v>
          </cell>
          <cell r="V25">
            <v>44</v>
          </cell>
          <cell r="W25">
            <v>19</v>
          </cell>
          <cell r="X25">
            <v>12</v>
          </cell>
          <cell r="Y25">
            <v>0</v>
          </cell>
          <cell r="Z25">
            <v>8</v>
          </cell>
          <cell r="AA25">
            <v>21</v>
          </cell>
          <cell r="AB25">
            <v>0</v>
          </cell>
          <cell r="AC25">
            <v>23</v>
          </cell>
          <cell r="AD25">
            <v>0</v>
          </cell>
          <cell r="AE25">
            <v>0</v>
          </cell>
          <cell r="AF25">
            <v>98</v>
          </cell>
          <cell r="AG25">
            <v>4</v>
          </cell>
          <cell r="AH25">
            <v>4</v>
          </cell>
          <cell r="AI25">
            <v>391</v>
          </cell>
          <cell r="AJ25">
            <v>98</v>
          </cell>
          <cell r="AK25">
            <v>18</v>
          </cell>
        </row>
        <row r="26">
          <cell r="A26">
            <v>19</v>
          </cell>
          <cell r="B26" t="str">
            <v>Kedungpring</v>
          </cell>
          <cell r="C26">
            <v>350124011</v>
          </cell>
          <cell r="D26">
            <v>0</v>
          </cell>
          <cell r="E26">
            <v>3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</v>
          </cell>
          <cell r="K26">
            <v>50</v>
          </cell>
          <cell r="L26">
            <v>0</v>
          </cell>
          <cell r="M26">
            <v>30</v>
          </cell>
          <cell r="N26">
            <v>0</v>
          </cell>
          <cell r="O26">
            <v>10</v>
          </cell>
          <cell r="P26">
            <v>21</v>
          </cell>
          <cell r="Q26">
            <v>13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58</v>
          </cell>
          <cell r="W26">
            <v>28</v>
          </cell>
          <cell r="X26">
            <v>7</v>
          </cell>
          <cell r="Y26">
            <v>0</v>
          </cell>
          <cell r="Z26">
            <v>21</v>
          </cell>
          <cell r="AA26">
            <v>18</v>
          </cell>
          <cell r="AB26">
            <v>0</v>
          </cell>
          <cell r="AC26">
            <v>4</v>
          </cell>
          <cell r="AD26">
            <v>0</v>
          </cell>
          <cell r="AE26">
            <v>0</v>
          </cell>
          <cell r="AF26">
            <v>60</v>
          </cell>
          <cell r="AG26">
            <v>3</v>
          </cell>
          <cell r="AH26">
            <v>0</v>
          </cell>
          <cell r="AI26">
            <v>328</v>
          </cell>
          <cell r="AJ26">
            <v>60</v>
          </cell>
          <cell r="AK26">
            <v>15</v>
          </cell>
        </row>
        <row r="27">
          <cell r="A27">
            <v>20</v>
          </cell>
          <cell r="B27" t="str">
            <v>Karanggeneng</v>
          </cell>
          <cell r="C27">
            <v>350124010</v>
          </cell>
          <cell r="D27">
            <v>6</v>
          </cell>
          <cell r="E27">
            <v>3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24</v>
          </cell>
          <cell r="K27">
            <v>15</v>
          </cell>
          <cell r="L27">
            <v>0</v>
          </cell>
          <cell r="M27">
            <v>11</v>
          </cell>
          <cell r="N27">
            <v>0</v>
          </cell>
          <cell r="O27">
            <v>50</v>
          </cell>
          <cell r="P27">
            <v>4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0</v>
          </cell>
          <cell r="V27">
            <v>47</v>
          </cell>
          <cell r="W27">
            <v>63</v>
          </cell>
          <cell r="X27">
            <v>10</v>
          </cell>
          <cell r="Y27">
            <v>0</v>
          </cell>
          <cell r="Z27">
            <v>24</v>
          </cell>
          <cell r="AA27">
            <v>11</v>
          </cell>
          <cell r="AB27">
            <v>0</v>
          </cell>
          <cell r="AC27">
            <v>0</v>
          </cell>
          <cell r="AD27">
            <v>0</v>
          </cell>
          <cell r="AE27">
            <v>15</v>
          </cell>
          <cell r="AF27">
            <v>37</v>
          </cell>
          <cell r="AG27">
            <v>2</v>
          </cell>
          <cell r="AH27">
            <v>28</v>
          </cell>
          <cell r="AI27">
            <v>351</v>
          </cell>
          <cell r="AJ27">
            <v>63</v>
          </cell>
          <cell r="AK27">
            <v>17</v>
          </cell>
        </row>
        <row r="28">
          <cell r="A28">
            <v>21</v>
          </cell>
          <cell r="B28" t="str">
            <v>Jabung</v>
          </cell>
          <cell r="C28">
            <v>350124009</v>
          </cell>
          <cell r="D28">
            <v>1</v>
          </cell>
          <cell r="E28">
            <v>1</v>
          </cell>
          <cell r="F28">
            <v>2</v>
          </cell>
          <cell r="G28">
            <v>0</v>
          </cell>
          <cell r="H28">
            <v>0</v>
          </cell>
          <cell r="I28">
            <v>0</v>
          </cell>
          <cell r="J28">
            <v>53</v>
          </cell>
          <cell r="K28">
            <v>14</v>
          </cell>
          <cell r="L28">
            <v>0</v>
          </cell>
          <cell r="M28">
            <v>7</v>
          </cell>
          <cell r="N28">
            <v>0</v>
          </cell>
          <cell r="O28">
            <v>58</v>
          </cell>
          <cell r="P28">
            <v>1</v>
          </cell>
          <cell r="Q28">
            <v>0</v>
          </cell>
          <cell r="R28">
            <v>0</v>
          </cell>
          <cell r="S28">
            <v>4</v>
          </cell>
          <cell r="T28">
            <v>0</v>
          </cell>
          <cell r="U28">
            <v>0</v>
          </cell>
          <cell r="V28">
            <v>46</v>
          </cell>
          <cell r="W28">
            <v>40</v>
          </cell>
          <cell r="X28">
            <v>8</v>
          </cell>
          <cell r="Y28">
            <v>0</v>
          </cell>
          <cell r="Z28">
            <v>27</v>
          </cell>
          <cell r="AA28">
            <v>7</v>
          </cell>
          <cell r="AB28">
            <v>0</v>
          </cell>
          <cell r="AC28">
            <v>0</v>
          </cell>
          <cell r="AD28">
            <v>4</v>
          </cell>
          <cell r="AE28">
            <v>2</v>
          </cell>
          <cell r="AF28">
            <v>0</v>
          </cell>
          <cell r="AG28">
            <v>0</v>
          </cell>
          <cell r="AH28">
            <v>2</v>
          </cell>
          <cell r="AI28">
            <v>277</v>
          </cell>
          <cell r="AJ28">
            <v>58</v>
          </cell>
          <cell r="AK28">
            <v>17</v>
          </cell>
        </row>
        <row r="29">
          <cell r="A29">
            <v>22</v>
          </cell>
          <cell r="B29" t="str">
            <v>Gondang Sugio</v>
          </cell>
          <cell r="C29">
            <v>350124008</v>
          </cell>
          <cell r="D29">
            <v>0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56</v>
          </cell>
          <cell r="L29">
            <v>0</v>
          </cell>
          <cell r="M29">
            <v>28</v>
          </cell>
          <cell r="N29">
            <v>0</v>
          </cell>
          <cell r="O29">
            <v>6</v>
          </cell>
          <cell r="P29">
            <v>27</v>
          </cell>
          <cell r="Q29">
            <v>7</v>
          </cell>
          <cell r="R29">
            <v>0</v>
          </cell>
          <cell r="S29">
            <v>0</v>
          </cell>
          <cell r="T29">
            <v>0</v>
          </cell>
          <cell r="U29">
            <v>1</v>
          </cell>
          <cell r="V29">
            <v>37</v>
          </cell>
          <cell r="W29">
            <v>10</v>
          </cell>
          <cell r="X29">
            <v>14</v>
          </cell>
          <cell r="Y29">
            <v>0</v>
          </cell>
          <cell r="Z29">
            <v>11</v>
          </cell>
          <cell r="AA29">
            <v>19</v>
          </cell>
          <cell r="AB29">
            <v>0</v>
          </cell>
          <cell r="AC29">
            <v>3</v>
          </cell>
          <cell r="AD29">
            <v>0</v>
          </cell>
          <cell r="AE29">
            <v>0</v>
          </cell>
          <cell r="AF29">
            <v>94</v>
          </cell>
          <cell r="AG29">
            <v>1</v>
          </cell>
          <cell r="AH29">
            <v>1</v>
          </cell>
          <cell r="AI29">
            <v>316</v>
          </cell>
          <cell r="AJ29">
            <v>94</v>
          </cell>
          <cell r="AK29">
            <v>16</v>
          </cell>
        </row>
        <row r="30">
          <cell r="A30">
            <v>23</v>
          </cell>
          <cell r="B30" t="str">
            <v>Girik / Baru</v>
          </cell>
          <cell r="C30">
            <v>350124007</v>
          </cell>
          <cell r="D30">
            <v>0</v>
          </cell>
          <cell r="E30">
            <v>6</v>
          </cell>
          <cell r="F30">
            <v>0</v>
          </cell>
          <cell r="G30">
            <v>0</v>
          </cell>
          <cell r="H30">
            <v>24</v>
          </cell>
          <cell r="I30">
            <v>0</v>
          </cell>
          <cell r="J30">
            <v>0</v>
          </cell>
          <cell r="K30">
            <v>73</v>
          </cell>
          <cell r="L30">
            <v>2</v>
          </cell>
          <cell r="M30">
            <v>64</v>
          </cell>
          <cell r="N30">
            <v>1</v>
          </cell>
          <cell r="O30">
            <v>13</v>
          </cell>
          <cell r="P30">
            <v>10</v>
          </cell>
          <cell r="Q30">
            <v>4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52</v>
          </cell>
          <cell r="W30">
            <v>17</v>
          </cell>
          <cell r="X30">
            <v>56</v>
          </cell>
          <cell r="Y30">
            <v>1</v>
          </cell>
          <cell r="Z30">
            <v>2</v>
          </cell>
          <cell r="AA30">
            <v>14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25</v>
          </cell>
          <cell r="AG30">
            <v>2</v>
          </cell>
          <cell r="AH30">
            <v>1</v>
          </cell>
          <cell r="AI30">
            <v>367</v>
          </cell>
          <cell r="AJ30">
            <v>73</v>
          </cell>
          <cell r="AK30">
            <v>18</v>
          </cell>
        </row>
        <row r="31">
          <cell r="A31">
            <v>24</v>
          </cell>
          <cell r="B31" t="str">
            <v>Cungkup</v>
          </cell>
          <cell r="C31">
            <v>350124006</v>
          </cell>
          <cell r="D31">
            <v>5</v>
          </cell>
          <cell r="E31">
            <v>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44</v>
          </cell>
          <cell r="K31">
            <v>28</v>
          </cell>
          <cell r="L31">
            <v>1</v>
          </cell>
          <cell r="M31">
            <v>6</v>
          </cell>
          <cell r="N31">
            <v>0</v>
          </cell>
          <cell r="O31">
            <v>16</v>
          </cell>
          <cell r="P31">
            <v>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10</v>
          </cell>
          <cell r="V31">
            <v>97</v>
          </cell>
          <cell r="W31">
            <v>72</v>
          </cell>
          <cell r="X31">
            <v>10</v>
          </cell>
          <cell r="Y31">
            <v>0</v>
          </cell>
          <cell r="Z31">
            <v>34</v>
          </cell>
          <cell r="AA31">
            <v>26</v>
          </cell>
          <cell r="AB31">
            <v>0</v>
          </cell>
          <cell r="AC31">
            <v>0</v>
          </cell>
          <cell r="AD31">
            <v>8</v>
          </cell>
          <cell r="AE31">
            <v>0</v>
          </cell>
          <cell r="AF31">
            <v>19</v>
          </cell>
          <cell r="AG31">
            <v>6</v>
          </cell>
          <cell r="AH31">
            <v>2</v>
          </cell>
          <cell r="AI31">
            <v>394</v>
          </cell>
          <cell r="AJ31">
            <v>97</v>
          </cell>
          <cell r="AK31">
            <v>18</v>
          </cell>
        </row>
        <row r="32">
          <cell r="A32">
            <v>25</v>
          </cell>
          <cell r="B32" t="str">
            <v>Brondong</v>
          </cell>
          <cell r="C32">
            <v>350124005</v>
          </cell>
          <cell r="D32">
            <v>5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35</v>
          </cell>
          <cell r="K32">
            <v>12</v>
          </cell>
          <cell r="L32">
            <v>0</v>
          </cell>
          <cell r="M32">
            <v>0</v>
          </cell>
          <cell r="N32">
            <v>0</v>
          </cell>
          <cell r="O32">
            <v>48</v>
          </cell>
          <cell r="P32">
            <v>8</v>
          </cell>
          <cell r="Q32">
            <v>0</v>
          </cell>
          <cell r="R32">
            <v>0</v>
          </cell>
          <cell r="S32">
            <v>5</v>
          </cell>
          <cell r="T32">
            <v>0</v>
          </cell>
          <cell r="U32">
            <v>0</v>
          </cell>
          <cell r="V32">
            <v>53</v>
          </cell>
          <cell r="W32">
            <v>36</v>
          </cell>
          <cell r="X32">
            <v>21</v>
          </cell>
          <cell r="Y32">
            <v>0</v>
          </cell>
          <cell r="Z32">
            <v>12</v>
          </cell>
          <cell r="AA32">
            <v>10</v>
          </cell>
          <cell r="AB32">
            <v>0</v>
          </cell>
          <cell r="AC32">
            <v>0</v>
          </cell>
          <cell r="AD32">
            <v>6</v>
          </cell>
          <cell r="AE32">
            <v>0</v>
          </cell>
          <cell r="AF32">
            <v>0</v>
          </cell>
          <cell r="AG32">
            <v>0</v>
          </cell>
          <cell r="AH32">
            <v>8</v>
          </cell>
          <cell r="AI32">
            <v>259</v>
          </cell>
          <cell r="AJ32">
            <v>53</v>
          </cell>
          <cell r="AK32">
            <v>13</v>
          </cell>
        </row>
        <row r="33">
          <cell r="A33">
            <v>26</v>
          </cell>
          <cell r="B33" t="str">
            <v>Bluri</v>
          </cell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36</v>
          </cell>
          <cell r="K33">
            <v>7</v>
          </cell>
          <cell r="L33">
            <v>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43</v>
          </cell>
          <cell r="W33">
            <v>6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3</v>
          </cell>
          <cell r="AG33">
            <v>2</v>
          </cell>
          <cell r="AH33">
            <v>19</v>
          </cell>
          <cell r="AI33">
            <v>118</v>
          </cell>
          <cell r="AJ33">
            <v>43</v>
          </cell>
          <cell r="AK33">
            <v>8</v>
          </cell>
        </row>
        <row r="34">
          <cell r="A34">
            <v>27</v>
          </cell>
          <cell r="B34" t="str">
            <v>Bluluk</v>
          </cell>
          <cell r="C34">
            <v>350124003</v>
          </cell>
          <cell r="D34">
            <v>6</v>
          </cell>
          <cell r="E34">
            <v>7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76</v>
          </cell>
          <cell r="L34">
            <v>5</v>
          </cell>
          <cell r="M34">
            <v>30</v>
          </cell>
          <cell r="N34">
            <v>3</v>
          </cell>
          <cell r="O34">
            <v>12</v>
          </cell>
          <cell r="P34">
            <v>27</v>
          </cell>
          <cell r="Q34">
            <v>15</v>
          </cell>
          <cell r="R34">
            <v>3</v>
          </cell>
          <cell r="S34">
            <v>0</v>
          </cell>
          <cell r="T34">
            <v>0</v>
          </cell>
          <cell r="U34">
            <v>0</v>
          </cell>
          <cell r="V34">
            <v>72</v>
          </cell>
          <cell r="W34">
            <v>13</v>
          </cell>
          <cell r="X34">
            <v>13</v>
          </cell>
          <cell r="Y34">
            <v>2</v>
          </cell>
          <cell r="Z34">
            <v>11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19</v>
          </cell>
          <cell r="AG34">
            <v>6</v>
          </cell>
          <cell r="AH34">
            <v>6</v>
          </cell>
          <cell r="AI34">
            <v>326</v>
          </cell>
          <cell r="AJ34">
            <v>76</v>
          </cell>
          <cell r="AK34">
            <v>18</v>
          </cell>
        </row>
        <row r="35">
          <cell r="A35">
            <v>28</v>
          </cell>
          <cell r="B35" t="str">
            <v>Blawi</v>
          </cell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2</v>
          </cell>
          <cell r="J35">
            <v>0</v>
          </cell>
          <cell r="K35">
            <v>9</v>
          </cell>
          <cell r="L35">
            <v>3</v>
          </cell>
          <cell r="M35">
            <v>3</v>
          </cell>
          <cell r="N35">
            <v>0</v>
          </cell>
          <cell r="O35">
            <v>25</v>
          </cell>
          <cell r="P35">
            <v>5</v>
          </cell>
          <cell r="Q35">
            <v>0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61</v>
          </cell>
          <cell r="W35">
            <v>35</v>
          </cell>
          <cell r="X35">
            <v>18</v>
          </cell>
          <cell r="Y35">
            <v>0</v>
          </cell>
          <cell r="Z35">
            <v>33</v>
          </cell>
          <cell r="AA35">
            <v>34</v>
          </cell>
          <cell r="AB35">
            <v>0</v>
          </cell>
          <cell r="AC35">
            <v>0</v>
          </cell>
          <cell r="AD35">
            <v>8</v>
          </cell>
          <cell r="AE35">
            <v>0</v>
          </cell>
          <cell r="AF35">
            <v>17</v>
          </cell>
          <cell r="AG35">
            <v>2</v>
          </cell>
          <cell r="AH35">
            <v>6</v>
          </cell>
          <cell r="AI35">
            <v>263</v>
          </cell>
          <cell r="AJ35">
            <v>61</v>
          </cell>
          <cell r="AK35">
            <v>17</v>
          </cell>
        </row>
        <row r="36">
          <cell r="A36">
            <v>29</v>
          </cell>
          <cell r="B36" t="str">
            <v>Babat</v>
          </cell>
          <cell r="C36">
            <v>350124001</v>
          </cell>
          <cell r="D36">
            <v>1</v>
          </cell>
          <cell r="E36">
            <v>3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20</v>
          </cell>
          <cell r="K36">
            <v>33</v>
          </cell>
          <cell r="L36">
            <v>0</v>
          </cell>
          <cell r="M36">
            <v>9</v>
          </cell>
          <cell r="N36">
            <v>0</v>
          </cell>
          <cell r="O36">
            <v>12</v>
          </cell>
          <cell r="P36">
            <v>30</v>
          </cell>
          <cell r="Q36">
            <v>25</v>
          </cell>
          <cell r="R36">
            <v>0</v>
          </cell>
          <cell r="S36">
            <v>1</v>
          </cell>
          <cell r="T36">
            <v>5</v>
          </cell>
          <cell r="U36">
            <v>14</v>
          </cell>
          <cell r="V36">
            <v>65</v>
          </cell>
          <cell r="W36">
            <v>31</v>
          </cell>
          <cell r="X36">
            <v>10</v>
          </cell>
          <cell r="Y36">
            <v>3</v>
          </cell>
          <cell r="Z36">
            <v>52</v>
          </cell>
          <cell r="AA36">
            <v>2</v>
          </cell>
          <cell r="AB36">
            <v>0</v>
          </cell>
          <cell r="AC36">
            <v>0</v>
          </cell>
          <cell r="AD36">
            <v>3</v>
          </cell>
          <cell r="AE36">
            <v>0</v>
          </cell>
          <cell r="AF36">
            <v>27</v>
          </cell>
          <cell r="AG36">
            <v>3</v>
          </cell>
          <cell r="AH36">
            <v>3</v>
          </cell>
          <cell r="AI36">
            <v>352</v>
          </cell>
          <cell r="AJ36">
            <v>65</v>
          </cell>
          <cell r="AK36">
            <v>21</v>
          </cell>
        </row>
        <row r="37">
          <cell r="A37">
            <v>30</v>
          </cell>
          <cell r="B37" t="str">
            <v>Sumuragung</v>
          </cell>
          <cell r="C37">
            <v>350123037</v>
          </cell>
          <cell r="D37">
            <v>1</v>
          </cell>
          <cell r="E37">
            <v>1</v>
          </cell>
          <cell r="F37">
            <v>5</v>
          </cell>
          <cell r="G37">
            <v>0</v>
          </cell>
          <cell r="H37">
            <v>0</v>
          </cell>
          <cell r="I37">
            <v>0</v>
          </cell>
          <cell r="J37">
            <v>24</v>
          </cell>
          <cell r="K37">
            <v>2</v>
          </cell>
          <cell r="L37">
            <v>0</v>
          </cell>
          <cell r="M37">
            <v>10</v>
          </cell>
          <cell r="N37">
            <v>0</v>
          </cell>
          <cell r="O37">
            <v>5</v>
          </cell>
          <cell r="P37">
            <v>7</v>
          </cell>
          <cell r="Q37">
            <v>3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5</v>
          </cell>
          <cell r="W37">
            <v>11</v>
          </cell>
          <cell r="X37">
            <v>2</v>
          </cell>
          <cell r="Y37">
            <v>1</v>
          </cell>
          <cell r="Z37">
            <v>2</v>
          </cell>
          <cell r="AA37">
            <v>0</v>
          </cell>
          <cell r="AB37">
            <v>0</v>
          </cell>
          <cell r="AC37">
            <v>0</v>
          </cell>
          <cell r="AD37">
            <v>2</v>
          </cell>
          <cell r="AE37">
            <v>0</v>
          </cell>
          <cell r="AF37">
            <v>0</v>
          </cell>
          <cell r="AG37">
            <v>0</v>
          </cell>
          <cell r="AH37">
            <v>1</v>
          </cell>
          <cell r="AI37">
            <v>82</v>
          </cell>
          <cell r="AJ37">
            <v>24</v>
          </cell>
          <cell r="AK37">
            <v>16</v>
          </cell>
        </row>
        <row r="38">
          <cell r="A38">
            <v>31</v>
          </cell>
          <cell r="B38" t="str">
            <v>Tahulu</v>
          </cell>
          <cell r="C38">
            <v>350123036</v>
          </cell>
          <cell r="D38">
            <v>6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45</v>
          </cell>
          <cell r="K38">
            <v>9</v>
          </cell>
          <cell r="L38">
            <v>0</v>
          </cell>
          <cell r="M38">
            <v>2</v>
          </cell>
          <cell r="N38">
            <v>0</v>
          </cell>
          <cell r="O38">
            <v>3</v>
          </cell>
          <cell r="P38">
            <v>11</v>
          </cell>
          <cell r="Q38">
            <v>2</v>
          </cell>
          <cell r="R38">
            <v>0</v>
          </cell>
          <cell r="S38">
            <v>0</v>
          </cell>
          <cell r="T38">
            <v>0</v>
          </cell>
          <cell r="U38">
            <v>6</v>
          </cell>
          <cell r="V38">
            <v>16</v>
          </cell>
          <cell r="W38">
            <v>6</v>
          </cell>
          <cell r="X38">
            <v>6</v>
          </cell>
          <cell r="Y38">
            <v>3</v>
          </cell>
          <cell r="Z38">
            <v>4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19</v>
          </cell>
          <cell r="AF38">
            <v>5</v>
          </cell>
          <cell r="AG38">
            <v>0</v>
          </cell>
          <cell r="AH38">
            <v>4</v>
          </cell>
          <cell r="AI38">
            <v>148</v>
          </cell>
          <cell r="AJ38">
            <v>45</v>
          </cell>
          <cell r="AK38">
            <v>17</v>
          </cell>
        </row>
        <row r="39">
          <cell r="A39">
            <v>32</v>
          </cell>
          <cell r="B39" t="str">
            <v>Wukirharjo</v>
          </cell>
          <cell r="C39">
            <v>350123035</v>
          </cell>
          <cell r="D39">
            <v>0</v>
          </cell>
          <cell r="E39">
            <v>20</v>
          </cell>
          <cell r="F39">
            <v>55</v>
          </cell>
          <cell r="G39">
            <v>0</v>
          </cell>
          <cell r="H39">
            <v>0</v>
          </cell>
          <cell r="I39">
            <v>0</v>
          </cell>
          <cell r="J39">
            <v>15</v>
          </cell>
          <cell r="K39">
            <v>20</v>
          </cell>
          <cell r="L39">
            <v>0</v>
          </cell>
          <cell r="M39">
            <v>18</v>
          </cell>
          <cell r="N39">
            <v>17</v>
          </cell>
          <cell r="O39">
            <v>3</v>
          </cell>
          <cell r="P39">
            <v>7</v>
          </cell>
          <cell r="Q39">
            <v>5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10</v>
          </cell>
          <cell r="W39">
            <v>20</v>
          </cell>
          <cell r="X39">
            <v>8</v>
          </cell>
          <cell r="Y39">
            <v>0</v>
          </cell>
          <cell r="Z39">
            <v>10</v>
          </cell>
          <cell r="AA39">
            <v>0</v>
          </cell>
          <cell r="AB39">
            <v>0</v>
          </cell>
          <cell r="AC39">
            <v>1</v>
          </cell>
          <cell r="AD39">
            <v>4</v>
          </cell>
          <cell r="AE39">
            <v>0</v>
          </cell>
          <cell r="AF39">
            <v>0</v>
          </cell>
          <cell r="AG39">
            <v>0</v>
          </cell>
          <cell r="AH39">
            <v>3</v>
          </cell>
          <cell r="AI39">
            <v>216</v>
          </cell>
          <cell r="AJ39">
            <v>55</v>
          </cell>
          <cell r="AK39">
            <v>16</v>
          </cell>
        </row>
        <row r="40">
          <cell r="A40">
            <v>33</v>
          </cell>
          <cell r="B40" t="str">
            <v>Ngimbang Tuban</v>
          </cell>
          <cell r="C40">
            <v>350123034</v>
          </cell>
          <cell r="D40">
            <v>3</v>
          </cell>
          <cell r="E40">
            <v>1</v>
          </cell>
          <cell r="F40">
            <v>0</v>
          </cell>
          <cell r="G40">
            <v>0</v>
          </cell>
          <cell r="H40">
            <v>20</v>
          </cell>
          <cell r="I40">
            <v>0</v>
          </cell>
          <cell r="J40">
            <v>11</v>
          </cell>
          <cell r="K40">
            <v>5</v>
          </cell>
          <cell r="L40">
            <v>0</v>
          </cell>
          <cell r="M40">
            <v>16</v>
          </cell>
          <cell r="N40">
            <v>0</v>
          </cell>
          <cell r="O40">
            <v>5</v>
          </cell>
          <cell r="P40">
            <v>4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19</v>
          </cell>
          <cell r="W40">
            <v>12</v>
          </cell>
          <cell r="X40">
            <v>2</v>
          </cell>
          <cell r="Y40">
            <v>0</v>
          </cell>
          <cell r="Z40">
            <v>4</v>
          </cell>
          <cell r="AA40">
            <v>0</v>
          </cell>
          <cell r="AB40">
            <v>0</v>
          </cell>
          <cell r="AC40">
            <v>1</v>
          </cell>
          <cell r="AD40">
            <v>2</v>
          </cell>
          <cell r="AE40">
            <v>3</v>
          </cell>
          <cell r="AF40">
            <v>0</v>
          </cell>
          <cell r="AG40">
            <v>0</v>
          </cell>
          <cell r="AH40">
            <v>19</v>
          </cell>
          <cell r="AI40">
            <v>127</v>
          </cell>
          <cell r="AJ40">
            <v>20</v>
          </cell>
          <cell r="AK40">
            <v>16</v>
          </cell>
        </row>
        <row r="41">
          <cell r="A41">
            <v>34</v>
          </cell>
          <cell r="B41" t="str">
            <v>Dermawuharjo</v>
          </cell>
          <cell r="C41">
            <v>350123033</v>
          </cell>
          <cell r="D41">
            <v>0</v>
          </cell>
          <cell r="E41">
            <v>24</v>
          </cell>
          <cell r="F41">
            <v>6</v>
          </cell>
          <cell r="G41">
            <v>0</v>
          </cell>
          <cell r="H41">
            <v>0</v>
          </cell>
          <cell r="I41">
            <v>0</v>
          </cell>
          <cell r="J41">
            <v>41</v>
          </cell>
          <cell r="K41">
            <v>2.5</v>
          </cell>
          <cell r="L41">
            <v>10</v>
          </cell>
          <cell r="M41">
            <v>10</v>
          </cell>
          <cell r="N41">
            <v>3.5</v>
          </cell>
          <cell r="O41">
            <v>5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</v>
          </cell>
          <cell r="W41">
            <v>6</v>
          </cell>
          <cell r="X41">
            <v>0</v>
          </cell>
          <cell r="Y41">
            <v>8.5</v>
          </cell>
          <cell r="Z41">
            <v>7.5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6.5</v>
          </cell>
          <cell r="AI41">
            <v>160.5</v>
          </cell>
          <cell r="AJ41">
            <v>41</v>
          </cell>
          <cell r="AK41">
            <v>13</v>
          </cell>
        </row>
        <row r="42">
          <cell r="A42">
            <v>35</v>
          </cell>
          <cell r="B42" t="str">
            <v>Sugihwaras</v>
          </cell>
          <cell r="C42">
            <v>350123032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34</v>
          </cell>
          <cell r="K42">
            <v>34</v>
          </cell>
          <cell r="L42">
            <v>0</v>
          </cell>
          <cell r="M42">
            <v>0</v>
          </cell>
          <cell r="N42">
            <v>0</v>
          </cell>
          <cell r="O42">
            <v>7</v>
          </cell>
          <cell r="P42">
            <v>5</v>
          </cell>
          <cell r="Q42">
            <v>8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</v>
          </cell>
          <cell r="W42">
            <v>7</v>
          </cell>
          <cell r="X42">
            <v>18</v>
          </cell>
          <cell r="Y42">
            <v>0</v>
          </cell>
          <cell r="Z42">
            <v>21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6</v>
          </cell>
          <cell r="AG42">
            <v>0</v>
          </cell>
          <cell r="AH42">
            <v>0</v>
          </cell>
          <cell r="AI42">
            <v>144</v>
          </cell>
          <cell r="AJ42">
            <v>34</v>
          </cell>
          <cell r="AK42">
            <v>10</v>
          </cell>
        </row>
        <row r="43">
          <cell r="A43">
            <v>36</v>
          </cell>
          <cell r="B43" t="str">
            <v>Widang</v>
          </cell>
          <cell r="C43">
            <v>350123031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43</v>
          </cell>
          <cell r="K43">
            <v>16</v>
          </cell>
          <cell r="L43">
            <v>0</v>
          </cell>
          <cell r="M43">
            <v>3</v>
          </cell>
          <cell r="N43">
            <v>0</v>
          </cell>
          <cell r="O43">
            <v>0</v>
          </cell>
          <cell r="P43">
            <v>5</v>
          </cell>
          <cell r="Q43">
            <v>10</v>
          </cell>
          <cell r="R43">
            <v>0</v>
          </cell>
          <cell r="S43">
            <v>0</v>
          </cell>
          <cell r="T43">
            <v>21</v>
          </cell>
          <cell r="U43">
            <v>20</v>
          </cell>
          <cell r="V43">
            <v>66</v>
          </cell>
          <cell r="W43">
            <v>38</v>
          </cell>
          <cell r="X43">
            <v>9</v>
          </cell>
          <cell r="Y43">
            <v>2</v>
          </cell>
          <cell r="Z43">
            <v>40</v>
          </cell>
          <cell r="AA43">
            <v>7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35</v>
          </cell>
          <cell r="AG43">
            <v>5</v>
          </cell>
          <cell r="AH43">
            <v>2</v>
          </cell>
          <cell r="AI43">
            <v>322</v>
          </cell>
          <cell r="AJ43">
            <v>66</v>
          </cell>
          <cell r="AK43">
            <v>16</v>
          </cell>
        </row>
        <row r="44">
          <cell r="A44">
            <v>37</v>
          </cell>
          <cell r="B44" t="str">
            <v>Tuwiwiyan</v>
          </cell>
          <cell r="C44">
            <v>350123030</v>
          </cell>
          <cell r="D44">
            <v>33</v>
          </cell>
          <cell r="E44">
            <v>0</v>
          </cell>
          <cell r="F44">
            <v>11</v>
          </cell>
          <cell r="G44">
            <v>0</v>
          </cell>
          <cell r="H44">
            <v>0</v>
          </cell>
          <cell r="I44">
            <v>0</v>
          </cell>
          <cell r="J44">
            <v>7</v>
          </cell>
          <cell r="K44">
            <v>8</v>
          </cell>
          <cell r="L44">
            <v>0</v>
          </cell>
          <cell r="M44">
            <v>11</v>
          </cell>
          <cell r="N44">
            <v>0</v>
          </cell>
          <cell r="O44">
            <v>1</v>
          </cell>
          <cell r="P44">
            <v>11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16</v>
          </cell>
          <cell r="W44">
            <v>4</v>
          </cell>
          <cell r="X44">
            <v>0</v>
          </cell>
          <cell r="Y44">
            <v>12</v>
          </cell>
          <cell r="Z44">
            <v>5</v>
          </cell>
          <cell r="AA44">
            <v>2</v>
          </cell>
          <cell r="AB44">
            <v>0</v>
          </cell>
          <cell r="AC44">
            <v>2</v>
          </cell>
          <cell r="AD44">
            <v>4</v>
          </cell>
          <cell r="AE44">
            <v>1</v>
          </cell>
          <cell r="AF44">
            <v>6</v>
          </cell>
          <cell r="AG44">
            <v>0</v>
          </cell>
          <cell r="AH44">
            <v>16</v>
          </cell>
          <cell r="AI44">
            <v>150</v>
          </cell>
          <cell r="AJ44">
            <v>33</v>
          </cell>
          <cell r="AK44">
            <v>17</v>
          </cell>
        </row>
        <row r="45">
          <cell r="A45">
            <v>38</v>
          </cell>
          <cell r="B45" t="str">
            <v>Tuban</v>
          </cell>
          <cell r="C45">
            <v>350123029</v>
          </cell>
          <cell r="D45">
            <v>3</v>
          </cell>
          <cell r="E45">
            <v>0</v>
          </cell>
          <cell r="F45">
            <v>17</v>
          </cell>
          <cell r="G45">
            <v>0</v>
          </cell>
          <cell r="H45">
            <v>21</v>
          </cell>
          <cell r="I45">
            <v>0</v>
          </cell>
          <cell r="J45">
            <v>4</v>
          </cell>
          <cell r="K45">
            <v>4</v>
          </cell>
          <cell r="L45">
            <v>0</v>
          </cell>
          <cell r="M45">
            <v>2</v>
          </cell>
          <cell r="N45">
            <v>0</v>
          </cell>
          <cell r="O45">
            <v>23</v>
          </cell>
          <cell r="P45">
            <v>5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30</v>
          </cell>
          <cell r="W45">
            <v>9</v>
          </cell>
          <cell r="X45">
            <v>20</v>
          </cell>
          <cell r="Y45">
            <v>1</v>
          </cell>
          <cell r="Z45">
            <v>0</v>
          </cell>
          <cell r="AA45">
            <v>1</v>
          </cell>
          <cell r="AB45">
            <v>2</v>
          </cell>
          <cell r="AC45">
            <v>0</v>
          </cell>
          <cell r="AD45">
            <v>0</v>
          </cell>
          <cell r="AE45">
            <v>12</v>
          </cell>
          <cell r="AF45">
            <v>1</v>
          </cell>
          <cell r="AG45">
            <v>0</v>
          </cell>
          <cell r="AH45">
            <v>6</v>
          </cell>
          <cell r="AI45">
            <v>161</v>
          </cell>
          <cell r="AJ45">
            <v>30</v>
          </cell>
          <cell r="AK45">
            <v>17</v>
          </cell>
        </row>
        <row r="46">
          <cell r="A46">
            <v>39</v>
          </cell>
          <cell r="B46" t="str">
            <v>Tegalrejo</v>
          </cell>
          <cell r="C46">
            <v>350123028</v>
          </cell>
          <cell r="D46">
            <v>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2</v>
          </cell>
          <cell r="K46">
            <v>15</v>
          </cell>
          <cell r="L46">
            <v>0</v>
          </cell>
          <cell r="M46">
            <v>0</v>
          </cell>
          <cell r="N46">
            <v>0</v>
          </cell>
          <cell r="O46">
            <v>34</v>
          </cell>
          <cell r="P46">
            <v>8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26</v>
          </cell>
          <cell r="W46">
            <v>6</v>
          </cell>
          <cell r="X46">
            <v>25</v>
          </cell>
          <cell r="Y46">
            <v>5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10</v>
          </cell>
          <cell r="AF46">
            <v>2</v>
          </cell>
          <cell r="AG46">
            <v>0</v>
          </cell>
          <cell r="AH46">
            <v>7</v>
          </cell>
          <cell r="AI46">
            <v>144</v>
          </cell>
          <cell r="AJ46">
            <v>34</v>
          </cell>
          <cell r="AK46">
            <v>12</v>
          </cell>
        </row>
        <row r="47">
          <cell r="A47">
            <v>40</v>
          </cell>
          <cell r="B47" t="str">
            <v>Kaligede</v>
          </cell>
          <cell r="C47">
            <v>350123027</v>
          </cell>
          <cell r="D47">
            <v>0</v>
          </cell>
          <cell r="E47">
            <v>0</v>
          </cell>
          <cell r="F47">
            <v>47</v>
          </cell>
          <cell r="G47">
            <v>0</v>
          </cell>
          <cell r="H47">
            <v>11</v>
          </cell>
          <cell r="I47">
            <v>0</v>
          </cell>
          <cell r="J47">
            <v>2</v>
          </cell>
          <cell r="K47">
            <v>0</v>
          </cell>
          <cell r="L47">
            <v>0</v>
          </cell>
          <cell r="M47">
            <v>17</v>
          </cell>
          <cell r="N47">
            <v>27</v>
          </cell>
          <cell r="O47">
            <v>23</v>
          </cell>
          <cell r="P47">
            <v>25</v>
          </cell>
          <cell r="Q47">
            <v>17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11</v>
          </cell>
          <cell r="W47">
            <v>23</v>
          </cell>
          <cell r="X47">
            <v>37</v>
          </cell>
          <cell r="Y47">
            <v>0</v>
          </cell>
          <cell r="Z47">
            <v>0</v>
          </cell>
          <cell r="AA47">
            <v>2</v>
          </cell>
          <cell r="AB47">
            <v>0</v>
          </cell>
          <cell r="AC47">
            <v>0</v>
          </cell>
          <cell r="AD47">
            <v>4</v>
          </cell>
          <cell r="AE47">
            <v>2</v>
          </cell>
          <cell r="AF47">
            <v>0</v>
          </cell>
          <cell r="AG47">
            <v>0</v>
          </cell>
          <cell r="AH47">
            <v>0</v>
          </cell>
          <cell r="AI47">
            <v>248</v>
          </cell>
          <cell r="AJ47">
            <v>47</v>
          </cell>
          <cell r="AK47">
            <v>14</v>
          </cell>
        </row>
        <row r="48">
          <cell r="A48">
            <v>41</v>
          </cell>
          <cell r="B48" t="str">
            <v>Soko</v>
          </cell>
          <cell r="C48">
            <v>350123026</v>
          </cell>
          <cell r="D48">
            <v>1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11</v>
          </cell>
          <cell r="K48">
            <v>5</v>
          </cell>
          <cell r="L48">
            <v>0</v>
          </cell>
          <cell r="M48">
            <v>2</v>
          </cell>
          <cell r="N48">
            <v>0</v>
          </cell>
          <cell r="O48">
            <v>17</v>
          </cell>
          <cell r="P48">
            <v>1</v>
          </cell>
          <cell r="Q48">
            <v>2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</v>
          </cell>
          <cell r="W48">
            <v>14</v>
          </cell>
          <cell r="X48">
            <v>19</v>
          </cell>
          <cell r="Y48">
            <v>0</v>
          </cell>
          <cell r="Z48">
            <v>45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</v>
          </cell>
          <cell r="AG48">
            <v>0</v>
          </cell>
          <cell r="AH48">
            <v>1</v>
          </cell>
          <cell r="AI48">
            <v>125</v>
          </cell>
          <cell r="AJ48">
            <v>45</v>
          </cell>
          <cell r="AK48">
            <v>13</v>
          </cell>
        </row>
        <row r="49">
          <cell r="A49">
            <v>42</v>
          </cell>
          <cell r="B49" t="str">
            <v>Simo</v>
          </cell>
          <cell r="C49">
            <v>350123025</v>
          </cell>
          <cell r="D49">
            <v>62</v>
          </cell>
          <cell r="E49">
            <v>0</v>
          </cell>
          <cell r="F49">
            <v>12</v>
          </cell>
          <cell r="G49">
            <v>0</v>
          </cell>
          <cell r="H49">
            <v>20</v>
          </cell>
          <cell r="I49">
            <v>0</v>
          </cell>
          <cell r="J49">
            <v>0</v>
          </cell>
          <cell r="K49">
            <v>44</v>
          </cell>
          <cell r="L49">
            <v>0</v>
          </cell>
          <cell r="M49">
            <v>12</v>
          </cell>
          <cell r="N49">
            <v>0</v>
          </cell>
          <cell r="O49">
            <v>4</v>
          </cell>
          <cell r="P49">
            <v>26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30</v>
          </cell>
          <cell r="W49">
            <v>0</v>
          </cell>
          <cell r="X49">
            <v>10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22</v>
          </cell>
          <cell r="AF49">
            <v>0</v>
          </cell>
          <cell r="AG49">
            <v>0</v>
          </cell>
          <cell r="AH49">
            <v>90</v>
          </cell>
          <cell r="AI49">
            <v>332</v>
          </cell>
          <cell r="AJ49">
            <v>90</v>
          </cell>
          <cell r="AK49">
            <v>11</v>
          </cell>
        </row>
        <row r="50">
          <cell r="A50">
            <v>43</v>
          </cell>
          <cell r="B50" t="str">
            <v>Parangbatu</v>
          </cell>
          <cell r="C50">
            <v>350123024</v>
          </cell>
          <cell r="D50">
            <v>2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0</v>
          </cell>
          <cell r="J50">
            <v>52</v>
          </cell>
          <cell r="K50">
            <v>50</v>
          </cell>
          <cell r="L50">
            <v>0</v>
          </cell>
          <cell r="M50">
            <v>21</v>
          </cell>
          <cell r="N50">
            <v>2.5</v>
          </cell>
          <cell r="O50">
            <v>4</v>
          </cell>
          <cell r="P50">
            <v>2.5</v>
          </cell>
          <cell r="Q50">
            <v>7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2.5</v>
          </cell>
          <cell r="X50">
            <v>6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7.5</v>
          </cell>
          <cell r="AE50">
            <v>0</v>
          </cell>
          <cell r="AF50">
            <v>0</v>
          </cell>
          <cell r="AG50">
            <v>0</v>
          </cell>
          <cell r="AH50">
            <v>1</v>
          </cell>
          <cell r="AI50">
            <v>160</v>
          </cell>
          <cell r="AJ50">
            <v>52</v>
          </cell>
          <cell r="AK50">
            <v>13</v>
          </cell>
        </row>
        <row r="51">
          <cell r="A51">
            <v>44</v>
          </cell>
          <cell r="B51" t="str">
            <v>Sekaran</v>
          </cell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20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34</v>
          </cell>
          <cell r="N51">
            <v>7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35</v>
          </cell>
          <cell r="V51">
            <v>35</v>
          </cell>
          <cell r="W51">
            <v>5</v>
          </cell>
          <cell r="X51">
            <v>9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35</v>
          </cell>
          <cell r="AI51">
            <v>180</v>
          </cell>
          <cell r="AJ51">
            <v>35</v>
          </cell>
          <cell r="AK51">
            <v>8</v>
          </cell>
        </row>
        <row r="52">
          <cell r="A52">
            <v>45</v>
          </cell>
          <cell r="B52" t="str">
            <v>Rengel</v>
          </cell>
          <cell r="C52">
            <v>350123022</v>
          </cell>
          <cell r="D52">
            <v>1</v>
          </cell>
          <cell r="E52">
            <v>22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4</v>
          </cell>
          <cell r="K52">
            <v>7</v>
          </cell>
          <cell r="L52">
            <v>0</v>
          </cell>
          <cell r="M52">
            <v>1</v>
          </cell>
          <cell r="N52">
            <v>43</v>
          </cell>
          <cell r="O52">
            <v>5</v>
          </cell>
          <cell r="P52">
            <v>2</v>
          </cell>
          <cell r="Q52">
            <v>4</v>
          </cell>
          <cell r="R52">
            <v>0</v>
          </cell>
          <cell r="S52">
            <v>0</v>
          </cell>
          <cell r="T52">
            <v>0</v>
          </cell>
          <cell r="U52">
            <v>6</v>
          </cell>
          <cell r="V52">
            <v>62</v>
          </cell>
          <cell r="W52">
            <v>17</v>
          </cell>
          <cell r="X52">
            <v>8</v>
          </cell>
          <cell r="Y52">
            <v>4</v>
          </cell>
          <cell r="Z52">
            <v>6</v>
          </cell>
          <cell r="AA52">
            <v>0</v>
          </cell>
          <cell r="AB52">
            <v>0</v>
          </cell>
          <cell r="AC52">
            <v>5</v>
          </cell>
          <cell r="AD52">
            <v>6</v>
          </cell>
          <cell r="AE52">
            <v>1</v>
          </cell>
          <cell r="AF52">
            <v>0</v>
          </cell>
          <cell r="AG52">
            <v>0</v>
          </cell>
          <cell r="AH52">
            <v>0</v>
          </cell>
          <cell r="AI52">
            <v>204</v>
          </cell>
          <cell r="AJ52">
            <v>62</v>
          </cell>
          <cell r="AK52">
            <v>18</v>
          </cell>
        </row>
        <row r="53">
          <cell r="A53">
            <v>46</v>
          </cell>
          <cell r="B53" t="str">
            <v>Plajan / katerban</v>
          </cell>
          <cell r="C53">
            <v>350123021</v>
          </cell>
          <cell r="D53">
            <v>11</v>
          </cell>
          <cell r="E53">
            <v>0</v>
          </cell>
          <cell r="F53">
            <v>12</v>
          </cell>
          <cell r="G53">
            <v>0</v>
          </cell>
          <cell r="H53">
            <v>0</v>
          </cell>
          <cell r="I53">
            <v>0</v>
          </cell>
          <cell r="J53">
            <v>35</v>
          </cell>
          <cell r="K53">
            <v>16</v>
          </cell>
          <cell r="L53">
            <v>0</v>
          </cell>
          <cell r="M53">
            <v>19</v>
          </cell>
          <cell r="N53">
            <v>0</v>
          </cell>
          <cell r="O53">
            <v>15</v>
          </cell>
          <cell r="P53">
            <v>11</v>
          </cell>
          <cell r="Q53">
            <v>9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4</v>
          </cell>
          <cell r="X53">
            <v>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2</v>
          </cell>
          <cell r="AI53">
            <v>142</v>
          </cell>
          <cell r="AJ53">
            <v>35</v>
          </cell>
          <cell r="AK53">
            <v>11</v>
          </cell>
        </row>
        <row r="54">
          <cell r="A54">
            <v>47</v>
          </cell>
          <cell r="B54" t="str">
            <v>Ngolahan</v>
          </cell>
          <cell r="C54">
            <v>350123020</v>
          </cell>
          <cell r="D54">
            <v>68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29</v>
          </cell>
          <cell r="L54">
            <v>0</v>
          </cell>
          <cell r="M54">
            <v>4</v>
          </cell>
          <cell r="N54">
            <v>0</v>
          </cell>
          <cell r="O54">
            <v>4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</v>
          </cell>
          <cell r="Y54">
            <v>6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15</v>
          </cell>
          <cell r="AF54">
            <v>0</v>
          </cell>
          <cell r="AG54">
            <v>0</v>
          </cell>
          <cell r="AH54">
            <v>15</v>
          </cell>
          <cell r="AI54">
            <v>144</v>
          </cell>
          <cell r="AJ54">
            <v>68</v>
          </cell>
          <cell r="AK54">
            <v>8</v>
          </cell>
        </row>
        <row r="55">
          <cell r="A55">
            <v>48</v>
          </cell>
          <cell r="B55" t="str">
            <v>Ngabongan</v>
          </cell>
          <cell r="C55">
            <v>350123019</v>
          </cell>
          <cell r="D55">
            <v>1</v>
          </cell>
          <cell r="E55">
            <v>0</v>
          </cell>
          <cell r="F55">
            <v>27</v>
          </cell>
          <cell r="G55">
            <v>0</v>
          </cell>
          <cell r="H55">
            <v>2.5</v>
          </cell>
          <cell r="I55">
            <v>0</v>
          </cell>
          <cell r="J55">
            <v>0</v>
          </cell>
          <cell r="K55">
            <v>10</v>
          </cell>
          <cell r="L55">
            <v>0</v>
          </cell>
          <cell r="M55">
            <v>14</v>
          </cell>
          <cell r="N55">
            <v>0</v>
          </cell>
          <cell r="O55">
            <v>2.5</v>
          </cell>
          <cell r="P55">
            <v>11</v>
          </cell>
          <cell r="Q55">
            <v>13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4</v>
          </cell>
          <cell r="W55">
            <v>7</v>
          </cell>
          <cell r="X55">
            <v>4.5</v>
          </cell>
          <cell r="Y55">
            <v>0</v>
          </cell>
          <cell r="Z55">
            <v>6.5</v>
          </cell>
          <cell r="AA55">
            <v>0</v>
          </cell>
          <cell r="AB55">
            <v>1</v>
          </cell>
          <cell r="AC55">
            <v>0</v>
          </cell>
          <cell r="AD55">
            <v>11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115</v>
          </cell>
          <cell r="AJ55">
            <v>27</v>
          </cell>
          <cell r="AK55">
            <v>14</v>
          </cell>
        </row>
        <row r="56">
          <cell r="A56">
            <v>49</v>
          </cell>
          <cell r="B56" t="str">
            <v>Mundri</v>
          </cell>
          <cell r="C56">
            <v>350123018</v>
          </cell>
          <cell r="D56">
            <v>0</v>
          </cell>
          <cell r="E56">
            <v>0</v>
          </cell>
          <cell r="F56">
            <v>33</v>
          </cell>
          <cell r="G56">
            <v>0</v>
          </cell>
          <cell r="H56">
            <v>0</v>
          </cell>
          <cell r="I56">
            <v>0</v>
          </cell>
          <cell r="J56">
            <v>8</v>
          </cell>
          <cell r="K56">
            <v>7</v>
          </cell>
          <cell r="L56">
            <v>0</v>
          </cell>
          <cell r="M56">
            <v>83</v>
          </cell>
          <cell r="N56">
            <v>1</v>
          </cell>
          <cell r="O56">
            <v>2</v>
          </cell>
          <cell r="P56">
            <v>4</v>
          </cell>
          <cell r="Q56">
            <v>11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20</v>
          </cell>
          <cell r="W56">
            <v>0</v>
          </cell>
          <cell r="X56">
            <v>6</v>
          </cell>
          <cell r="Y56">
            <v>0</v>
          </cell>
          <cell r="Z56">
            <v>5</v>
          </cell>
          <cell r="AA56">
            <v>0</v>
          </cell>
          <cell r="AB56">
            <v>0</v>
          </cell>
          <cell r="AC56">
            <v>0</v>
          </cell>
          <cell r="AD56">
            <v>17</v>
          </cell>
          <cell r="AE56">
            <v>6</v>
          </cell>
          <cell r="AF56">
            <v>12</v>
          </cell>
          <cell r="AG56">
            <v>0</v>
          </cell>
          <cell r="AH56">
            <v>9</v>
          </cell>
          <cell r="AI56">
            <v>224</v>
          </cell>
          <cell r="AJ56">
            <v>83</v>
          </cell>
          <cell r="AK56">
            <v>15</v>
          </cell>
        </row>
        <row r="57">
          <cell r="A57">
            <v>50</v>
          </cell>
          <cell r="B57" t="str">
            <v>Montong</v>
          </cell>
          <cell r="C57">
            <v>350123017</v>
          </cell>
          <cell r="D57">
            <v>3</v>
          </cell>
          <cell r="E57">
            <v>6</v>
          </cell>
          <cell r="F57">
            <v>0</v>
          </cell>
          <cell r="G57">
            <v>0</v>
          </cell>
          <cell r="H57">
            <v>8</v>
          </cell>
          <cell r="I57">
            <v>11</v>
          </cell>
          <cell r="J57">
            <v>4</v>
          </cell>
          <cell r="K57">
            <v>0</v>
          </cell>
          <cell r="L57">
            <v>0</v>
          </cell>
          <cell r="M57">
            <v>18</v>
          </cell>
          <cell r="N57">
            <v>0</v>
          </cell>
          <cell r="O57">
            <v>7</v>
          </cell>
          <cell r="P57">
            <v>11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5</v>
          </cell>
          <cell r="W57">
            <v>2</v>
          </cell>
          <cell r="X57">
            <v>4</v>
          </cell>
          <cell r="Y57">
            <v>9</v>
          </cell>
          <cell r="Z57">
            <v>11</v>
          </cell>
          <cell r="AA57">
            <v>0</v>
          </cell>
          <cell r="AB57">
            <v>0</v>
          </cell>
          <cell r="AC57">
            <v>0</v>
          </cell>
          <cell r="AD57">
            <v>3</v>
          </cell>
          <cell r="AE57">
            <v>6</v>
          </cell>
          <cell r="AF57">
            <v>0</v>
          </cell>
          <cell r="AG57">
            <v>0</v>
          </cell>
          <cell r="AH57">
            <v>1</v>
          </cell>
          <cell r="AI57">
            <v>109</v>
          </cell>
          <cell r="AJ57">
            <v>18</v>
          </cell>
          <cell r="AK57">
            <v>16</v>
          </cell>
        </row>
        <row r="58">
          <cell r="A58">
            <v>51</v>
          </cell>
          <cell r="B58" t="str">
            <v>Tluwe</v>
          </cell>
          <cell r="C58">
            <v>350123016</v>
          </cell>
          <cell r="D58">
            <v>4</v>
          </cell>
          <cell r="E58">
            <v>26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20</v>
          </cell>
          <cell r="K58">
            <v>22.5</v>
          </cell>
          <cell r="L58">
            <v>0</v>
          </cell>
          <cell r="M58">
            <v>6</v>
          </cell>
          <cell r="N58">
            <v>1</v>
          </cell>
          <cell r="O58">
            <v>7</v>
          </cell>
          <cell r="P58">
            <v>4</v>
          </cell>
          <cell r="Q58">
            <v>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22</v>
          </cell>
          <cell r="W58">
            <v>11</v>
          </cell>
          <cell r="X58">
            <v>7</v>
          </cell>
          <cell r="Y58">
            <v>1</v>
          </cell>
          <cell r="Z58">
            <v>3</v>
          </cell>
          <cell r="AA58">
            <v>4</v>
          </cell>
          <cell r="AB58">
            <v>0</v>
          </cell>
          <cell r="AC58">
            <v>0</v>
          </cell>
          <cell r="AD58">
            <v>7.5</v>
          </cell>
          <cell r="AE58">
            <v>0</v>
          </cell>
          <cell r="AF58">
            <v>0</v>
          </cell>
          <cell r="AG58">
            <v>0</v>
          </cell>
          <cell r="AH58">
            <v>1</v>
          </cell>
          <cell r="AI58">
            <v>150</v>
          </cell>
          <cell r="AJ58">
            <v>26</v>
          </cell>
          <cell r="AK58">
            <v>17</v>
          </cell>
        </row>
        <row r="59">
          <cell r="A59">
            <v>52</v>
          </cell>
          <cell r="B59" t="str">
            <v>Laju</v>
          </cell>
          <cell r="C59">
            <v>350123015</v>
          </cell>
          <cell r="D59">
            <v>0</v>
          </cell>
          <cell r="E59">
            <v>0</v>
          </cell>
          <cell r="F59">
            <v>32</v>
          </cell>
          <cell r="G59">
            <v>0</v>
          </cell>
          <cell r="H59">
            <v>5</v>
          </cell>
          <cell r="I59">
            <v>0</v>
          </cell>
          <cell r="J59">
            <v>0</v>
          </cell>
          <cell r="K59">
            <v>17</v>
          </cell>
          <cell r="L59">
            <v>0</v>
          </cell>
          <cell r="M59">
            <v>57</v>
          </cell>
          <cell r="N59">
            <v>0</v>
          </cell>
          <cell r="O59">
            <v>7</v>
          </cell>
          <cell r="P59">
            <v>17</v>
          </cell>
          <cell r="Q59">
            <v>11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29</v>
          </cell>
          <cell r="W59">
            <v>3</v>
          </cell>
          <cell r="X59">
            <v>7</v>
          </cell>
          <cell r="Y59">
            <v>0</v>
          </cell>
          <cell r="Z59">
            <v>2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2</v>
          </cell>
          <cell r="AF59">
            <v>0</v>
          </cell>
          <cell r="AG59">
            <v>0</v>
          </cell>
          <cell r="AH59">
            <v>0</v>
          </cell>
          <cell r="AI59">
            <v>189</v>
          </cell>
          <cell r="AJ59">
            <v>57</v>
          </cell>
          <cell r="AK59">
            <v>12</v>
          </cell>
        </row>
        <row r="60">
          <cell r="A60">
            <v>53</v>
          </cell>
          <cell r="B60" t="str">
            <v>Kwasen</v>
          </cell>
          <cell r="C60">
            <v>350123014</v>
          </cell>
          <cell r="D60">
            <v>4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6</v>
          </cell>
          <cell r="J60">
            <v>0</v>
          </cell>
          <cell r="K60">
            <v>0</v>
          </cell>
          <cell r="L60">
            <v>0</v>
          </cell>
          <cell r="M60">
            <v>22</v>
          </cell>
          <cell r="N60">
            <v>0</v>
          </cell>
          <cell r="O60">
            <v>14</v>
          </cell>
          <cell r="P60">
            <v>8</v>
          </cell>
          <cell r="Q60">
            <v>12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</v>
          </cell>
          <cell r="W60">
            <v>4</v>
          </cell>
          <cell r="X60">
            <v>0</v>
          </cell>
          <cell r="Y60">
            <v>4</v>
          </cell>
          <cell r="Z60">
            <v>0</v>
          </cell>
          <cell r="AA60">
            <v>24</v>
          </cell>
          <cell r="AB60">
            <v>0</v>
          </cell>
          <cell r="AC60">
            <v>0</v>
          </cell>
          <cell r="AD60">
            <v>8</v>
          </cell>
          <cell r="AE60">
            <v>16</v>
          </cell>
          <cell r="AF60">
            <v>0</v>
          </cell>
          <cell r="AG60">
            <v>0</v>
          </cell>
          <cell r="AH60">
            <v>0</v>
          </cell>
          <cell r="AI60">
            <v>130</v>
          </cell>
          <cell r="AJ60">
            <v>24</v>
          </cell>
          <cell r="AK60">
            <v>12</v>
          </cell>
        </row>
        <row r="61">
          <cell r="A61">
            <v>54</v>
          </cell>
          <cell r="B61" t="str">
            <v>Klotok/Sembungrejo</v>
          </cell>
          <cell r="C61">
            <v>350123013</v>
          </cell>
          <cell r="D61">
            <v>0</v>
          </cell>
          <cell r="E61">
            <v>17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41</v>
          </cell>
          <cell r="K61">
            <v>17</v>
          </cell>
          <cell r="L61">
            <v>0</v>
          </cell>
          <cell r="M61">
            <v>6</v>
          </cell>
          <cell r="N61">
            <v>21</v>
          </cell>
          <cell r="O61">
            <v>7</v>
          </cell>
          <cell r="P61">
            <v>2</v>
          </cell>
          <cell r="Q61">
            <v>5</v>
          </cell>
          <cell r="R61">
            <v>0</v>
          </cell>
          <cell r="S61">
            <v>0</v>
          </cell>
          <cell r="T61">
            <v>2</v>
          </cell>
          <cell r="U61">
            <v>14</v>
          </cell>
          <cell r="V61">
            <v>31</v>
          </cell>
          <cell r="W61">
            <v>16</v>
          </cell>
          <cell r="X61">
            <v>9</v>
          </cell>
          <cell r="Y61">
            <v>0</v>
          </cell>
          <cell r="Z61">
            <v>15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5</v>
          </cell>
          <cell r="AG61">
            <v>0</v>
          </cell>
          <cell r="AH61">
            <v>0</v>
          </cell>
          <cell r="AI61">
            <v>208</v>
          </cell>
          <cell r="AJ61">
            <v>41</v>
          </cell>
          <cell r="AK61">
            <v>15</v>
          </cell>
        </row>
        <row r="62">
          <cell r="A62">
            <v>55</v>
          </cell>
          <cell r="B62" t="str">
            <v>Kerek</v>
          </cell>
          <cell r="C62">
            <v>350123012</v>
          </cell>
          <cell r="D62">
            <v>7</v>
          </cell>
          <cell r="E62">
            <v>2</v>
          </cell>
          <cell r="F62">
            <v>8</v>
          </cell>
          <cell r="G62">
            <v>0</v>
          </cell>
          <cell r="H62">
            <v>0</v>
          </cell>
          <cell r="I62">
            <v>0</v>
          </cell>
          <cell r="J62">
            <v>3</v>
          </cell>
          <cell r="K62">
            <v>0</v>
          </cell>
          <cell r="L62">
            <v>0</v>
          </cell>
          <cell r="M62">
            <v>3</v>
          </cell>
          <cell r="N62">
            <v>0</v>
          </cell>
          <cell r="O62">
            <v>0</v>
          </cell>
          <cell r="P62">
            <v>11</v>
          </cell>
          <cell r="Q62">
            <v>5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</v>
          </cell>
          <cell r="W62">
            <v>24</v>
          </cell>
          <cell r="X62">
            <v>14</v>
          </cell>
          <cell r="Y62">
            <v>5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9</v>
          </cell>
          <cell r="AF62">
            <v>9</v>
          </cell>
          <cell r="AG62">
            <v>0</v>
          </cell>
          <cell r="AH62">
            <v>13</v>
          </cell>
          <cell r="AI62">
            <v>131</v>
          </cell>
          <cell r="AJ62">
            <v>24</v>
          </cell>
          <cell r="AK62">
            <v>14</v>
          </cell>
        </row>
        <row r="63">
          <cell r="A63">
            <v>56</v>
          </cell>
          <cell r="B63" t="str">
            <v>Kepet</v>
          </cell>
          <cell r="C63">
            <v>350123011</v>
          </cell>
          <cell r="D63">
            <v>8</v>
          </cell>
          <cell r="E63">
            <v>3</v>
          </cell>
          <cell r="F63">
            <v>41</v>
          </cell>
          <cell r="G63">
            <v>0</v>
          </cell>
          <cell r="H63">
            <v>11</v>
          </cell>
          <cell r="I63">
            <v>0</v>
          </cell>
          <cell r="J63">
            <v>10</v>
          </cell>
          <cell r="K63">
            <v>1</v>
          </cell>
          <cell r="L63">
            <v>0</v>
          </cell>
          <cell r="M63">
            <v>10</v>
          </cell>
          <cell r="N63">
            <v>0</v>
          </cell>
          <cell r="O63">
            <v>3</v>
          </cell>
          <cell r="P63">
            <v>12</v>
          </cell>
          <cell r="Q63">
            <v>1</v>
          </cell>
          <cell r="R63">
            <v>0</v>
          </cell>
          <cell r="S63">
            <v>0</v>
          </cell>
          <cell r="T63">
            <v>0</v>
          </cell>
          <cell r="U63">
            <v>2</v>
          </cell>
          <cell r="V63">
            <v>10</v>
          </cell>
          <cell r="W63">
            <v>15</v>
          </cell>
          <cell r="X63">
            <v>2</v>
          </cell>
          <cell r="Y63">
            <v>2</v>
          </cell>
          <cell r="Z63">
            <v>2</v>
          </cell>
          <cell r="AA63">
            <v>2</v>
          </cell>
          <cell r="AB63">
            <v>0</v>
          </cell>
          <cell r="AC63">
            <v>0</v>
          </cell>
          <cell r="AD63">
            <v>0</v>
          </cell>
          <cell r="AE63">
            <v>13</v>
          </cell>
          <cell r="AF63">
            <v>0</v>
          </cell>
          <cell r="AG63">
            <v>0</v>
          </cell>
          <cell r="AH63">
            <v>54</v>
          </cell>
          <cell r="AI63">
            <v>202</v>
          </cell>
          <cell r="AJ63">
            <v>54</v>
          </cell>
          <cell r="AK63">
            <v>19</v>
          </cell>
        </row>
        <row r="64">
          <cell r="A64">
            <v>57</v>
          </cell>
          <cell r="B64" t="str">
            <v>Kejuron</v>
          </cell>
          <cell r="C64">
            <v>350123010</v>
          </cell>
          <cell r="D64">
            <v>0</v>
          </cell>
          <cell r="E64">
            <v>0</v>
          </cell>
          <cell r="F64">
            <v>54</v>
          </cell>
          <cell r="G64">
            <v>0</v>
          </cell>
          <cell r="H64">
            <v>7</v>
          </cell>
          <cell r="I64">
            <v>0</v>
          </cell>
          <cell r="J64">
            <v>10</v>
          </cell>
          <cell r="K64">
            <v>9</v>
          </cell>
          <cell r="L64">
            <v>0</v>
          </cell>
          <cell r="M64">
            <v>82</v>
          </cell>
          <cell r="N64">
            <v>4</v>
          </cell>
          <cell r="O64">
            <v>3</v>
          </cell>
          <cell r="P64">
            <v>8</v>
          </cell>
          <cell r="Q64">
            <v>4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</v>
          </cell>
          <cell r="W64">
            <v>2</v>
          </cell>
          <cell r="X64">
            <v>4</v>
          </cell>
          <cell r="Y64">
            <v>0</v>
          </cell>
          <cell r="Z64">
            <v>5</v>
          </cell>
          <cell r="AA64">
            <v>0</v>
          </cell>
          <cell r="AB64">
            <v>0</v>
          </cell>
          <cell r="AC64">
            <v>0</v>
          </cell>
          <cell r="AD64">
            <v>4</v>
          </cell>
          <cell r="AE64">
            <v>0</v>
          </cell>
          <cell r="AF64">
            <v>6</v>
          </cell>
          <cell r="AG64">
            <v>0</v>
          </cell>
          <cell r="AH64">
            <v>0</v>
          </cell>
          <cell r="AI64">
            <v>204</v>
          </cell>
          <cell r="AJ64">
            <v>82</v>
          </cell>
          <cell r="AK64">
            <v>15</v>
          </cell>
        </row>
        <row r="65">
          <cell r="A65">
            <v>58</v>
          </cell>
          <cell r="B65" t="str">
            <v>Kebonharjo/paseyan</v>
          </cell>
          <cell r="C65">
            <v>350123009</v>
          </cell>
          <cell r="D65">
            <v>16</v>
          </cell>
          <cell r="E65">
            <v>0</v>
          </cell>
          <cell r="F65">
            <v>4</v>
          </cell>
          <cell r="G65">
            <v>0</v>
          </cell>
          <cell r="H65">
            <v>3</v>
          </cell>
          <cell r="I65">
            <v>0</v>
          </cell>
          <cell r="J65">
            <v>5</v>
          </cell>
          <cell r="K65">
            <v>6</v>
          </cell>
          <cell r="L65">
            <v>0</v>
          </cell>
          <cell r="M65">
            <v>2</v>
          </cell>
          <cell r="N65">
            <v>1</v>
          </cell>
          <cell r="O65">
            <v>0</v>
          </cell>
          <cell r="P65">
            <v>12</v>
          </cell>
          <cell r="Q65">
            <v>6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3</v>
          </cell>
          <cell r="W65">
            <v>1</v>
          </cell>
          <cell r="X65">
            <v>6</v>
          </cell>
          <cell r="Y65">
            <v>0</v>
          </cell>
          <cell r="Z65">
            <v>2</v>
          </cell>
          <cell r="AA65">
            <v>0</v>
          </cell>
          <cell r="AB65">
            <v>0</v>
          </cell>
          <cell r="AC65">
            <v>0</v>
          </cell>
          <cell r="AD65">
            <v>1</v>
          </cell>
          <cell r="AE65">
            <v>2</v>
          </cell>
          <cell r="AF65">
            <v>2</v>
          </cell>
          <cell r="AG65">
            <v>0</v>
          </cell>
          <cell r="AH65">
            <v>2</v>
          </cell>
          <cell r="AI65">
            <v>74</v>
          </cell>
          <cell r="AJ65">
            <v>16</v>
          </cell>
          <cell r="AK65">
            <v>17</v>
          </cell>
        </row>
        <row r="66">
          <cell r="A66">
            <v>59</v>
          </cell>
          <cell r="B66" t="str">
            <v>Kebonagung TBN</v>
          </cell>
          <cell r="C66">
            <v>350123008</v>
          </cell>
          <cell r="D66">
            <v>0</v>
          </cell>
          <cell r="E66">
            <v>8</v>
          </cell>
          <cell r="F66">
            <v>5</v>
          </cell>
          <cell r="G66">
            <v>0</v>
          </cell>
          <cell r="H66">
            <v>0</v>
          </cell>
          <cell r="I66">
            <v>0</v>
          </cell>
          <cell r="J66">
            <v>18</v>
          </cell>
          <cell r="K66">
            <v>18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45</v>
          </cell>
          <cell r="W66">
            <v>7</v>
          </cell>
          <cell r="X66">
            <v>0</v>
          </cell>
          <cell r="Y66">
            <v>10</v>
          </cell>
          <cell r="Z66">
            <v>5</v>
          </cell>
          <cell r="AA66">
            <v>0</v>
          </cell>
          <cell r="AB66">
            <v>0</v>
          </cell>
          <cell r="AC66">
            <v>0</v>
          </cell>
          <cell r="AD66">
            <v>33</v>
          </cell>
          <cell r="AE66">
            <v>5</v>
          </cell>
          <cell r="AF66">
            <v>0</v>
          </cell>
          <cell r="AG66">
            <v>0</v>
          </cell>
          <cell r="AH66">
            <v>30</v>
          </cell>
          <cell r="AI66">
            <v>187</v>
          </cell>
          <cell r="AJ66">
            <v>45</v>
          </cell>
          <cell r="AK66">
            <v>12</v>
          </cell>
        </row>
        <row r="67">
          <cell r="A67">
            <v>60</v>
          </cell>
          <cell r="B67" t="str">
            <v>Kayenjoho</v>
          </cell>
          <cell r="C67">
            <v>350123007</v>
          </cell>
          <cell r="D67">
            <v>67</v>
          </cell>
          <cell r="E67">
            <v>0</v>
          </cell>
          <cell r="F67">
            <v>25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33</v>
          </cell>
          <cell r="L67">
            <v>0</v>
          </cell>
          <cell r="M67">
            <v>3</v>
          </cell>
          <cell r="N67">
            <v>0</v>
          </cell>
          <cell r="O67">
            <v>0</v>
          </cell>
          <cell r="P67">
            <v>28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</v>
          </cell>
          <cell r="W67">
            <v>1</v>
          </cell>
          <cell r="X67">
            <v>10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20</v>
          </cell>
          <cell r="AI67">
            <v>216</v>
          </cell>
          <cell r="AJ67">
            <v>67</v>
          </cell>
          <cell r="AK67">
            <v>9</v>
          </cell>
        </row>
        <row r="68">
          <cell r="A68">
            <v>61</v>
          </cell>
          <cell r="B68" t="str">
            <v>Jojogan</v>
          </cell>
          <cell r="C68">
            <v>350123006</v>
          </cell>
          <cell r="D68">
            <v>6</v>
          </cell>
          <cell r="E68">
            <v>0</v>
          </cell>
          <cell r="F68">
            <v>21</v>
          </cell>
          <cell r="G68">
            <v>0</v>
          </cell>
          <cell r="H68">
            <v>0</v>
          </cell>
          <cell r="I68">
            <v>0</v>
          </cell>
          <cell r="J68">
            <v>11</v>
          </cell>
          <cell r="K68">
            <v>6</v>
          </cell>
          <cell r="L68">
            <v>0</v>
          </cell>
          <cell r="M68">
            <v>6</v>
          </cell>
          <cell r="N68">
            <v>0</v>
          </cell>
          <cell r="O68">
            <v>0</v>
          </cell>
          <cell r="P68">
            <v>5</v>
          </cell>
          <cell r="Q68">
            <v>2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10</v>
          </cell>
          <cell r="W68">
            <v>0</v>
          </cell>
          <cell r="X68">
            <v>4</v>
          </cell>
          <cell r="Y68">
            <v>2</v>
          </cell>
          <cell r="Z68">
            <v>6</v>
          </cell>
          <cell r="AA68">
            <v>10</v>
          </cell>
          <cell r="AB68">
            <v>0</v>
          </cell>
          <cell r="AC68">
            <v>0</v>
          </cell>
          <cell r="AD68">
            <v>5</v>
          </cell>
          <cell r="AE68">
            <v>0</v>
          </cell>
          <cell r="AF68">
            <v>0</v>
          </cell>
          <cell r="AG68">
            <v>0</v>
          </cell>
          <cell r="AH68">
            <v>2</v>
          </cell>
          <cell r="AI68">
            <v>96</v>
          </cell>
          <cell r="AJ68">
            <v>21</v>
          </cell>
          <cell r="AK68">
            <v>14</v>
          </cell>
        </row>
        <row r="69">
          <cell r="A69">
            <v>62</v>
          </cell>
          <cell r="B69" t="str">
            <v>Grabagan</v>
          </cell>
          <cell r="C69">
            <v>350123005</v>
          </cell>
          <cell r="D69">
            <v>4</v>
          </cell>
          <cell r="E69">
            <v>18</v>
          </cell>
          <cell r="F69">
            <v>9</v>
          </cell>
          <cell r="G69">
            <v>0</v>
          </cell>
          <cell r="H69">
            <v>7</v>
          </cell>
          <cell r="I69">
            <v>0</v>
          </cell>
          <cell r="J69">
            <v>67</v>
          </cell>
          <cell r="K69">
            <v>4</v>
          </cell>
          <cell r="L69">
            <v>0</v>
          </cell>
          <cell r="M69">
            <v>13</v>
          </cell>
          <cell r="N69">
            <v>0</v>
          </cell>
          <cell r="O69">
            <v>5</v>
          </cell>
          <cell r="P69">
            <v>5</v>
          </cell>
          <cell r="Q69">
            <v>9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31</v>
          </cell>
          <cell r="W69">
            <v>7</v>
          </cell>
          <cell r="X69">
            <v>5</v>
          </cell>
          <cell r="Y69">
            <v>10</v>
          </cell>
          <cell r="Z69">
            <v>9</v>
          </cell>
          <cell r="AA69">
            <v>0</v>
          </cell>
          <cell r="AB69">
            <v>0</v>
          </cell>
          <cell r="AC69">
            <v>1</v>
          </cell>
          <cell r="AD69">
            <v>4</v>
          </cell>
          <cell r="AE69">
            <v>1</v>
          </cell>
          <cell r="AF69">
            <v>0</v>
          </cell>
          <cell r="AG69">
            <v>0</v>
          </cell>
          <cell r="AH69">
            <v>6</v>
          </cell>
          <cell r="AI69">
            <v>215</v>
          </cell>
          <cell r="AJ69">
            <v>67</v>
          </cell>
          <cell r="AK69">
            <v>19</v>
          </cell>
        </row>
        <row r="70">
          <cell r="A70">
            <v>63</v>
          </cell>
          <cell r="B70" t="str">
            <v>Gaplok</v>
          </cell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12</v>
          </cell>
          <cell r="H70">
            <v>0</v>
          </cell>
          <cell r="I70">
            <v>0</v>
          </cell>
          <cell r="J70">
            <v>0</v>
          </cell>
          <cell r="K70">
            <v>31</v>
          </cell>
          <cell r="L70">
            <v>0</v>
          </cell>
          <cell r="M70">
            <v>0</v>
          </cell>
          <cell r="N70">
            <v>0</v>
          </cell>
          <cell r="O70">
            <v>6</v>
          </cell>
          <cell r="P70">
            <v>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14</v>
          </cell>
          <cell r="W70">
            <v>24</v>
          </cell>
          <cell r="X70">
            <v>4</v>
          </cell>
          <cell r="Y70">
            <v>0</v>
          </cell>
          <cell r="Z70">
            <v>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6</v>
          </cell>
          <cell r="AF70">
            <v>0</v>
          </cell>
          <cell r="AG70">
            <v>0</v>
          </cell>
          <cell r="AH70">
            <v>14</v>
          </cell>
          <cell r="AI70">
            <v>125</v>
          </cell>
          <cell r="AJ70">
            <v>31</v>
          </cell>
          <cell r="AK70">
            <v>10</v>
          </cell>
        </row>
        <row r="71">
          <cell r="A71">
            <v>64</v>
          </cell>
          <cell r="B71" t="str">
            <v>Boropetung</v>
          </cell>
          <cell r="C71">
            <v>350123003</v>
          </cell>
          <cell r="D71">
            <v>0</v>
          </cell>
          <cell r="E71">
            <v>6</v>
          </cell>
          <cell r="F71">
            <v>18</v>
          </cell>
          <cell r="G71">
            <v>0</v>
          </cell>
          <cell r="H71">
            <v>0</v>
          </cell>
          <cell r="I71">
            <v>0</v>
          </cell>
          <cell r="J71">
            <v>52</v>
          </cell>
          <cell r="K71">
            <v>9</v>
          </cell>
          <cell r="L71">
            <v>0</v>
          </cell>
          <cell r="M71">
            <v>2</v>
          </cell>
          <cell r="N71">
            <v>0</v>
          </cell>
          <cell r="O71">
            <v>0</v>
          </cell>
          <cell r="P71">
            <v>13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17</v>
          </cell>
          <cell r="W71">
            <v>4</v>
          </cell>
          <cell r="X71">
            <v>0</v>
          </cell>
          <cell r="Y71">
            <v>11</v>
          </cell>
          <cell r="Z71">
            <v>5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8</v>
          </cell>
          <cell r="AF71">
            <v>0</v>
          </cell>
          <cell r="AG71">
            <v>0</v>
          </cell>
          <cell r="AH71">
            <v>22</v>
          </cell>
          <cell r="AI71">
            <v>167</v>
          </cell>
          <cell r="AJ71">
            <v>52</v>
          </cell>
          <cell r="AK71">
            <v>12</v>
          </cell>
        </row>
        <row r="72">
          <cell r="A72">
            <v>65</v>
          </cell>
          <cell r="B72" t="str">
            <v>Belikanget</v>
          </cell>
          <cell r="C72">
            <v>350123002</v>
          </cell>
          <cell r="D72">
            <v>15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12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12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16</v>
          </cell>
          <cell r="W72">
            <v>0</v>
          </cell>
          <cell r="X72">
            <v>0</v>
          </cell>
          <cell r="Y72">
            <v>15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10</v>
          </cell>
          <cell r="AF72">
            <v>7</v>
          </cell>
          <cell r="AG72">
            <v>0</v>
          </cell>
          <cell r="AH72">
            <v>22</v>
          </cell>
          <cell r="AI72">
            <v>109</v>
          </cell>
          <cell r="AJ72">
            <v>22</v>
          </cell>
          <cell r="AK72">
            <v>8</v>
          </cell>
        </row>
        <row r="73">
          <cell r="A73">
            <v>66</v>
          </cell>
          <cell r="B73" t="str">
            <v>Sidomukti</v>
          </cell>
          <cell r="C73">
            <v>350123001</v>
          </cell>
          <cell r="D73">
            <v>19</v>
          </cell>
          <cell r="E73">
            <v>0</v>
          </cell>
          <cell r="F73">
            <v>0</v>
          </cell>
          <cell r="G73">
            <v>2</v>
          </cell>
          <cell r="H73">
            <v>0</v>
          </cell>
          <cell r="I73">
            <v>0</v>
          </cell>
          <cell r="J73">
            <v>7</v>
          </cell>
          <cell r="K73">
            <v>25</v>
          </cell>
          <cell r="L73">
            <v>0</v>
          </cell>
          <cell r="M73">
            <v>0</v>
          </cell>
          <cell r="N73">
            <v>2</v>
          </cell>
          <cell r="O73">
            <v>0</v>
          </cell>
          <cell r="P73">
            <v>9</v>
          </cell>
          <cell r="Q73">
            <v>14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</v>
          </cell>
          <cell r="X73">
            <v>7</v>
          </cell>
          <cell r="Y73">
            <v>0</v>
          </cell>
          <cell r="Z73">
            <v>13</v>
          </cell>
          <cell r="AA73">
            <v>13</v>
          </cell>
          <cell r="AB73">
            <v>0</v>
          </cell>
          <cell r="AC73">
            <v>0</v>
          </cell>
          <cell r="AD73">
            <v>2</v>
          </cell>
          <cell r="AE73">
            <v>0</v>
          </cell>
          <cell r="AF73">
            <v>0</v>
          </cell>
          <cell r="AG73">
            <v>0</v>
          </cell>
          <cell r="AH73">
            <v>16</v>
          </cell>
          <cell r="AI73">
            <v>134</v>
          </cell>
          <cell r="AJ73">
            <v>25</v>
          </cell>
          <cell r="AK73">
            <v>13</v>
          </cell>
        </row>
        <row r="74">
          <cell r="A74">
            <v>67</v>
          </cell>
          <cell r="B74" t="str">
            <v>Sumberejo/malo</v>
          </cell>
          <cell r="C74">
            <v>350122031</v>
          </cell>
          <cell r="D74">
            <v>0</v>
          </cell>
          <cell r="E74">
            <v>0</v>
          </cell>
          <cell r="F74">
            <v>40</v>
          </cell>
          <cell r="G74">
            <v>0</v>
          </cell>
          <cell r="H74">
            <v>0</v>
          </cell>
          <cell r="I74">
            <v>0</v>
          </cell>
          <cell r="J74">
            <v>10</v>
          </cell>
          <cell r="K74">
            <v>14</v>
          </cell>
          <cell r="L74">
            <v>10</v>
          </cell>
          <cell r="M74">
            <v>5</v>
          </cell>
          <cell r="N74">
            <v>0</v>
          </cell>
          <cell r="O74">
            <v>10</v>
          </cell>
          <cell r="P74">
            <v>8</v>
          </cell>
          <cell r="Q74">
            <v>45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11</v>
          </cell>
          <cell r="Y74">
            <v>0</v>
          </cell>
          <cell r="Z74">
            <v>8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2</v>
          </cell>
          <cell r="AI74">
            <v>163</v>
          </cell>
          <cell r="AJ74">
            <v>45</v>
          </cell>
          <cell r="AK74">
            <v>11</v>
          </cell>
        </row>
        <row r="75">
          <cell r="A75">
            <v>68</v>
          </cell>
          <cell r="B75" t="str">
            <v>Cancung</v>
          </cell>
          <cell r="C75">
            <v>350122030</v>
          </cell>
          <cell r="D75">
            <v>11</v>
          </cell>
          <cell r="E75">
            <v>25</v>
          </cell>
          <cell r="F75">
            <v>13</v>
          </cell>
          <cell r="G75">
            <v>0</v>
          </cell>
          <cell r="H75">
            <v>0</v>
          </cell>
          <cell r="I75">
            <v>0</v>
          </cell>
          <cell r="J75">
            <v>8</v>
          </cell>
          <cell r="K75">
            <v>12</v>
          </cell>
          <cell r="L75">
            <v>7</v>
          </cell>
          <cell r="M75">
            <v>0</v>
          </cell>
          <cell r="N75">
            <v>0</v>
          </cell>
          <cell r="O75">
            <v>56</v>
          </cell>
          <cell r="P75">
            <v>5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26</v>
          </cell>
          <cell r="W75">
            <v>14</v>
          </cell>
          <cell r="X75">
            <v>12</v>
          </cell>
          <cell r="Y75">
            <v>7</v>
          </cell>
          <cell r="Z75">
            <v>11</v>
          </cell>
          <cell r="AA75">
            <v>0</v>
          </cell>
          <cell r="AB75">
            <v>0</v>
          </cell>
          <cell r="AC75">
            <v>14</v>
          </cell>
          <cell r="AD75">
            <v>0</v>
          </cell>
          <cell r="AE75">
            <v>0</v>
          </cell>
          <cell r="AF75">
            <v>0</v>
          </cell>
          <cell r="AG75">
            <v>3</v>
          </cell>
          <cell r="AH75">
            <v>13</v>
          </cell>
          <cell r="AI75">
            <v>237</v>
          </cell>
          <cell r="AJ75">
            <v>56</v>
          </cell>
          <cell r="AK75">
            <v>16</v>
          </cell>
        </row>
        <row r="76">
          <cell r="A76">
            <v>69</v>
          </cell>
          <cell r="B76" t="str">
            <v>Kali sumber</v>
          </cell>
          <cell r="C76">
            <v>350122029</v>
          </cell>
          <cell r="D76">
            <v>9</v>
          </cell>
          <cell r="E76">
            <v>0</v>
          </cell>
          <cell r="F76">
            <v>71</v>
          </cell>
          <cell r="G76">
            <v>0</v>
          </cell>
          <cell r="H76">
            <v>0</v>
          </cell>
          <cell r="I76">
            <v>27</v>
          </cell>
          <cell r="J76">
            <v>28</v>
          </cell>
          <cell r="K76">
            <v>43</v>
          </cell>
          <cell r="L76">
            <v>0</v>
          </cell>
          <cell r="M76">
            <v>16</v>
          </cell>
          <cell r="N76">
            <v>1</v>
          </cell>
          <cell r="O76">
            <v>0</v>
          </cell>
          <cell r="P76">
            <v>7</v>
          </cell>
          <cell r="Q76">
            <v>2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37</v>
          </cell>
          <cell r="W76">
            <v>29</v>
          </cell>
          <cell r="X76">
            <v>27</v>
          </cell>
          <cell r="Y76">
            <v>0</v>
          </cell>
          <cell r="Z76">
            <v>10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8</v>
          </cell>
          <cell r="AG76">
            <v>0</v>
          </cell>
          <cell r="AH76">
            <v>4</v>
          </cell>
          <cell r="AI76">
            <v>319</v>
          </cell>
          <cell r="AJ76">
            <v>71</v>
          </cell>
          <cell r="AK76">
            <v>15</v>
          </cell>
        </row>
        <row r="77">
          <cell r="A77">
            <v>70</v>
          </cell>
          <cell r="B77" t="str">
            <v>Butoh</v>
          </cell>
          <cell r="C77">
            <v>350122028</v>
          </cell>
          <cell r="D77">
            <v>9</v>
          </cell>
          <cell r="E77">
            <v>0</v>
          </cell>
          <cell r="F77">
            <v>50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25</v>
          </cell>
          <cell r="L77">
            <v>0</v>
          </cell>
          <cell r="M77">
            <v>28</v>
          </cell>
          <cell r="N77">
            <v>0</v>
          </cell>
          <cell r="O77">
            <v>32</v>
          </cell>
          <cell r="P77">
            <v>2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21</v>
          </cell>
          <cell r="W77">
            <v>43</v>
          </cell>
          <cell r="X77">
            <v>26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10</v>
          </cell>
          <cell r="AG77">
            <v>0</v>
          </cell>
          <cell r="AH77">
            <v>23</v>
          </cell>
          <cell r="AI77">
            <v>269</v>
          </cell>
          <cell r="AJ77">
            <v>50</v>
          </cell>
          <cell r="AK77">
            <v>11</v>
          </cell>
        </row>
        <row r="78">
          <cell r="A78">
            <v>71</v>
          </cell>
          <cell r="B78" t="str">
            <v>Kalitidu</v>
          </cell>
          <cell r="C78">
            <v>350122027</v>
          </cell>
          <cell r="D78">
            <v>0</v>
          </cell>
          <cell r="E78">
            <v>0</v>
          </cell>
          <cell r="F78">
            <v>22</v>
          </cell>
          <cell r="G78">
            <v>0</v>
          </cell>
          <cell r="H78">
            <v>0</v>
          </cell>
          <cell r="I78">
            <v>0</v>
          </cell>
          <cell r="J78">
            <v>5</v>
          </cell>
          <cell r="K78">
            <v>39</v>
          </cell>
          <cell r="L78">
            <v>0</v>
          </cell>
          <cell r="M78">
            <v>8</v>
          </cell>
          <cell r="N78">
            <v>0</v>
          </cell>
          <cell r="O78">
            <v>17</v>
          </cell>
          <cell r="P78">
            <v>0</v>
          </cell>
          <cell r="Q78">
            <v>34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8</v>
          </cell>
          <cell r="W78">
            <v>3.5</v>
          </cell>
          <cell r="X78">
            <v>12</v>
          </cell>
          <cell r="Y78">
            <v>0</v>
          </cell>
          <cell r="Z78">
            <v>12.5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1</v>
          </cell>
          <cell r="AI78">
            <v>162</v>
          </cell>
          <cell r="AJ78">
            <v>39</v>
          </cell>
          <cell r="AK78">
            <v>11</v>
          </cell>
        </row>
        <row r="79">
          <cell r="A79">
            <v>72</v>
          </cell>
          <cell r="B79" t="str">
            <v>Pajeng</v>
          </cell>
          <cell r="C79">
            <v>350122026</v>
          </cell>
          <cell r="D79">
            <v>13.5</v>
          </cell>
          <cell r="E79">
            <v>54</v>
          </cell>
          <cell r="F79">
            <v>0</v>
          </cell>
          <cell r="G79">
            <v>0</v>
          </cell>
          <cell r="H79">
            <v>36.5</v>
          </cell>
          <cell r="I79">
            <v>0</v>
          </cell>
          <cell r="J79">
            <v>0</v>
          </cell>
          <cell r="K79">
            <v>2</v>
          </cell>
          <cell r="L79">
            <v>2.5</v>
          </cell>
          <cell r="M79">
            <v>19.5</v>
          </cell>
          <cell r="N79">
            <v>0</v>
          </cell>
          <cell r="O79">
            <v>84.5</v>
          </cell>
          <cell r="P79">
            <v>5.5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29</v>
          </cell>
          <cell r="W79">
            <v>41.5</v>
          </cell>
          <cell r="X79">
            <v>14</v>
          </cell>
          <cell r="Y79">
            <v>5.5</v>
          </cell>
          <cell r="Z79">
            <v>11.5</v>
          </cell>
          <cell r="AA79">
            <v>14.5</v>
          </cell>
          <cell r="AB79">
            <v>0</v>
          </cell>
          <cell r="AC79">
            <v>6.5</v>
          </cell>
          <cell r="AD79">
            <v>0</v>
          </cell>
          <cell r="AE79">
            <v>1.5</v>
          </cell>
          <cell r="AF79">
            <v>1</v>
          </cell>
          <cell r="AG79">
            <v>1</v>
          </cell>
          <cell r="AH79">
            <v>6</v>
          </cell>
          <cell r="AI79">
            <v>350</v>
          </cell>
          <cell r="AJ79">
            <v>84.5</v>
          </cell>
          <cell r="AK79">
            <v>19</v>
          </cell>
        </row>
        <row r="80">
          <cell r="A80">
            <v>73</v>
          </cell>
          <cell r="B80" t="str">
            <v>Ngraho</v>
          </cell>
          <cell r="C80">
            <v>350122025</v>
          </cell>
          <cell r="D80">
            <v>8</v>
          </cell>
          <cell r="E80">
            <v>5</v>
          </cell>
          <cell r="F80">
            <v>30</v>
          </cell>
          <cell r="G80">
            <v>0</v>
          </cell>
          <cell r="H80">
            <v>2</v>
          </cell>
          <cell r="I80">
            <v>0</v>
          </cell>
          <cell r="J80">
            <v>7</v>
          </cell>
          <cell r="K80">
            <v>18</v>
          </cell>
          <cell r="L80">
            <v>0</v>
          </cell>
          <cell r="M80">
            <v>7</v>
          </cell>
          <cell r="N80">
            <v>4</v>
          </cell>
          <cell r="O80">
            <v>41</v>
          </cell>
          <cell r="P80">
            <v>2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</v>
          </cell>
          <cell r="W80">
            <v>17</v>
          </cell>
          <cell r="X80">
            <v>26</v>
          </cell>
          <cell r="Y80">
            <v>0</v>
          </cell>
          <cell r="Z80">
            <v>2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2</v>
          </cell>
          <cell r="AI80">
            <v>178</v>
          </cell>
          <cell r="AJ80">
            <v>41</v>
          </cell>
          <cell r="AK80">
            <v>15</v>
          </cell>
        </row>
        <row r="81">
          <cell r="A81">
            <v>74</v>
          </cell>
          <cell r="B81" t="str">
            <v>Wonocolo</v>
          </cell>
          <cell r="C81">
            <v>350122024</v>
          </cell>
          <cell r="D81">
            <v>0</v>
          </cell>
          <cell r="E81">
            <v>0</v>
          </cell>
          <cell r="F81">
            <v>48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</v>
          </cell>
          <cell r="L81">
            <v>0</v>
          </cell>
          <cell r="M81">
            <v>5</v>
          </cell>
          <cell r="N81">
            <v>9</v>
          </cell>
          <cell r="O81">
            <v>10</v>
          </cell>
          <cell r="P81">
            <v>0</v>
          </cell>
          <cell r="Q81">
            <v>22</v>
          </cell>
          <cell r="R81">
            <v>0</v>
          </cell>
          <cell r="S81">
            <v>0</v>
          </cell>
          <cell r="T81">
            <v>0</v>
          </cell>
          <cell r="U81">
            <v>6</v>
          </cell>
          <cell r="V81">
            <v>10</v>
          </cell>
          <cell r="W81">
            <v>8</v>
          </cell>
          <cell r="X81">
            <v>26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147</v>
          </cell>
          <cell r="AJ81">
            <v>48</v>
          </cell>
          <cell r="AK81">
            <v>10</v>
          </cell>
        </row>
        <row r="82">
          <cell r="A82">
            <v>75</v>
          </cell>
          <cell r="B82" t="str">
            <v>Tretes/pacal</v>
          </cell>
          <cell r="C82">
            <v>350122023</v>
          </cell>
          <cell r="D82">
            <v>14.5</v>
          </cell>
          <cell r="E82">
            <v>32</v>
          </cell>
          <cell r="F82">
            <v>10.4</v>
          </cell>
          <cell r="G82">
            <v>0</v>
          </cell>
          <cell r="H82">
            <v>11</v>
          </cell>
          <cell r="I82">
            <v>0</v>
          </cell>
          <cell r="J82">
            <v>1.5</v>
          </cell>
          <cell r="K82">
            <v>3</v>
          </cell>
          <cell r="L82">
            <v>1.5</v>
          </cell>
          <cell r="M82">
            <v>11</v>
          </cell>
          <cell r="N82">
            <v>1</v>
          </cell>
          <cell r="O82">
            <v>72</v>
          </cell>
          <cell r="P82">
            <v>3</v>
          </cell>
          <cell r="Q82">
            <v>2</v>
          </cell>
          <cell r="R82">
            <v>0</v>
          </cell>
          <cell r="S82">
            <v>2</v>
          </cell>
          <cell r="T82">
            <v>0</v>
          </cell>
          <cell r="U82">
            <v>10</v>
          </cell>
          <cell r="V82">
            <v>34</v>
          </cell>
          <cell r="W82">
            <v>26</v>
          </cell>
          <cell r="X82">
            <v>7</v>
          </cell>
          <cell r="Y82">
            <v>3.2</v>
          </cell>
          <cell r="Z82">
            <v>8</v>
          </cell>
          <cell r="AA82">
            <v>4</v>
          </cell>
          <cell r="AB82">
            <v>0</v>
          </cell>
          <cell r="AC82">
            <v>1.5</v>
          </cell>
          <cell r="AD82">
            <v>0</v>
          </cell>
          <cell r="AE82">
            <v>5.8</v>
          </cell>
          <cell r="AF82">
            <v>4</v>
          </cell>
          <cell r="AG82">
            <v>0</v>
          </cell>
          <cell r="AH82">
            <v>8</v>
          </cell>
          <cell r="AI82">
            <v>276.40000000000003</v>
          </cell>
          <cell r="AJ82">
            <v>72</v>
          </cell>
          <cell r="AK82">
            <v>24</v>
          </cell>
        </row>
        <row r="83">
          <cell r="A83">
            <v>76</v>
          </cell>
          <cell r="B83" t="str">
            <v>Sumberejo</v>
          </cell>
          <cell r="C83">
            <v>350122022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22</v>
          </cell>
          <cell r="L83">
            <v>0</v>
          </cell>
          <cell r="M83">
            <v>2</v>
          </cell>
          <cell r="N83">
            <v>0</v>
          </cell>
          <cell r="O83">
            <v>14</v>
          </cell>
          <cell r="P83">
            <v>0</v>
          </cell>
          <cell r="Q83">
            <v>30</v>
          </cell>
          <cell r="R83">
            <v>0</v>
          </cell>
          <cell r="S83">
            <v>8</v>
          </cell>
          <cell r="T83">
            <v>0</v>
          </cell>
          <cell r="U83">
            <v>0</v>
          </cell>
          <cell r="V83">
            <v>42</v>
          </cell>
          <cell r="W83">
            <v>36</v>
          </cell>
          <cell r="X83">
            <v>12</v>
          </cell>
          <cell r="Y83">
            <v>0</v>
          </cell>
          <cell r="Z83">
            <v>27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35</v>
          </cell>
          <cell r="AG83">
            <v>3</v>
          </cell>
          <cell r="AH83">
            <v>7</v>
          </cell>
          <cell r="AI83">
            <v>238</v>
          </cell>
          <cell r="AJ83">
            <v>42</v>
          </cell>
          <cell r="AK83">
            <v>12</v>
          </cell>
        </row>
        <row r="84">
          <cell r="A84">
            <v>77</v>
          </cell>
          <cell r="B84" t="str">
            <v>Sukun</v>
          </cell>
          <cell r="C84">
            <v>350122021</v>
          </cell>
          <cell r="D84">
            <v>21</v>
          </cell>
          <cell r="E84">
            <v>0</v>
          </cell>
          <cell r="F84">
            <v>20</v>
          </cell>
          <cell r="G84">
            <v>0</v>
          </cell>
          <cell r="H84">
            <v>2</v>
          </cell>
          <cell r="I84">
            <v>0</v>
          </cell>
          <cell r="J84">
            <v>0</v>
          </cell>
          <cell r="K84">
            <v>0</v>
          </cell>
          <cell r="L84">
            <v>12</v>
          </cell>
          <cell r="M84">
            <v>7</v>
          </cell>
          <cell r="N84">
            <v>64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44</v>
          </cell>
          <cell r="W84">
            <v>38</v>
          </cell>
          <cell r="X84">
            <v>0</v>
          </cell>
          <cell r="Y84">
            <v>8</v>
          </cell>
          <cell r="Z84">
            <v>3</v>
          </cell>
          <cell r="AA84">
            <v>7</v>
          </cell>
          <cell r="AB84">
            <v>27</v>
          </cell>
          <cell r="AC84">
            <v>0</v>
          </cell>
          <cell r="AD84">
            <v>0</v>
          </cell>
          <cell r="AE84">
            <v>7</v>
          </cell>
          <cell r="AF84">
            <v>0</v>
          </cell>
          <cell r="AG84">
            <v>0</v>
          </cell>
          <cell r="AH84">
            <v>0.5</v>
          </cell>
          <cell r="AI84">
            <v>260.5</v>
          </cell>
          <cell r="AJ84">
            <v>64</v>
          </cell>
          <cell r="AK84">
            <v>14</v>
          </cell>
        </row>
        <row r="85">
          <cell r="A85">
            <v>78</v>
          </cell>
          <cell r="B85" t="str">
            <v>Sugihan</v>
          </cell>
          <cell r="C85">
            <v>350122020</v>
          </cell>
          <cell r="D85">
            <v>34</v>
          </cell>
          <cell r="E85">
            <v>47</v>
          </cell>
          <cell r="F85">
            <v>3</v>
          </cell>
          <cell r="G85">
            <v>0</v>
          </cell>
          <cell r="H85">
            <v>0</v>
          </cell>
          <cell r="I85">
            <v>7</v>
          </cell>
          <cell r="J85">
            <v>0</v>
          </cell>
          <cell r="K85">
            <v>5</v>
          </cell>
          <cell r="L85">
            <v>0</v>
          </cell>
          <cell r="M85">
            <v>0</v>
          </cell>
          <cell r="N85">
            <v>3</v>
          </cell>
          <cell r="O85">
            <v>59</v>
          </cell>
          <cell r="P85">
            <v>2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6</v>
          </cell>
          <cell r="V85">
            <v>54</v>
          </cell>
          <cell r="W85">
            <v>43</v>
          </cell>
          <cell r="X85">
            <v>9</v>
          </cell>
          <cell r="Y85">
            <v>6</v>
          </cell>
          <cell r="Z85">
            <v>8</v>
          </cell>
          <cell r="AA85">
            <v>3</v>
          </cell>
          <cell r="AB85">
            <v>0</v>
          </cell>
          <cell r="AC85">
            <v>21</v>
          </cell>
          <cell r="AD85">
            <v>0</v>
          </cell>
          <cell r="AE85">
            <v>2</v>
          </cell>
          <cell r="AF85">
            <v>17</v>
          </cell>
          <cell r="AG85">
            <v>11</v>
          </cell>
          <cell r="AH85">
            <v>7</v>
          </cell>
          <cell r="AI85">
            <v>347</v>
          </cell>
          <cell r="AJ85">
            <v>59</v>
          </cell>
          <cell r="AK85">
            <v>20</v>
          </cell>
        </row>
        <row r="86">
          <cell r="A86">
            <v>79</v>
          </cell>
          <cell r="B86" t="str">
            <v>Setren</v>
          </cell>
          <cell r="C86">
            <v>350122019</v>
          </cell>
          <cell r="D86">
            <v>19</v>
          </cell>
          <cell r="E86">
            <v>0</v>
          </cell>
          <cell r="F86">
            <v>7</v>
          </cell>
          <cell r="G86">
            <v>0</v>
          </cell>
          <cell r="H86">
            <v>0</v>
          </cell>
          <cell r="I86">
            <v>6</v>
          </cell>
          <cell r="J86">
            <v>0</v>
          </cell>
          <cell r="K86">
            <v>25</v>
          </cell>
          <cell r="L86">
            <v>5</v>
          </cell>
          <cell r="M86">
            <v>6.5</v>
          </cell>
          <cell r="N86">
            <v>0</v>
          </cell>
          <cell r="O86">
            <v>32</v>
          </cell>
          <cell r="P86">
            <v>4</v>
          </cell>
          <cell r="Q86">
            <v>1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34</v>
          </cell>
          <cell r="W86">
            <v>20</v>
          </cell>
          <cell r="X86">
            <v>16</v>
          </cell>
          <cell r="Y86">
            <v>0</v>
          </cell>
          <cell r="Z86">
            <v>2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15</v>
          </cell>
          <cell r="AG86">
            <v>0</v>
          </cell>
          <cell r="AH86">
            <v>27</v>
          </cell>
          <cell r="AI86">
            <v>219.5</v>
          </cell>
          <cell r="AJ86">
            <v>34</v>
          </cell>
          <cell r="AK86">
            <v>15</v>
          </cell>
        </row>
        <row r="87">
          <cell r="A87">
            <v>80</v>
          </cell>
          <cell r="B87" t="str">
            <v>Panjang</v>
          </cell>
          <cell r="C87">
            <v>350122018</v>
          </cell>
          <cell r="D87">
            <v>38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9</v>
          </cell>
          <cell r="J87">
            <v>22</v>
          </cell>
          <cell r="K87">
            <v>0</v>
          </cell>
          <cell r="L87">
            <v>72</v>
          </cell>
          <cell r="M87">
            <v>5</v>
          </cell>
          <cell r="N87">
            <v>35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57</v>
          </cell>
          <cell r="W87">
            <v>29</v>
          </cell>
          <cell r="X87">
            <v>26</v>
          </cell>
          <cell r="Y87">
            <v>9</v>
          </cell>
          <cell r="Z87">
            <v>9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40</v>
          </cell>
          <cell r="AG87">
            <v>13</v>
          </cell>
          <cell r="AH87">
            <v>0</v>
          </cell>
          <cell r="AI87">
            <v>364</v>
          </cell>
          <cell r="AJ87">
            <v>72</v>
          </cell>
          <cell r="AK87">
            <v>13</v>
          </cell>
        </row>
        <row r="88">
          <cell r="A88">
            <v>81</v>
          </cell>
          <cell r="B88" t="str">
            <v>Deling</v>
          </cell>
          <cell r="C88">
            <v>350122017</v>
          </cell>
          <cell r="D88">
            <v>67</v>
          </cell>
          <cell r="E88">
            <v>19</v>
          </cell>
          <cell r="F88">
            <v>32</v>
          </cell>
          <cell r="G88">
            <v>0</v>
          </cell>
          <cell r="H88">
            <v>0</v>
          </cell>
          <cell r="I88">
            <v>0</v>
          </cell>
          <cell r="J88">
            <v>5</v>
          </cell>
          <cell r="K88">
            <v>9</v>
          </cell>
          <cell r="L88">
            <v>23</v>
          </cell>
          <cell r="M88">
            <v>21</v>
          </cell>
          <cell r="N88">
            <v>0</v>
          </cell>
          <cell r="O88">
            <v>125</v>
          </cell>
          <cell r="P88">
            <v>1</v>
          </cell>
          <cell r="Q88">
            <v>0</v>
          </cell>
          <cell r="R88">
            <v>0</v>
          </cell>
          <cell r="S88">
            <v>15</v>
          </cell>
          <cell r="T88">
            <v>0</v>
          </cell>
          <cell r="U88">
            <v>9</v>
          </cell>
          <cell r="V88">
            <v>29</v>
          </cell>
          <cell r="W88">
            <v>31</v>
          </cell>
          <cell r="X88">
            <v>19</v>
          </cell>
          <cell r="Y88">
            <v>0</v>
          </cell>
          <cell r="Z88">
            <v>28</v>
          </cell>
          <cell r="AA88">
            <v>24</v>
          </cell>
          <cell r="AB88">
            <v>0</v>
          </cell>
          <cell r="AC88">
            <v>46</v>
          </cell>
          <cell r="AD88">
            <v>0</v>
          </cell>
          <cell r="AE88">
            <v>34</v>
          </cell>
          <cell r="AF88">
            <v>0</v>
          </cell>
          <cell r="AG88">
            <v>0</v>
          </cell>
          <cell r="AH88">
            <v>48</v>
          </cell>
          <cell r="AI88">
            <v>585</v>
          </cell>
          <cell r="AJ88">
            <v>125</v>
          </cell>
          <cell r="AK88">
            <v>19</v>
          </cell>
        </row>
        <row r="89">
          <cell r="A89">
            <v>82</v>
          </cell>
          <cell r="B89" t="str">
            <v>Mekuris</v>
          </cell>
          <cell r="C89">
            <v>350122016</v>
          </cell>
          <cell r="D89">
            <v>2</v>
          </cell>
          <cell r="E89">
            <v>14</v>
          </cell>
          <cell r="F89">
            <v>0</v>
          </cell>
          <cell r="G89">
            <v>0</v>
          </cell>
          <cell r="H89">
            <v>5</v>
          </cell>
          <cell r="I89">
            <v>0</v>
          </cell>
          <cell r="J89">
            <v>0</v>
          </cell>
          <cell r="K89">
            <v>11</v>
          </cell>
          <cell r="L89">
            <v>0</v>
          </cell>
          <cell r="M89">
            <v>5</v>
          </cell>
          <cell r="N89">
            <v>0</v>
          </cell>
          <cell r="O89">
            <v>12</v>
          </cell>
          <cell r="P89">
            <v>11</v>
          </cell>
          <cell r="Q89">
            <v>8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54</v>
          </cell>
          <cell r="W89">
            <v>33</v>
          </cell>
          <cell r="X89">
            <v>10</v>
          </cell>
          <cell r="Y89">
            <v>8</v>
          </cell>
          <cell r="Z89">
            <v>14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6.5</v>
          </cell>
          <cell r="AG89">
            <v>3</v>
          </cell>
          <cell r="AH89">
            <v>4</v>
          </cell>
          <cell r="AI89">
            <v>200.5</v>
          </cell>
          <cell r="AJ89">
            <v>54</v>
          </cell>
          <cell r="AK89">
            <v>16</v>
          </cell>
        </row>
        <row r="90">
          <cell r="A90">
            <v>83</v>
          </cell>
          <cell r="B90" t="str">
            <v>Leran</v>
          </cell>
          <cell r="C90">
            <v>350122015</v>
          </cell>
          <cell r="D90">
            <v>0</v>
          </cell>
          <cell r="E90">
            <v>0</v>
          </cell>
          <cell r="F90">
            <v>2</v>
          </cell>
          <cell r="G90">
            <v>1</v>
          </cell>
          <cell r="H90">
            <v>0</v>
          </cell>
          <cell r="I90">
            <v>0</v>
          </cell>
          <cell r="J90">
            <v>8</v>
          </cell>
          <cell r="K90">
            <v>14</v>
          </cell>
          <cell r="L90">
            <v>0</v>
          </cell>
          <cell r="M90">
            <v>2</v>
          </cell>
          <cell r="N90">
            <v>0</v>
          </cell>
          <cell r="O90">
            <v>31</v>
          </cell>
          <cell r="P90">
            <v>7</v>
          </cell>
          <cell r="Q90">
            <v>3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15</v>
          </cell>
          <cell r="W90">
            <v>8</v>
          </cell>
          <cell r="X90">
            <v>17</v>
          </cell>
          <cell r="Y90">
            <v>0</v>
          </cell>
          <cell r="Z90">
            <v>16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2</v>
          </cell>
          <cell r="AI90">
            <v>126</v>
          </cell>
          <cell r="AJ90">
            <v>31</v>
          </cell>
          <cell r="AK90">
            <v>13</v>
          </cell>
        </row>
        <row r="91">
          <cell r="A91">
            <v>84</v>
          </cell>
          <cell r="B91" t="str">
            <v>Klepek</v>
          </cell>
          <cell r="C91">
            <v>350122014</v>
          </cell>
          <cell r="D91">
            <v>15</v>
          </cell>
          <cell r="E91">
            <v>40</v>
          </cell>
          <cell r="F91">
            <v>21</v>
          </cell>
          <cell r="G91">
            <v>0</v>
          </cell>
          <cell r="H91">
            <v>0</v>
          </cell>
          <cell r="I91">
            <v>0</v>
          </cell>
          <cell r="J91">
            <v>17</v>
          </cell>
          <cell r="K91">
            <v>38</v>
          </cell>
          <cell r="L91">
            <v>0</v>
          </cell>
          <cell r="M91">
            <v>3</v>
          </cell>
          <cell r="N91">
            <v>15</v>
          </cell>
          <cell r="O91">
            <v>32</v>
          </cell>
          <cell r="P91">
            <v>2</v>
          </cell>
          <cell r="Q91">
            <v>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56</v>
          </cell>
          <cell r="W91">
            <v>18</v>
          </cell>
          <cell r="X91">
            <v>14</v>
          </cell>
          <cell r="Y91">
            <v>0</v>
          </cell>
          <cell r="Z91">
            <v>8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19</v>
          </cell>
          <cell r="AG91">
            <v>3</v>
          </cell>
          <cell r="AH91">
            <v>7</v>
          </cell>
          <cell r="AI91">
            <v>313</v>
          </cell>
          <cell r="AJ91">
            <v>56</v>
          </cell>
          <cell r="AK91">
            <v>17</v>
          </cell>
        </row>
        <row r="92">
          <cell r="A92">
            <v>85</v>
          </cell>
          <cell r="B92" t="str">
            <v>Kerjo</v>
          </cell>
          <cell r="C92">
            <v>350122013</v>
          </cell>
          <cell r="D92">
            <v>4</v>
          </cell>
          <cell r="E92">
            <v>19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29</v>
          </cell>
          <cell r="K92">
            <v>23</v>
          </cell>
          <cell r="L92">
            <v>8</v>
          </cell>
          <cell r="M92">
            <v>17</v>
          </cell>
          <cell r="N92">
            <v>0</v>
          </cell>
          <cell r="O92">
            <v>11</v>
          </cell>
          <cell r="P92">
            <v>5</v>
          </cell>
          <cell r="Q92">
            <v>8</v>
          </cell>
          <cell r="R92">
            <v>12</v>
          </cell>
          <cell r="S92">
            <v>0</v>
          </cell>
          <cell r="T92">
            <v>0</v>
          </cell>
          <cell r="U92">
            <v>0</v>
          </cell>
          <cell r="V92">
            <v>34</v>
          </cell>
          <cell r="W92">
            <v>13</v>
          </cell>
          <cell r="X92">
            <v>13</v>
          </cell>
          <cell r="Y92">
            <v>10</v>
          </cell>
          <cell r="Z92">
            <v>8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29</v>
          </cell>
          <cell r="AG92">
            <v>8</v>
          </cell>
          <cell r="AH92">
            <v>7</v>
          </cell>
          <cell r="AI92">
            <v>258</v>
          </cell>
          <cell r="AJ92">
            <v>34</v>
          </cell>
          <cell r="AK92">
            <v>18</v>
          </cell>
        </row>
        <row r="93">
          <cell r="A93">
            <v>86</v>
          </cell>
          <cell r="B93" t="str">
            <v>Kendung</v>
          </cell>
          <cell r="C93">
            <v>350122012</v>
          </cell>
          <cell r="D93">
            <v>10</v>
          </cell>
          <cell r="E93">
            <v>0</v>
          </cell>
          <cell r="F93">
            <v>18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85</v>
          </cell>
          <cell r="M93">
            <v>43</v>
          </cell>
          <cell r="N93">
            <v>0</v>
          </cell>
          <cell r="O93">
            <v>6</v>
          </cell>
          <cell r="P93">
            <v>13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61</v>
          </cell>
          <cell r="W93">
            <v>23</v>
          </cell>
          <cell r="X93">
            <v>4</v>
          </cell>
          <cell r="Y93">
            <v>36</v>
          </cell>
          <cell r="Z93">
            <v>33</v>
          </cell>
          <cell r="AA93">
            <v>17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27</v>
          </cell>
          <cell r="AG93">
            <v>7</v>
          </cell>
          <cell r="AH93">
            <v>3</v>
          </cell>
          <cell r="AI93">
            <v>386</v>
          </cell>
          <cell r="AJ93">
            <v>85</v>
          </cell>
          <cell r="AK93">
            <v>15</v>
          </cell>
        </row>
        <row r="94">
          <cell r="A94">
            <v>87</v>
          </cell>
          <cell r="B94" t="str">
            <v>Karangnongko</v>
          </cell>
          <cell r="C94">
            <v>350122011</v>
          </cell>
          <cell r="D94">
            <v>4</v>
          </cell>
          <cell r="E94">
            <v>38.5</v>
          </cell>
          <cell r="F94">
            <v>8</v>
          </cell>
          <cell r="G94">
            <v>6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26.5</v>
          </cell>
          <cell r="M94">
            <v>0</v>
          </cell>
          <cell r="N94">
            <v>0</v>
          </cell>
          <cell r="O94">
            <v>0</v>
          </cell>
          <cell r="P94">
            <v>10.5</v>
          </cell>
          <cell r="Q94">
            <v>5.5</v>
          </cell>
          <cell r="R94">
            <v>0</v>
          </cell>
          <cell r="S94">
            <v>10</v>
          </cell>
          <cell r="T94">
            <v>12</v>
          </cell>
          <cell r="U94">
            <v>38</v>
          </cell>
          <cell r="V94">
            <v>21.5</v>
          </cell>
          <cell r="W94">
            <v>0</v>
          </cell>
          <cell r="X94">
            <v>8</v>
          </cell>
          <cell r="Y94">
            <v>18</v>
          </cell>
          <cell r="Z94">
            <v>82.5</v>
          </cell>
          <cell r="AA94">
            <v>0</v>
          </cell>
          <cell r="AB94">
            <v>0</v>
          </cell>
          <cell r="AC94">
            <v>0</v>
          </cell>
          <cell r="AD94">
            <v>46.5</v>
          </cell>
          <cell r="AE94">
            <v>0</v>
          </cell>
          <cell r="AF94">
            <v>8</v>
          </cell>
          <cell r="AG94">
            <v>23</v>
          </cell>
          <cell r="AH94">
            <v>0</v>
          </cell>
          <cell r="AI94">
            <v>366.5</v>
          </cell>
          <cell r="AJ94">
            <v>82.5</v>
          </cell>
          <cell r="AK94">
            <v>17</v>
          </cell>
        </row>
        <row r="95">
          <cell r="A95">
            <v>88</v>
          </cell>
          <cell r="B95" t="str">
            <v>Kapas</v>
          </cell>
          <cell r="C95">
            <v>350122010</v>
          </cell>
          <cell r="D95">
            <v>1</v>
          </cell>
          <cell r="E95">
            <v>31</v>
          </cell>
          <cell r="F95">
            <v>2</v>
          </cell>
          <cell r="G95">
            <v>0</v>
          </cell>
          <cell r="H95">
            <v>0</v>
          </cell>
          <cell r="I95">
            <v>0</v>
          </cell>
          <cell r="J95">
            <v>17</v>
          </cell>
          <cell r="K95">
            <v>18</v>
          </cell>
          <cell r="L95">
            <v>0</v>
          </cell>
          <cell r="M95">
            <v>4</v>
          </cell>
          <cell r="N95">
            <v>0</v>
          </cell>
          <cell r="O95">
            <v>24</v>
          </cell>
          <cell r="P95">
            <v>10</v>
          </cell>
          <cell r="Q95">
            <v>13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24</v>
          </cell>
          <cell r="W95">
            <v>30</v>
          </cell>
          <cell r="X95">
            <v>19</v>
          </cell>
          <cell r="Y95">
            <v>4</v>
          </cell>
          <cell r="Z95">
            <v>27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3</v>
          </cell>
          <cell r="AG95">
            <v>0</v>
          </cell>
          <cell r="AH95">
            <v>3</v>
          </cell>
          <cell r="AI95">
            <v>230</v>
          </cell>
          <cell r="AJ95">
            <v>31</v>
          </cell>
          <cell r="AK95">
            <v>16</v>
          </cell>
        </row>
        <row r="96">
          <cell r="A96">
            <v>89</v>
          </cell>
          <cell r="B96" t="str">
            <v>Kanor</v>
          </cell>
          <cell r="C96">
            <v>350122009</v>
          </cell>
          <cell r="D96">
            <v>0</v>
          </cell>
          <cell r="E96">
            <v>0</v>
          </cell>
          <cell r="F96">
            <v>0</v>
          </cell>
          <cell r="G96">
            <v>10</v>
          </cell>
          <cell r="H96">
            <v>7</v>
          </cell>
          <cell r="I96">
            <v>0</v>
          </cell>
          <cell r="J96">
            <v>15</v>
          </cell>
          <cell r="K96">
            <v>0</v>
          </cell>
          <cell r="L96">
            <v>0</v>
          </cell>
          <cell r="M96">
            <v>0</v>
          </cell>
          <cell r="N96">
            <v>47</v>
          </cell>
          <cell r="O96">
            <v>29</v>
          </cell>
          <cell r="P96">
            <v>17</v>
          </cell>
          <cell r="Q96">
            <v>0</v>
          </cell>
          <cell r="R96">
            <v>8</v>
          </cell>
          <cell r="S96">
            <v>5</v>
          </cell>
          <cell r="T96">
            <v>0</v>
          </cell>
          <cell r="U96">
            <v>11</v>
          </cell>
          <cell r="V96">
            <v>5</v>
          </cell>
          <cell r="W96">
            <v>0</v>
          </cell>
          <cell r="X96">
            <v>0</v>
          </cell>
          <cell r="Y96">
            <v>11</v>
          </cell>
          <cell r="Z96">
            <v>0</v>
          </cell>
          <cell r="AA96">
            <v>53</v>
          </cell>
          <cell r="AB96">
            <v>13</v>
          </cell>
          <cell r="AC96">
            <v>4</v>
          </cell>
          <cell r="AD96">
            <v>5</v>
          </cell>
          <cell r="AE96">
            <v>6</v>
          </cell>
          <cell r="AF96">
            <v>27</v>
          </cell>
          <cell r="AG96">
            <v>15</v>
          </cell>
          <cell r="AH96">
            <v>0</v>
          </cell>
          <cell r="AI96">
            <v>288</v>
          </cell>
          <cell r="AJ96">
            <v>53</v>
          </cell>
          <cell r="AK96">
            <v>18</v>
          </cell>
        </row>
        <row r="97">
          <cell r="A97">
            <v>90</v>
          </cell>
          <cell r="B97" t="str">
            <v>Jatiblimbing</v>
          </cell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17</v>
          </cell>
          <cell r="J97">
            <v>15</v>
          </cell>
          <cell r="K97">
            <v>0</v>
          </cell>
          <cell r="L97">
            <v>2</v>
          </cell>
          <cell r="M97">
            <v>3</v>
          </cell>
          <cell r="N97">
            <v>42</v>
          </cell>
          <cell r="O97">
            <v>33</v>
          </cell>
          <cell r="P97">
            <v>9</v>
          </cell>
          <cell r="Q97">
            <v>5</v>
          </cell>
          <cell r="R97">
            <v>0</v>
          </cell>
          <cell r="S97">
            <v>2</v>
          </cell>
          <cell r="T97">
            <v>45</v>
          </cell>
          <cell r="U97">
            <v>20</v>
          </cell>
          <cell r="V97">
            <v>15</v>
          </cell>
          <cell r="W97">
            <v>3</v>
          </cell>
          <cell r="X97">
            <v>64</v>
          </cell>
          <cell r="Y97">
            <v>59</v>
          </cell>
          <cell r="Z97">
            <v>2</v>
          </cell>
          <cell r="AA97">
            <v>5</v>
          </cell>
          <cell r="AB97">
            <v>29</v>
          </cell>
          <cell r="AC97">
            <v>4</v>
          </cell>
          <cell r="AD97">
            <v>23</v>
          </cell>
          <cell r="AE97">
            <v>6</v>
          </cell>
          <cell r="AF97">
            <v>5</v>
          </cell>
          <cell r="AG97">
            <v>18</v>
          </cell>
          <cell r="AH97">
            <v>0</v>
          </cell>
          <cell r="AI97">
            <v>426</v>
          </cell>
          <cell r="AJ97">
            <v>64</v>
          </cell>
          <cell r="AK97">
            <v>23</v>
          </cell>
        </row>
        <row r="98">
          <cell r="A98">
            <v>91</v>
          </cell>
          <cell r="B98" t="str">
            <v>Gondang BJNG</v>
          </cell>
          <cell r="C98">
            <v>350122007</v>
          </cell>
          <cell r="D98">
            <v>9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20</v>
          </cell>
          <cell r="J98">
            <v>6</v>
          </cell>
          <cell r="K98">
            <v>0</v>
          </cell>
          <cell r="L98">
            <v>0</v>
          </cell>
          <cell r="M98">
            <v>0</v>
          </cell>
          <cell r="N98">
            <v>18</v>
          </cell>
          <cell r="O98">
            <v>17</v>
          </cell>
          <cell r="P98">
            <v>19</v>
          </cell>
          <cell r="Q98">
            <v>23</v>
          </cell>
          <cell r="R98">
            <v>11</v>
          </cell>
          <cell r="S98">
            <v>13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7</v>
          </cell>
          <cell r="Z98">
            <v>2</v>
          </cell>
          <cell r="AA98">
            <v>8</v>
          </cell>
          <cell r="AB98">
            <v>19</v>
          </cell>
          <cell r="AC98">
            <v>0</v>
          </cell>
          <cell r="AD98">
            <v>0</v>
          </cell>
          <cell r="AE98">
            <v>4</v>
          </cell>
          <cell r="AF98">
            <v>0</v>
          </cell>
          <cell r="AG98">
            <v>16</v>
          </cell>
          <cell r="AH98">
            <v>2</v>
          </cell>
          <cell r="AI98">
            <v>194</v>
          </cell>
          <cell r="AJ98">
            <v>23</v>
          </cell>
          <cell r="AK98">
            <v>16</v>
          </cell>
        </row>
        <row r="99">
          <cell r="A99">
            <v>92</v>
          </cell>
          <cell r="B99" t="str">
            <v>Gangseng</v>
          </cell>
          <cell r="C99">
            <v>350122006</v>
          </cell>
          <cell r="D99">
            <v>9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3</v>
          </cell>
          <cell r="J99">
            <v>37</v>
          </cell>
          <cell r="K99">
            <v>5</v>
          </cell>
          <cell r="L99">
            <v>0</v>
          </cell>
          <cell r="M99">
            <v>0</v>
          </cell>
          <cell r="N99">
            <v>28</v>
          </cell>
          <cell r="O99">
            <v>38</v>
          </cell>
          <cell r="P99">
            <v>49</v>
          </cell>
          <cell r="Q99">
            <v>21</v>
          </cell>
          <cell r="R99">
            <v>12</v>
          </cell>
          <cell r="S99">
            <v>16</v>
          </cell>
          <cell r="T99">
            <v>12</v>
          </cell>
          <cell r="U99">
            <v>25</v>
          </cell>
          <cell r="V99">
            <v>4</v>
          </cell>
          <cell r="W99">
            <v>12</v>
          </cell>
          <cell r="X99">
            <v>0</v>
          </cell>
          <cell r="Y99">
            <v>7</v>
          </cell>
          <cell r="Z99">
            <v>15</v>
          </cell>
          <cell r="AA99">
            <v>0</v>
          </cell>
          <cell r="AB99">
            <v>32</v>
          </cell>
          <cell r="AC99">
            <v>18</v>
          </cell>
          <cell r="AD99">
            <v>0</v>
          </cell>
          <cell r="AE99">
            <v>23</v>
          </cell>
          <cell r="AF99">
            <v>13</v>
          </cell>
          <cell r="AG99">
            <v>18</v>
          </cell>
          <cell r="AH99">
            <v>0</v>
          </cell>
          <cell r="AI99">
            <v>397</v>
          </cell>
          <cell r="AJ99">
            <v>49</v>
          </cell>
          <cell r="AK99">
            <v>21</v>
          </cell>
        </row>
        <row r="100">
          <cell r="A100">
            <v>93</v>
          </cell>
          <cell r="B100" t="str">
            <v>Dander</v>
          </cell>
          <cell r="C100">
            <v>350122005</v>
          </cell>
          <cell r="D100">
            <v>10</v>
          </cell>
          <cell r="E100">
            <v>0</v>
          </cell>
          <cell r="F100">
            <v>16</v>
          </cell>
          <cell r="G100">
            <v>0</v>
          </cell>
          <cell r="H100">
            <v>0</v>
          </cell>
          <cell r="I100">
            <v>0</v>
          </cell>
          <cell r="J100">
            <v>7</v>
          </cell>
          <cell r="K100">
            <v>0</v>
          </cell>
          <cell r="L100">
            <v>0</v>
          </cell>
          <cell r="M100">
            <v>6</v>
          </cell>
          <cell r="N100">
            <v>0</v>
          </cell>
          <cell r="O100">
            <v>32</v>
          </cell>
          <cell r="P100">
            <v>0</v>
          </cell>
          <cell r="Q100">
            <v>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21</v>
          </cell>
          <cell r="W100">
            <v>33</v>
          </cell>
          <cell r="X100">
            <v>18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7</v>
          </cell>
          <cell r="AG100">
            <v>0</v>
          </cell>
          <cell r="AH100">
            <v>18</v>
          </cell>
          <cell r="AI100">
            <v>174</v>
          </cell>
          <cell r="AJ100">
            <v>33</v>
          </cell>
          <cell r="AK100">
            <v>11</v>
          </cell>
        </row>
        <row r="101">
          <cell r="A101">
            <v>94</v>
          </cell>
          <cell r="B101" t="str">
            <v>Cawak / Simorejo</v>
          </cell>
          <cell r="C101">
            <v>350122004</v>
          </cell>
          <cell r="D101">
            <v>2</v>
          </cell>
          <cell r="E101">
            <v>8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2</v>
          </cell>
          <cell r="K101">
            <v>46</v>
          </cell>
          <cell r="L101">
            <v>0</v>
          </cell>
          <cell r="M101">
            <v>11</v>
          </cell>
          <cell r="N101">
            <v>0</v>
          </cell>
          <cell r="O101">
            <v>12</v>
          </cell>
          <cell r="P101">
            <v>0</v>
          </cell>
          <cell r="Q101">
            <v>4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84</v>
          </cell>
          <cell r="W101">
            <v>24</v>
          </cell>
          <cell r="X101">
            <v>16</v>
          </cell>
          <cell r="Y101">
            <v>2</v>
          </cell>
          <cell r="Z101">
            <v>6</v>
          </cell>
          <cell r="AA101">
            <v>3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42</v>
          </cell>
          <cell r="AG101">
            <v>2</v>
          </cell>
          <cell r="AH101">
            <v>2</v>
          </cell>
          <cell r="AI101">
            <v>266</v>
          </cell>
          <cell r="AJ101">
            <v>84</v>
          </cell>
          <cell r="AK101">
            <v>16</v>
          </cell>
        </row>
        <row r="102">
          <cell r="A102">
            <v>95</v>
          </cell>
          <cell r="B102" t="str">
            <v>Bojonegoro</v>
          </cell>
          <cell r="C102">
            <v>350122003</v>
          </cell>
          <cell r="D102">
            <v>0</v>
          </cell>
          <cell r="E102">
            <v>0</v>
          </cell>
          <cell r="F102">
            <v>1</v>
          </cell>
          <cell r="G102">
            <v>0</v>
          </cell>
          <cell r="H102">
            <v>0</v>
          </cell>
          <cell r="I102">
            <v>4</v>
          </cell>
          <cell r="J102">
            <v>0</v>
          </cell>
          <cell r="K102">
            <v>0</v>
          </cell>
          <cell r="L102">
            <v>1</v>
          </cell>
          <cell r="M102">
            <v>0</v>
          </cell>
          <cell r="N102">
            <v>0</v>
          </cell>
          <cell r="O102">
            <v>8</v>
          </cell>
          <cell r="P102">
            <v>0</v>
          </cell>
          <cell r="Q102">
            <v>30</v>
          </cell>
          <cell r="R102">
            <v>0</v>
          </cell>
          <cell r="S102">
            <v>3</v>
          </cell>
          <cell r="T102">
            <v>0</v>
          </cell>
          <cell r="U102">
            <v>0</v>
          </cell>
          <cell r="V102">
            <v>18</v>
          </cell>
          <cell r="W102">
            <v>17</v>
          </cell>
          <cell r="X102">
            <v>3</v>
          </cell>
          <cell r="Y102">
            <v>0</v>
          </cell>
          <cell r="Z102">
            <v>30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1</v>
          </cell>
          <cell r="AI102">
            <v>116</v>
          </cell>
          <cell r="AJ102">
            <v>30</v>
          </cell>
          <cell r="AK102">
            <v>11</v>
          </cell>
        </row>
        <row r="103">
          <cell r="A103">
            <v>96</v>
          </cell>
          <cell r="B103" t="str">
            <v>Baureno</v>
          </cell>
          <cell r="C103">
            <v>350122002</v>
          </cell>
          <cell r="D103">
            <v>2</v>
          </cell>
          <cell r="E103">
            <v>7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20</v>
          </cell>
          <cell r="K103">
            <v>29</v>
          </cell>
          <cell r="L103">
            <v>0</v>
          </cell>
          <cell r="M103">
            <v>17</v>
          </cell>
          <cell r="N103">
            <v>0</v>
          </cell>
          <cell r="O103">
            <v>10</v>
          </cell>
          <cell r="P103">
            <v>14</v>
          </cell>
          <cell r="Q103">
            <v>25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54</v>
          </cell>
          <cell r="W103">
            <v>47</v>
          </cell>
          <cell r="X103">
            <v>11</v>
          </cell>
          <cell r="Y103">
            <v>5</v>
          </cell>
          <cell r="Z103">
            <v>36</v>
          </cell>
          <cell r="AA103">
            <v>0</v>
          </cell>
          <cell r="AB103">
            <v>0</v>
          </cell>
          <cell r="AC103">
            <v>0</v>
          </cell>
          <cell r="AD103">
            <v>4</v>
          </cell>
          <cell r="AE103">
            <v>0</v>
          </cell>
          <cell r="AF103">
            <v>38</v>
          </cell>
          <cell r="AG103">
            <v>0</v>
          </cell>
          <cell r="AH103">
            <v>7</v>
          </cell>
          <cell r="AI103">
            <v>326</v>
          </cell>
          <cell r="AJ103">
            <v>54</v>
          </cell>
          <cell r="AK103">
            <v>16</v>
          </cell>
        </row>
        <row r="104">
          <cell r="A104">
            <v>97</v>
          </cell>
          <cell r="B104" t="str">
            <v>Balen</v>
          </cell>
          <cell r="C104">
            <v>350122001</v>
          </cell>
          <cell r="D104">
            <v>0</v>
          </cell>
          <cell r="E104">
            <v>25</v>
          </cell>
          <cell r="F104">
            <v>6</v>
          </cell>
          <cell r="G104">
            <v>0</v>
          </cell>
          <cell r="H104">
            <v>25</v>
          </cell>
          <cell r="I104">
            <v>0</v>
          </cell>
          <cell r="J104">
            <v>16</v>
          </cell>
          <cell r="K104">
            <v>22</v>
          </cell>
          <cell r="L104">
            <v>0</v>
          </cell>
          <cell r="M104">
            <v>1</v>
          </cell>
          <cell r="N104">
            <v>0</v>
          </cell>
          <cell r="O104">
            <v>24</v>
          </cell>
          <cell r="P104">
            <v>6</v>
          </cell>
          <cell r="Q104">
            <v>12</v>
          </cell>
          <cell r="R104">
            <v>0</v>
          </cell>
          <cell r="S104">
            <v>1</v>
          </cell>
          <cell r="T104">
            <v>0</v>
          </cell>
          <cell r="U104">
            <v>0</v>
          </cell>
          <cell r="V104">
            <v>16</v>
          </cell>
          <cell r="W104">
            <v>38</v>
          </cell>
          <cell r="X104">
            <v>18</v>
          </cell>
          <cell r="Y104">
            <v>3</v>
          </cell>
          <cell r="Z104">
            <v>23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5</v>
          </cell>
          <cell r="AG104">
            <v>2</v>
          </cell>
          <cell r="AH104">
            <v>3</v>
          </cell>
          <cell r="AI104">
            <v>246</v>
          </cell>
          <cell r="AJ104">
            <v>38</v>
          </cell>
          <cell r="AK104">
            <v>18</v>
          </cell>
        </row>
        <row r="105">
          <cell r="A105">
            <v>98</v>
          </cell>
          <cell r="B105" t="str">
            <v>Kantor Madiun</v>
          </cell>
          <cell r="C105">
            <v>350619001</v>
          </cell>
          <cell r="D105">
            <v>1</v>
          </cell>
          <cell r="E105">
            <v>32</v>
          </cell>
          <cell r="F105">
            <v>1</v>
          </cell>
          <cell r="G105">
            <v>0</v>
          </cell>
          <cell r="H105">
            <v>3</v>
          </cell>
          <cell r="I105">
            <v>0</v>
          </cell>
          <cell r="J105">
            <v>11</v>
          </cell>
          <cell r="K105">
            <v>0</v>
          </cell>
          <cell r="L105">
            <v>6</v>
          </cell>
          <cell r="M105">
            <v>14.5</v>
          </cell>
          <cell r="N105">
            <v>0</v>
          </cell>
          <cell r="O105">
            <v>26</v>
          </cell>
          <cell r="P105">
            <v>1</v>
          </cell>
          <cell r="Q105">
            <v>42</v>
          </cell>
          <cell r="R105">
            <v>0</v>
          </cell>
          <cell r="S105">
            <v>0</v>
          </cell>
          <cell r="T105">
            <v>1</v>
          </cell>
          <cell r="U105">
            <v>0</v>
          </cell>
          <cell r="V105">
            <v>5</v>
          </cell>
          <cell r="W105">
            <v>4</v>
          </cell>
          <cell r="X105">
            <v>66.5</v>
          </cell>
          <cell r="Y105">
            <v>7</v>
          </cell>
          <cell r="Z105">
            <v>35</v>
          </cell>
          <cell r="AA105">
            <v>0</v>
          </cell>
          <cell r="AB105">
            <v>0</v>
          </cell>
          <cell r="AC105">
            <v>3.5</v>
          </cell>
          <cell r="AD105">
            <v>0</v>
          </cell>
          <cell r="AE105">
            <v>0</v>
          </cell>
          <cell r="AF105">
            <v>12</v>
          </cell>
          <cell r="AG105">
            <v>13</v>
          </cell>
          <cell r="AH105">
            <v>1</v>
          </cell>
          <cell r="AI105">
            <v>285.5</v>
          </cell>
          <cell r="AJ105">
            <v>66.5</v>
          </cell>
          <cell r="AK105">
            <v>20</v>
          </cell>
        </row>
        <row r="106">
          <cell r="A106">
            <v>99</v>
          </cell>
          <cell r="B106" t="str">
            <v>Pilang Kenceng</v>
          </cell>
          <cell r="C106">
            <v>350619002</v>
          </cell>
          <cell r="D106">
            <v>30</v>
          </cell>
          <cell r="E106">
            <v>60</v>
          </cell>
          <cell r="F106">
            <v>27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41</v>
          </cell>
          <cell r="N106">
            <v>0</v>
          </cell>
          <cell r="O106">
            <v>25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24</v>
          </cell>
          <cell r="U106">
            <v>0</v>
          </cell>
          <cell r="V106">
            <v>8</v>
          </cell>
          <cell r="W106">
            <v>36</v>
          </cell>
          <cell r="X106">
            <v>11</v>
          </cell>
          <cell r="Y106">
            <v>9</v>
          </cell>
          <cell r="Z106">
            <v>10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7</v>
          </cell>
          <cell r="AG106">
            <v>0</v>
          </cell>
          <cell r="AH106">
            <v>9</v>
          </cell>
          <cell r="AI106">
            <v>297</v>
          </cell>
          <cell r="AJ106">
            <v>60</v>
          </cell>
          <cell r="AK106">
            <v>13</v>
          </cell>
        </row>
        <row r="107">
          <cell r="A107">
            <v>100</v>
          </cell>
          <cell r="B107" t="str">
            <v>Tulung</v>
          </cell>
          <cell r="C107">
            <v>350619003</v>
          </cell>
          <cell r="D107">
            <v>69</v>
          </cell>
          <cell r="E107">
            <v>57</v>
          </cell>
          <cell r="F107">
            <v>6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19</v>
          </cell>
          <cell r="N107">
            <v>0</v>
          </cell>
          <cell r="O107">
            <v>30</v>
          </cell>
          <cell r="P107">
            <v>8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22</v>
          </cell>
          <cell r="W107">
            <v>137</v>
          </cell>
          <cell r="X107">
            <v>23</v>
          </cell>
          <cell r="Y107">
            <v>17</v>
          </cell>
          <cell r="Z107">
            <v>6</v>
          </cell>
          <cell r="AA107">
            <v>13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25</v>
          </cell>
          <cell r="AG107">
            <v>0</v>
          </cell>
          <cell r="AH107">
            <v>8</v>
          </cell>
          <cell r="AI107">
            <v>440</v>
          </cell>
          <cell r="AJ107">
            <v>137</v>
          </cell>
          <cell r="AK107">
            <v>14</v>
          </cell>
        </row>
        <row r="108">
          <cell r="A108">
            <v>101</v>
          </cell>
          <cell r="B108" t="str">
            <v>Saradan</v>
          </cell>
          <cell r="C108">
            <v>350619004</v>
          </cell>
          <cell r="D108">
            <v>62</v>
          </cell>
          <cell r="E108">
            <v>43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5</v>
          </cell>
          <cell r="M108">
            <v>38</v>
          </cell>
          <cell r="N108">
            <v>0</v>
          </cell>
          <cell r="O108">
            <v>28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</v>
          </cell>
          <cell r="W108">
            <v>70</v>
          </cell>
          <cell r="X108">
            <v>44</v>
          </cell>
          <cell r="Y108">
            <v>11</v>
          </cell>
          <cell r="Z108">
            <v>5</v>
          </cell>
          <cell r="AA108">
            <v>0</v>
          </cell>
          <cell r="AB108">
            <v>0</v>
          </cell>
          <cell r="AC108">
            <v>0</v>
          </cell>
          <cell r="AD108">
            <v>5</v>
          </cell>
          <cell r="AE108">
            <v>13</v>
          </cell>
          <cell r="AF108">
            <v>14</v>
          </cell>
          <cell r="AG108">
            <v>7</v>
          </cell>
          <cell r="AH108">
            <v>0</v>
          </cell>
          <cell r="AI108">
            <v>351</v>
          </cell>
          <cell r="AJ108">
            <v>70</v>
          </cell>
          <cell r="AK108">
            <v>14</v>
          </cell>
        </row>
        <row r="109">
          <cell r="A109">
            <v>102</v>
          </cell>
          <cell r="B109" t="str">
            <v>Kedung Banteng</v>
          </cell>
          <cell r="C109">
            <v>350619005</v>
          </cell>
          <cell r="D109">
            <v>20</v>
          </cell>
          <cell r="E109">
            <v>75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5</v>
          </cell>
          <cell r="K109">
            <v>0</v>
          </cell>
          <cell r="L109">
            <v>5</v>
          </cell>
          <cell r="M109">
            <v>30</v>
          </cell>
          <cell r="N109">
            <v>0</v>
          </cell>
          <cell r="O109">
            <v>45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15</v>
          </cell>
          <cell r="U109">
            <v>0</v>
          </cell>
          <cell r="V109">
            <v>35</v>
          </cell>
          <cell r="W109">
            <v>20</v>
          </cell>
          <cell r="X109">
            <v>15</v>
          </cell>
          <cell r="Y109">
            <v>10</v>
          </cell>
          <cell r="Z109">
            <v>15</v>
          </cell>
          <cell r="AA109">
            <v>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10</v>
          </cell>
          <cell r="AI109">
            <v>305</v>
          </cell>
          <cell r="AJ109">
            <v>75</v>
          </cell>
          <cell r="AK109">
            <v>14</v>
          </cell>
        </row>
        <row r="110">
          <cell r="A110">
            <v>103</v>
          </cell>
          <cell r="B110" t="str">
            <v>Notopuro</v>
          </cell>
          <cell r="C110">
            <v>350619006</v>
          </cell>
          <cell r="D110">
            <v>44</v>
          </cell>
          <cell r="E110">
            <v>87</v>
          </cell>
          <cell r="F110">
            <v>7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37</v>
          </cell>
          <cell r="N110">
            <v>0</v>
          </cell>
          <cell r="O110">
            <v>30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1</v>
          </cell>
          <cell r="W110">
            <v>89</v>
          </cell>
          <cell r="X110">
            <v>12</v>
          </cell>
          <cell r="Y110">
            <v>8</v>
          </cell>
          <cell r="Z110">
            <v>10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48</v>
          </cell>
          <cell r="AG110">
            <v>3</v>
          </cell>
          <cell r="AH110">
            <v>0</v>
          </cell>
          <cell r="AI110">
            <v>376</v>
          </cell>
          <cell r="AJ110">
            <v>89</v>
          </cell>
          <cell r="AK110">
            <v>12</v>
          </cell>
        </row>
        <row r="111">
          <cell r="A111">
            <v>104</v>
          </cell>
          <cell r="B111" t="str">
            <v>Sumbersari</v>
          </cell>
          <cell r="C111">
            <v>350619007</v>
          </cell>
          <cell r="D111">
            <v>97</v>
          </cell>
          <cell r="E111">
            <v>54</v>
          </cell>
          <cell r="F111">
            <v>10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30</v>
          </cell>
          <cell r="N111">
            <v>0</v>
          </cell>
          <cell r="O111">
            <v>34</v>
          </cell>
          <cell r="P111">
            <v>5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13</v>
          </cell>
          <cell r="W111">
            <v>122</v>
          </cell>
          <cell r="X111">
            <v>28</v>
          </cell>
          <cell r="Y111">
            <v>24</v>
          </cell>
          <cell r="Z111">
            <v>7</v>
          </cell>
          <cell r="AA111">
            <v>12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18</v>
          </cell>
          <cell r="AG111">
            <v>0</v>
          </cell>
          <cell r="AH111">
            <v>6</v>
          </cell>
          <cell r="AI111">
            <v>460</v>
          </cell>
          <cell r="AJ111">
            <v>122</v>
          </cell>
          <cell r="AK111">
            <v>14</v>
          </cell>
        </row>
        <row r="112">
          <cell r="A112">
            <v>105</v>
          </cell>
          <cell r="B112" t="str">
            <v>Kuwu</v>
          </cell>
          <cell r="C112">
            <v>350619008</v>
          </cell>
          <cell r="D112">
            <v>35</v>
          </cell>
          <cell r="E112">
            <v>52</v>
          </cell>
          <cell r="F112">
            <v>43</v>
          </cell>
          <cell r="G112">
            <v>0</v>
          </cell>
          <cell r="H112">
            <v>0</v>
          </cell>
          <cell r="I112">
            <v>0</v>
          </cell>
          <cell r="J112">
            <v>6</v>
          </cell>
          <cell r="K112">
            <v>0</v>
          </cell>
          <cell r="L112">
            <v>6</v>
          </cell>
          <cell r="M112">
            <v>20</v>
          </cell>
          <cell r="N112">
            <v>0</v>
          </cell>
          <cell r="O112">
            <v>34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19</v>
          </cell>
          <cell r="W112">
            <v>59</v>
          </cell>
          <cell r="X112">
            <v>29</v>
          </cell>
          <cell r="Y112">
            <v>5</v>
          </cell>
          <cell r="Z112">
            <v>9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9</v>
          </cell>
          <cell r="AG112">
            <v>0</v>
          </cell>
          <cell r="AH112">
            <v>0</v>
          </cell>
          <cell r="AI112">
            <v>326</v>
          </cell>
          <cell r="AJ112">
            <v>59</v>
          </cell>
          <cell r="AK112">
            <v>13</v>
          </cell>
        </row>
        <row r="113">
          <cell r="A113">
            <v>106</v>
          </cell>
          <cell r="B113" t="str">
            <v>Muneng Madiun</v>
          </cell>
          <cell r="C113">
            <v>350619009</v>
          </cell>
          <cell r="D113">
            <v>22</v>
          </cell>
          <cell r="E113">
            <v>32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6</v>
          </cell>
          <cell r="K113">
            <v>0</v>
          </cell>
          <cell r="L113">
            <v>5</v>
          </cell>
          <cell r="M113">
            <v>21</v>
          </cell>
          <cell r="N113">
            <v>0</v>
          </cell>
          <cell r="O113">
            <v>34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5</v>
          </cell>
          <cell r="V113">
            <v>19</v>
          </cell>
          <cell r="W113">
            <v>17</v>
          </cell>
          <cell r="X113">
            <v>15</v>
          </cell>
          <cell r="Y113">
            <v>0</v>
          </cell>
          <cell r="Z113">
            <v>15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6</v>
          </cell>
          <cell r="AF113">
            <v>6</v>
          </cell>
          <cell r="AG113">
            <v>0</v>
          </cell>
          <cell r="AH113">
            <v>0</v>
          </cell>
          <cell r="AI113">
            <v>203</v>
          </cell>
          <cell r="AJ113">
            <v>34</v>
          </cell>
          <cell r="AK113">
            <v>13</v>
          </cell>
        </row>
        <row r="114">
          <cell r="A114">
            <v>107</v>
          </cell>
          <cell r="B114" t="str">
            <v>Sogo</v>
          </cell>
          <cell r="C114">
            <v>350619010</v>
          </cell>
          <cell r="D114">
            <v>17</v>
          </cell>
          <cell r="E114">
            <v>19</v>
          </cell>
          <cell r="F114">
            <v>27</v>
          </cell>
          <cell r="G114">
            <v>0</v>
          </cell>
          <cell r="H114">
            <v>0</v>
          </cell>
          <cell r="I114">
            <v>0</v>
          </cell>
          <cell r="J114">
            <v>6</v>
          </cell>
          <cell r="K114">
            <v>0</v>
          </cell>
          <cell r="L114">
            <v>7</v>
          </cell>
          <cell r="M114">
            <v>28</v>
          </cell>
          <cell r="N114">
            <v>0</v>
          </cell>
          <cell r="O114">
            <v>32</v>
          </cell>
          <cell r="P114">
            <v>0</v>
          </cell>
          <cell r="Q114">
            <v>20</v>
          </cell>
          <cell r="R114">
            <v>0</v>
          </cell>
          <cell r="S114">
            <v>0</v>
          </cell>
          <cell r="T114">
            <v>0</v>
          </cell>
          <cell r="U114">
            <v>6</v>
          </cell>
          <cell r="V114">
            <v>21</v>
          </cell>
          <cell r="W114">
            <v>67</v>
          </cell>
          <cell r="X114">
            <v>25</v>
          </cell>
          <cell r="Y114">
            <v>9</v>
          </cell>
          <cell r="Z114">
            <v>6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6</v>
          </cell>
          <cell r="AF114">
            <v>0</v>
          </cell>
          <cell r="AG114">
            <v>0</v>
          </cell>
          <cell r="AH114">
            <v>0</v>
          </cell>
          <cell r="AI114">
            <v>296</v>
          </cell>
          <cell r="AJ114">
            <v>67</v>
          </cell>
          <cell r="AK114">
            <v>15</v>
          </cell>
        </row>
        <row r="115">
          <cell r="A115">
            <v>108</v>
          </cell>
          <cell r="B115" t="str">
            <v>Sumber Bendo</v>
          </cell>
          <cell r="C115">
            <v>350619011</v>
          </cell>
          <cell r="D115">
            <v>27</v>
          </cell>
          <cell r="E115">
            <v>43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20</v>
          </cell>
          <cell r="N115">
            <v>0</v>
          </cell>
          <cell r="O115">
            <v>54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29</v>
          </cell>
          <cell r="W115">
            <v>118</v>
          </cell>
          <cell r="X115">
            <v>18</v>
          </cell>
          <cell r="Y115">
            <v>11</v>
          </cell>
          <cell r="Z115">
            <v>0</v>
          </cell>
          <cell r="AA115">
            <v>15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7</v>
          </cell>
          <cell r="AG115">
            <v>0</v>
          </cell>
          <cell r="AH115">
            <v>0</v>
          </cell>
          <cell r="AI115">
            <v>342</v>
          </cell>
          <cell r="AJ115">
            <v>118</v>
          </cell>
          <cell r="AK115">
            <v>10</v>
          </cell>
        </row>
        <row r="116">
          <cell r="A116">
            <v>109</v>
          </cell>
          <cell r="B116" t="str">
            <v>Kedung Rejo</v>
          </cell>
          <cell r="C116">
            <v>350619012</v>
          </cell>
          <cell r="D116">
            <v>55</v>
          </cell>
          <cell r="E116">
            <v>75</v>
          </cell>
          <cell r="F116">
            <v>36</v>
          </cell>
          <cell r="G116">
            <v>0</v>
          </cell>
          <cell r="H116">
            <v>0</v>
          </cell>
          <cell r="I116">
            <v>0</v>
          </cell>
          <cell r="J116">
            <v>5</v>
          </cell>
          <cell r="K116">
            <v>0</v>
          </cell>
          <cell r="L116">
            <v>5</v>
          </cell>
          <cell r="M116">
            <v>26</v>
          </cell>
          <cell r="N116">
            <v>0</v>
          </cell>
          <cell r="O116">
            <v>29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9</v>
          </cell>
          <cell r="W116">
            <v>102</v>
          </cell>
          <cell r="X116">
            <v>30</v>
          </cell>
          <cell r="Y116">
            <v>10</v>
          </cell>
          <cell r="Z116">
            <v>8</v>
          </cell>
          <cell r="AA116">
            <v>5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10</v>
          </cell>
          <cell r="AG116">
            <v>5</v>
          </cell>
          <cell r="AH116">
            <v>0</v>
          </cell>
          <cell r="AI116">
            <v>410</v>
          </cell>
          <cell r="AJ116">
            <v>102</v>
          </cell>
          <cell r="AK116">
            <v>15</v>
          </cell>
        </row>
        <row r="117">
          <cell r="A117">
            <v>110</v>
          </cell>
          <cell r="B117" t="str">
            <v>Gemarang</v>
          </cell>
          <cell r="C117">
            <v>350619013</v>
          </cell>
          <cell r="D117">
            <v>0</v>
          </cell>
          <cell r="E117">
            <v>12</v>
          </cell>
          <cell r="F117">
            <v>14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50</v>
          </cell>
          <cell r="P117">
            <v>10</v>
          </cell>
          <cell r="Q117">
            <v>8</v>
          </cell>
          <cell r="R117">
            <v>0</v>
          </cell>
          <cell r="S117">
            <v>0</v>
          </cell>
          <cell r="T117">
            <v>15</v>
          </cell>
          <cell r="U117">
            <v>11</v>
          </cell>
          <cell r="V117">
            <v>6</v>
          </cell>
          <cell r="W117">
            <v>16</v>
          </cell>
          <cell r="X117">
            <v>18</v>
          </cell>
          <cell r="Y117">
            <v>0</v>
          </cell>
          <cell r="Z117">
            <v>6</v>
          </cell>
          <cell r="AA117">
            <v>0</v>
          </cell>
          <cell r="AB117">
            <v>0</v>
          </cell>
          <cell r="AC117">
            <v>8</v>
          </cell>
          <cell r="AD117">
            <v>25</v>
          </cell>
          <cell r="AE117">
            <v>0</v>
          </cell>
          <cell r="AF117">
            <v>0</v>
          </cell>
          <cell r="AG117">
            <v>52</v>
          </cell>
          <cell r="AH117">
            <v>0</v>
          </cell>
          <cell r="AI117">
            <v>251</v>
          </cell>
          <cell r="AJ117">
            <v>52</v>
          </cell>
          <cell r="AK117">
            <v>14</v>
          </cell>
        </row>
        <row r="118">
          <cell r="A118">
            <v>111</v>
          </cell>
          <cell r="B118" t="str">
            <v>Sarangan</v>
          </cell>
          <cell r="C118">
            <v>350619014</v>
          </cell>
          <cell r="D118">
            <v>0</v>
          </cell>
          <cell r="E118">
            <v>0</v>
          </cell>
          <cell r="F118">
            <v>9</v>
          </cell>
          <cell r="G118">
            <v>0</v>
          </cell>
          <cell r="H118">
            <v>0</v>
          </cell>
          <cell r="I118">
            <v>0</v>
          </cell>
          <cell r="J118">
            <v>15</v>
          </cell>
          <cell r="K118">
            <v>0</v>
          </cell>
          <cell r="L118">
            <v>0</v>
          </cell>
          <cell r="M118">
            <v>22</v>
          </cell>
          <cell r="N118">
            <v>0</v>
          </cell>
          <cell r="O118">
            <v>27</v>
          </cell>
          <cell r="P118">
            <v>0</v>
          </cell>
          <cell r="Q118">
            <v>55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5</v>
          </cell>
          <cell r="W118">
            <v>7</v>
          </cell>
          <cell r="X118">
            <v>29</v>
          </cell>
          <cell r="Y118">
            <v>10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12</v>
          </cell>
          <cell r="AF118">
            <v>0.26</v>
          </cell>
          <cell r="AG118">
            <v>0</v>
          </cell>
          <cell r="AH118">
            <v>0</v>
          </cell>
          <cell r="AI118">
            <v>191.26</v>
          </cell>
          <cell r="AJ118">
            <v>55</v>
          </cell>
          <cell r="AK118">
            <v>11</v>
          </cell>
        </row>
        <row r="119">
          <cell r="A119">
            <v>112</v>
          </cell>
          <cell r="B119" t="str">
            <v>Caruban</v>
          </cell>
          <cell r="C119">
            <v>350619015</v>
          </cell>
          <cell r="D119">
            <v>29</v>
          </cell>
          <cell r="E119">
            <v>30</v>
          </cell>
          <cell r="F119">
            <v>40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6</v>
          </cell>
          <cell r="M119">
            <v>21</v>
          </cell>
          <cell r="N119">
            <v>0</v>
          </cell>
          <cell r="O119">
            <v>25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6</v>
          </cell>
          <cell r="W119">
            <v>124</v>
          </cell>
          <cell r="X119">
            <v>23</v>
          </cell>
          <cell r="Y119">
            <v>11</v>
          </cell>
          <cell r="Z119">
            <v>0</v>
          </cell>
          <cell r="AA119">
            <v>33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27</v>
          </cell>
          <cell r="AG119">
            <v>0</v>
          </cell>
          <cell r="AH119">
            <v>0</v>
          </cell>
          <cell r="AI119">
            <v>375</v>
          </cell>
          <cell r="AJ119">
            <v>124</v>
          </cell>
          <cell r="AK119">
            <v>12</v>
          </cell>
        </row>
        <row r="120">
          <cell r="A120">
            <v>113</v>
          </cell>
          <cell r="B120" t="str">
            <v>Wates_MDN</v>
          </cell>
          <cell r="C120">
            <v>350619016</v>
          </cell>
          <cell r="D120">
            <v>0</v>
          </cell>
          <cell r="E120">
            <v>5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5</v>
          </cell>
          <cell r="M120">
            <v>7</v>
          </cell>
          <cell r="N120">
            <v>0</v>
          </cell>
          <cell r="O120">
            <v>58</v>
          </cell>
          <cell r="P120">
            <v>0</v>
          </cell>
          <cell r="Q120">
            <v>49</v>
          </cell>
          <cell r="R120">
            <v>0</v>
          </cell>
          <cell r="S120">
            <v>0</v>
          </cell>
          <cell r="T120">
            <v>6</v>
          </cell>
          <cell r="U120">
            <v>0</v>
          </cell>
          <cell r="V120">
            <v>9</v>
          </cell>
          <cell r="W120">
            <v>36</v>
          </cell>
          <cell r="X120">
            <v>27</v>
          </cell>
          <cell r="Y120">
            <v>5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7</v>
          </cell>
          <cell r="AE120">
            <v>0</v>
          </cell>
          <cell r="AF120">
            <v>0</v>
          </cell>
          <cell r="AG120">
            <v>7</v>
          </cell>
          <cell r="AH120">
            <v>0</v>
          </cell>
          <cell r="AI120">
            <v>221</v>
          </cell>
          <cell r="AJ120">
            <v>58</v>
          </cell>
          <cell r="AK120">
            <v>12</v>
          </cell>
        </row>
        <row r="121">
          <cell r="A121">
            <v>114</v>
          </cell>
          <cell r="B121" t="str">
            <v>Balerejo</v>
          </cell>
          <cell r="C121">
            <v>350619017</v>
          </cell>
          <cell r="D121">
            <v>0</v>
          </cell>
          <cell r="E121">
            <v>0</v>
          </cell>
          <cell r="F121">
            <v>10</v>
          </cell>
          <cell r="G121">
            <v>0</v>
          </cell>
          <cell r="H121">
            <v>0</v>
          </cell>
          <cell r="I121">
            <v>0</v>
          </cell>
          <cell r="J121">
            <v>14</v>
          </cell>
          <cell r="K121">
            <v>0</v>
          </cell>
          <cell r="L121">
            <v>0</v>
          </cell>
          <cell r="M121">
            <v>25</v>
          </cell>
          <cell r="N121">
            <v>0</v>
          </cell>
          <cell r="O121">
            <v>25</v>
          </cell>
          <cell r="P121">
            <v>0</v>
          </cell>
          <cell r="Q121">
            <v>55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9</v>
          </cell>
          <cell r="W121">
            <v>8</v>
          </cell>
          <cell r="X121">
            <v>30</v>
          </cell>
          <cell r="Y121">
            <v>9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14</v>
          </cell>
          <cell r="AF121">
            <v>28</v>
          </cell>
          <cell r="AG121">
            <v>0</v>
          </cell>
          <cell r="AH121">
            <v>0</v>
          </cell>
          <cell r="AI121">
            <v>227</v>
          </cell>
          <cell r="AJ121">
            <v>55</v>
          </cell>
          <cell r="AK121">
            <v>11</v>
          </cell>
        </row>
        <row r="122">
          <cell r="A122">
            <v>115</v>
          </cell>
          <cell r="B122" t="str">
            <v>Cermo</v>
          </cell>
          <cell r="C122">
            <v>350619018</v>
          </cell>
          <cell r="D122">
            <v>0</v>
          </cell>
          <cell r="E122">
            <v>9</v>
          </cell>
          <cell r="F122">
            <v>6</v>
          </cell>
          <cell r="G122">
            <v>0</v>
          </cell>
          <cell r="H122">
            <v>7</v>
          </cell>
          <cell r="I122">
            <v>5</v>
          </cell>
          <cell r="J122">
            <v>13</v>
          </cell>
          <cell r="K122">
            <v>0</v>
          </cell>
          <cell r="L122">
            <v>0</v>
          </cell>
          <cell r="M122">
            <v>0</v>
          </cell>
          <cell r="N122">
            <v>5</v>
          </cell>
          <cell r="O122">
            <v>93</v>
          </cell>
          <cell r="P122">
            <v>17</v>
          </cell>
          <cell r="Q122">
            <v>9</v>
          </cell>
          <cell r="R122">
            <v>5</v>
          </cell>
          <cell r="S122">
            <v>9</v>
          </cell>
          <cell r="T122">
            <v>12</v>
          </cell>
          <cell r="U122">
            <v>10</v>
          </cell>
          <cell r="V122">
            <v>17</v>
          </cell>
          <cell r="W122">
            <v>117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5</v>
          </cell>
          <cell r="AC122">
            <v>18</v>
          </cell>
          <cell r="AD122">
            <v>27</v>
          </cell>
          <cell r="AE122">
            <v>0</v>
          </cell>
          <cell r="AF122">
            <v>0</v>
          </cell>
          <cell r="AG122">
            <v>5</v>
          </cell>
          <cell r="AH122">
            <v>7</v>
          </cell>
          <cell r="AI122">
            <v>396</v>
          </cell>
          <cell r="AJ122">
            <v>117</v>
          </cell>
          <cell r="AK122">
            <v>20</v>
          </cell>
        </row>
        <row r="123">
          <cell r="A123">
            <v>116</v>
          </cell>
          <cell r="B123" t="str">
            <v>Dawuhan</v>
          </cell>
          <cell r="C123">
            <v>350619019</v>
          </cell>
          <cell r="D123">
            <v>0</v>
          </cell>
          <cell r="E123">
            <v>0</v>
          </cell>
          <cell r="F123">
            <v>8</v>
          </cell>
          <cell r="G123">
            <v>0</v>
          </cell>
          <cell r="H123">
            <v>0</v>
          </cell>
          <cell r="I123">
            <v>0</v>
          </cell>
          <cell r="J123">
            <v>12</v>
          </cell>
          <cell r="K123">
            <v>0</v>
          </cell>
          <cell r="L123">
            <v>3</v>
          </cell>
          <cell r="M123">
            <v>32</v>
          </cell>
          <cell r="N123">
            <v>0</v>
          </cell>
          <cell r="O123">
            <v>29</v>
          </cell>
          <cell r="P123">
            <v>0</v>
          </cell>
          <cell r="Q123">
            <v>54</v>
          </cell>
          <cell r="R123">
            <v>0</v>
          </cell>
          <cell r="S123">
            <v>4</v>
          </cell>
          <cell r="T123">
            <v>0</v>
          </cell>
          <cell r="U123">
            <v>0</v>
          </cell>
          <cell r="V123">
            <v>4</v>
          </cell>
          <cell r="W123">
            <v>6</v>
          </cell>
          <cell r="X123">
            <v>26</v>
          </cell>
          <cell r="Y123">
            <v>12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10</v>
          </cell>
          <cell r="AF123">
            <v>25</v>
          </cell>
          <cell r="AG123">
            <v>0</v>
          </cell>
          <cell r="AH123">
            <v>0</v>
          </cell>
          <cell r="AI123">
            <v>225</v>
          </cell>
          <cell r="AJ123">
            <v>54</v>
          </cell>
          <cell r="AK123">
            <v>13</v>
          </cell>
        </row>
        <row r="124">
          <cell r="A124">
            <v>117</v>
          </cell>
          <cell r="B124" t="str">
            <v>Babadan MDN</v>
          </cell>
          <cell r="C124">
            <v>350619020</v>
          </cell>
          <cell r="D124">
            <v>13</v>
          </cell>
          <cell r="E124">
            <v>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10</v>
          </cell>
          <cell r="M124">
            <v>12</v>
          </cell>
          <cell r="N124">
            <v>0</v>
          </cell>
          <cell r="O124">
            <v>25</v>
          </cell>
          <cell r="P124">
            <v>4</v>
          </cell>
          <cell r="Q124">
            <v>85</v>
          </cell>
          <cell r="R124">
            <v>0</v>
          </cell>
          <cell r="S124">
            <v>0</v>
          </cell>
          <cell r="T124">
            <v>5</v>
          </cell>
          <cell r="U124">
            <v>0</v>
          </cell>
          <cell r="V124">
            <v>7</v>
          </cell>
          <cell r="W124">
            <v>10</v>
          </cell>
          <cell r="X124">
            <v>35</v>
          </cell>
          <cell r="Y124">
            <v>12</v>
          </cell>
          <cell r="Z124">
            <v>30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5</v>
          </cell>
          <cell r="AF124">
            <v>18</v>
          </cell>
          <cell r="AG124">
            <v>38</v>
          </cell>
          <cell r="AH124">
            <v>15</v>
          </cell>
          <cell r="AI124">
            <v>330</v>
          </cell>
          <cell r="AJ124">
            <v>85</v>
          </cell>
          <cell r="AK124">
            <v>17</v>
          </cell>
        </row>
        <row r="125">
          <cell r="A125">
            <v>118</v>
          </cell>
          <cell r="B125" t="str">
            <v>Cau</v>
          </cell>
          <cell r="C125">
            <v>350619021</v>
          </cell>
          <cell r="D125">
            <v>0</v>
          </cell>
          <cell r="E125">
            <v>18</v>
          </cell>
          <cell r="F125">
            <v>0</v>
          </cell>
          <cell r="G125">
            <v>0</v>
          </cell>
          <cell r="H125">
            <v>6</v>
          </cell>
          <cell r="I125">
            <v>14</v>
          </cell>
          <cell r="J125">
            <v>0</v>
          </cell>
          <cell r="K125">
            <v>0</v>
          </cell>
          <cell r="L125">
            <v>17</v>
          </cell>
          <cell r="M125">
            <v>3</v>
          </cell>
          <cell r="N125">
            <v>0</v>
          </cell>
          <cell r="O125">
            <v>37</v>
          </cell>
          <cell r="P125">
            <v>48</v>
          </cell>
          <cell r="Q125">
            <v>55</v>
          </cell>
          <cell r="R125">
            <v>4</v>
          </cell>
          <cell r="S125">
            <v>69</v>
          </cell>
          <cell r="T125">
            <v>53</v>
          </cell>
          <cell r="U125">
            <v>7</v>
          </cell>
          <cell r="V125">
            <v>12</v>
          </cell>
          <cell r="W125">
            <v>28</v>
          </cell>
          <cell r="X125">
            <v>46</v>
          </cell>
          <cell r="Y125">
            <v>5</v>
          </cell>
          <cell r="Z125">
            <v>9</v>
          </cell>
          <cell r="AA125">
            <v>0</v>
          </cell>
          <cell r="AB125">
            <v>0</v>
          </cell>
          <cell r="AC125">
            <v>21</v>
          </cell>
          <cell r="AD125">
            <v>15</v>
          </cell>
          <cell r="AE125">
            <v>4</v>
          </cell>
          <cell r="AF125">
            <v>1</v>
          </cell>
          <cell r="AG125">
            <v>65</v>
          </cell>
          <cell r="AH125">
            <v>2</v>
          </cell>
          <cell r="AI125">
            <v>539</v>
          </cell>
          <cell r="AJ125">
            <v>69</v>
          </cell>
          <cell r="AK125">
            <v>23</v>
          </cell>
        </row>
        <row r="126">
          <cell r="A126">
            <v>119</v>
          </cell>
          <cell r="B126" t="str">
            <v>Kandangan</v>
          </cell>
          <cell r="C126">
            <v>350619022</v>
          </cell>
          <cell r="D126">
            <v>9</v>
          </cell>
          <cell r="E126">
            <v>11</v>
          </cell>
          <cell r="F126">
            <v>3</v>
          </cell>
          <cell r="G126">
            <v>0</v>
          </cell>
          <cell r="H126">
            <v>7</v>
          </cell>
          <cell r="I126">
            <v>0</v>
          </cell>
          <cell r="J126">
            <v>0</v>
          </cell>
          <cell r="K126">
            <v>0</v>
          </cell>
          <cell r="L126">
            <v>15</v>
          </cell>
          <cell r="M126">
            <v>13</v>
          </cell>
          <cell r="N126">
            <v>35</v>
          </cell>
          <cell r="O126">
            <v>38</v>
          </cell>
          <cell r="P126">
            <v>42</v>
          </cell>
          <cell r="Q126">
            <v>16</v>
          </cell>
          <cell r="R126">
            <v>0</v>
          </cell>
          <cell r="S126">
            <v>11</v>
          </cell>
          <cell r="T126">
            <v>7</v>
          </cell>
          <cell r="U126">
            <v>26</v>
          </cell>
          <cell r="V126">
            <v>17</v>
          </cell>
          <cell r="W126">
            <v>22</v>
          </cell>
          <cell r="X126">
            <v>33</v>
          </cell>
          <cell r="Y126">
            <v>7</v>
          </cell>
          <cell r="Z126">
            <v>9</v>
          </cell>
          <cell r="AA126">
            <v>0</v>
          </cell>
          <cell r="AB126">
            <v>0</v>
          </cell>
          <cell r="AC126">
            <v>21</v>
          </cell>
          <cell r="AD126">
            <v>57</v>
          </cell>
          <cell r="AE126">
            <v>6</v>
          </cell>
          <cell r="AF126">
            <v>0</v>
          </cell>
          <cell r="AG126">
            <v>2</v>
          </cell>
          <cell r="AH126">
            <v>0</v>
          </cell>
          <cell r="AI126">
            <v>407</v>
          </cell>
          <cell r="AJ126">
            <v>57</v>
          </cell>
          <cell r="AK126">
            <v>22</v>
          </cell>
        </row>
        <row r="127">
          <cell r="A127">
            <v>120</v>
          </cell>
          <cell r="B127" t="str">
            <v>Catur</v>
          </cell>
          <cell r="C127">
            <v>350619023</v>
          </cell>
          <cell r="D127">
            <v>6</v>
          </cell>
          <cell r="E127">
            <v>9</v>
          </cell>
          <cell r="F127">
            <v>0</v>
          </cell>
          <cell r="G127">
            <v>0</v>
          </cell>
          <cell r="H127">
            <v>10</v>
          </cell>
          <cell r="I127">
            <v>0</v>
          </cell>
          <cell r="J127">
            <v>16</v>
          </cell>
          <cell r="K127">
            <v>0</v>
          </cell>
          <cell r="L127">
            <v>0</v>
          </cell>
          <cell r="M127">
            <v>13</v>
          </cell>
          <cell r="N127">
            <v>30</v>
          </cell>
          <cell r="O127">
            <v>37</v>
          </cell>
          <cell r="P127">
            <v>39</v>
          </cell>
          <cell r="Q127">
            <v>27</v>
          </cell>
          <cell r="R127">
            <v>12</v>
          </cell>
          <cell r="S127">
            <v>23</v>
          </cell>
          <cell r="T127">
            <v>14</v>
          </cell>
          <cell r="U127">
            <v>24</v>
          </cell>
          <cell r="V127">
            <v>21</v>
          </cell>
          <cell r="W127">
            <v>17</v>
          </cell>
          <cell r="X127">
            <v>12</v>
          </cell>
          <cell r="Y127">
            <v>9</v>
          </cell>
          <cell r="Z127">
            <v>0</v>
          </cell>
          <cell r="AA127">
            <v>0</v>
          </cell>
          <cell r="AB127">
            <v>0</v>
          </cell>
          <cell r="AC127">
            <v>4</v>
          </cell>
          <cell r="AD127">
            <v>39</v>
          </cell>
          <cell r="AE127">
            <v>5</v>
          </cell>
          <cell r="AF127">
            <v>0</v>
          </cell>
          <cell r="AG127">
            <v>43</v>
          </cell>
          <cell r="AH127">
            <v>6</v>
          </cell>
          <cell r="AI127">
            <v>416</v>
          </cell>
          <cell r="AJ127">
            <v>43</v>
          </cell>
          <cell r="AK127">
            <v>22</v>
          </cell>
        </row>
        <row r="128">
          <cell r="A128">
            <v>121</v>
          </cell>
          <cell r="B128" t="str">
            <v>Giringan</v>
          </cell>
          <cell r="C128">
            <v>350619024</v>
          </cell>
          <cell r="D128">
            <v>0</v>
          </cell>
          <cell r="E128">
            <v>20</v>
          </cell>
          <cell r="F128">
            <v>0</v>
          </cell>
          <cell r="G128">
            <v>0</v>
          </cell>
          <cell r="H128">
            <v>4</v>
          </cell>
          <cell r="I128">
            <v>11</v>
          </cell>
          <cell r="J128">
            <v>0</v>
          </cell>
          <cell r="K128">
            <v>0</v>
          </cell>
          <cell r="L128">
            <v>15</v>
          </cell>
          <cell r="M128">
            <v>6</v>
          </cell>
          <cell r="N128">
            <v>0</v>
          </cell>
          <cell r="O128">
            <v>33</v>
          </cell>
          <cell r="P128">
            <v>41</v>
          </cell>
          <cell r="Q128">
            <v>60</v>
          </cell>
          <cell r="R128">
            <v>7</v>
          </cell>
          <cell r="S128">
            <v>42</v>
          </cell>
          <cell r="T128">
            <v>39</v>
          </cell>
          <cell r="U128">
            <v>10</v>
          </cell>
          <cell r="V128">
            <v>16</v>
          </cell>
          <cell r="W128">
            <v>25</v>
          </cell>
          <cell r="X128">
            <v>38</v>
          </cell>
          <cell r="Y128">
            <v>8</v>
          </cell>
          <cell r="Z128">
            <v>12</v>
          </cell>
          <cell r="AA128">
            <v>0</v>
          </cell>
          <cell r="AB128">
            <v>0</v>
          </cell>
          <cell r="AC128">
            <v>17</v>
          </cell>
          <cell r="AD128">
            <v>14</v>
          </cell>
          <cell r="AE128">
            <v>6</v>
          </cell>
          <cell r="AF128">
            <v>3</v>
          </cell>
          <cell r="AG128">
            <v>71</v>
          </cell>
          <cell r="AH128">
            <v>4</v>
          </cell>
          <cell r="AI128">
            <v>502</v>
          </cell>
          <cell r="AJ128">
            <v>71</v>
          </cell>
          <cell r="AK128">
            <v>23</v>
          </cell>
        </row>
        <row r="129">
          <cell r="A129">
            <v>122</v>
          </cell>
          <cell r="B129" t="str">
            <v>Dungus</v>
          </cell>
          <cell r="C129">
            <v>350619025</v>
          </cell>
          <cell r="D129">
            <v>5</v>
          </cell>
          <cell r="E129">
            <v>24</v>
          </cell>
          <cell r="F129">
            <v>0</v>
          </cell>
          <cell r="G129">
            <v>0</v>
          </cell>
          <cell r="H129">
            <v>12</v>
          </cell>
          <cell r="I129">
            <v>20</v>
          </cell>
          <cell r="J129">
            <v>0</v>
          </cell>
          <cell r="K129">
            <v>0</v>
          </cell>
          <cell r="L129">
            <v>18</v>
          </cell>
          <cell r="M129">
            <v>12</v>
          </cell>
          <cell r="N129">
            <v>0</v>
          </cell>
          <cell r="O129">
            <v>41</v>
          </cell>
          <cell r="P129">
            <v>31</v>
          </cell>
          <cell r="Q129">
            <v>107</v>
          </cell>
          <cell r="R129">
            <v>83</v>
          </cell>
          <cell r="S129">
            <v>82</v>
          </cell>
          <cell r="T129">
            <v>42</v>
          </cell>
          <cell r="U129">
            <v>10</v>
          </cell>
          <cell r="V129">
            <v>6</v>
          </cell>
          <cell r="W129">
            <v>34</v>
          </cell>
          <cell r="X129">
            <v>32</v>
          </cell>
          <cell r="Y129">
            <v>4</v>
          </cell>
          <cell r="Z129">
            <v>8</v>
          </cell>
          <cell r="AA129">
            <v>0</v>
          </cell>
          <cell r="AB129">
            <v>0</v>
          </cell>
          <cell r="AC129">
            <v>6</v>
          </cell>
          <cell r="AD129">
            <v>14</v>
          </cell>
          <cell r="AE129">
            <v>3</v>
          </cell>
          <cell r="AF129">
            <v>0</v>
          </cell>
          <cell r="AG129">
            <v>79</v>
          </cell>
          <cell r="AH129">
            <v>0</v>
          </cell>
          <cell r="AI129">
            <v>673</v>
          </cell>
          <cell r="AJ129">
            <v>107</v>
          </cell>
          <cell r="AK129">
            <v>22</v>
          </cell>
        </row>
        <row r="130">
          <cell r="A130">
            <v>123</v>
          </cell>
          <cell r="B130" t="str">
            <v>Kare</v>
          </cell>
          <cell r="C130">
            <v>350619026</v>
          </cell>
          <cell r="D130">
            <v>8</v>
          </cell>
          <cell r="E130">
            <v>30</v>
          </cell>
          <cell r="F130">
            <v>7</v>
          </cell>
          <cell r="G130">
            <v>75</v>
          </cell>
          <cell r="H130">
            <v>8</v>
          </cell>
          <cell r="I130">
            <v>0</v>
          </cell>
          <cell r="J130">
            <v>21</v>
          </cell>
          <cell r="K130">
            <v>0</v>
          </cell>
          <cell r="L130">
            <v>0</v>
          </cell>
          <cell r="M130">
            <v>15</v>
          </cell>
          <cell r="N130">
            <v>15</v>
          </cell>
          <cell r="O130">
            <v>45</v>
          </cell>
          <cell r="P130">
            <v>40</v>
          </cell>
          <cell r="Q130">
            <v>53</v>
          </cell>
          <cell r="R130">
            <v>40</v>
          </cell>
          <cell r="S130">
            <v>45</v>
          </cell>
          <cell r="T130">
            <v>39</v>
          </cell>
          <cell r="U130">
            <v>30</v>
          </cell>
          <cell r="V130">
            <v>61</v>
          </cell>
          <cell r="W130">
            <v>69</v>
          </cell>
          <cell r="X130">
            <v>49</v>
          </cell>
          <cell r="Y130">
            <v>6</v>
          </cell>
          <cell r="Z130">
            <v>0</v>
          </cell>
          <cell r="AA130">
            <v>0</v>
          </cell>
          <cell r="AB130">
            <v>0</v>
          </cell>
          <cell r="AC130">
            <v>21</v>
          </cell>
          <cell r="AD130">
            <v>9</v>
          </cell>
          <cell r="AE130">
            <v>6</v>
          </cell>
          <cell r="AF130">
            <v>7</v>
          </cell>
          <cell r="AG130">
            <v>27</v>
          </cell>
          <cell r="AH130">
            <v>5</v>
          </cell>
          <cell r="AI130">
            <v>731</v>
          </cell>
          <cell r="AJ130">
            <v>75</v>
          </cell>
          <cell r="AK130">
            <v>25</v>
          </cell>
        </row>
        <row r="131">
          <cell r="A131">
            <v>124</v>
          </cell>
          <cell r="B131" t="str">
            <v>Pg. Rejoagung</v>
          </cell>
          <cell r="C131">
            <v>350619027</v>
          </cell>
          <cell r="D131">
            <v>1</v>
          </cell>
          <cell r="E131">
            <v>13</v>
          </cell>
          <cell r="F131">
            <v>1</v>
          </cell>
          <cell r="G131">
            <v>0</v>
          </cell>
          <cell r="H131">
            <v>12</v>
          </cell>
          <cell r="I131">
            <v>0</v>
          </cell>
          <cell r="J131">
            <v>13</v>
          </cell>
          <cell r="K131">
            <v>0</v>
          </cell>
          <cell r="L131">
            <v>4</v>
          </cell>
          <cell r="M131">
            <v>17</v>
          </cell>
          <cell r="N131">
            <v>0</v>
          </cell>
          <cell r="O131">
            <v>22</v>
          </cell>
          <cell r="P131">
            <v>0</v>
          </cell>
          <cell r="Q131">
            <v>31</v>
          </cell>
          <cell r="R131">
            <v>0</v>
          </cell>
          <cell r="S131">
            <v>0</v>
          </cell>
          <cell r="T131">
            <v>1</v>
          </cell>
          <cell r="U131">
            <v>0</v>
          </cell>
          <cell r="V131">
            <v>5</v>
          </cell>
          <cell r="W131">
            <v>3</v>
          </cell>
          <cell r="X131">
            <v>42</v>
          </cell>
          <cell r="Y131">
            <v>12</v>
          </cell>
          <cell r="Z131">
            <v>9</v>
          </cell>
          <cell r="AA131">
            <v>0</v>
          </cell>
          <cell r="AB131">
            <v>0</v>
          </cell>
          <cell r="AC131">
            <v>6</v>
          </cell>
          <cell r="AD131">
            <v>0</v>
          </cell>
          <cell r="AE131">
            <v>4</v>
          </cell>
          <cell r="AF131">
            <v>9</v>
          </cell>
          <cell r="AG131">
            <v>0</v>
          </cell>
          <cell r="AH131">
            <v>2</v>
          </cell>
          <cell r="AI131">
            <v>207</v>
          </cell>
          <cell r="AJ131">
            <v>42</v>
          </cell>
          <cell r="AK131">
            <v>19</v>
          </cell>
        </row>
        <row r="132">
          <cell r="A132">
            <v>125</v>
          </cell>
          <cell r="B132" t="str">
            <v>Pg.Kanigoro</v>
          </cell>
          <cell r="C132">
            <v>350619028</v>
          </cell>
          <cell r="D132">
            <v>0</v>
          </cell>
          <cell r="E132">
            <v>45</v>
          </cell>
          <cell r="F132">
            <v>0</v>
          </cell>
          <cell r="G132">
            <v>0</v>
          </cell>
          <cell r="H132">
            <v>12</v>
          </cell>
          <cell r="I132">
            <v>0</v>
          </cell>
          <cell r="J132">
            <v>0</v>
          </cell>
          <cell r="K132">
            <v>0</v>
          </cell>
          <cell r="L132">
            <v>23</v>
          </cell>
          <cell r="M132">
            <v>11</v>
          </cell>
          <cell r="N132">
            <v>0</v>
          </cell>
          <cell r="O132">
            <v>17</v>
          </cell>
          <cell r="P132">
            <v>8</v>
          </cell>
          <cell r="Q132">
            <v>16</v>
          </cell>
          <cell r="R132">
            <v>0</v>
          </cell>
          <cell r="S132">
            <v>0</v>
          </cell>
          <cell r="T132">
            <v>6</v>
          </cell>
          <cell r="U132">
            <v>0</v>
          </cell>
          <cell r="V132">
            <v>5</v>
          </cell>
          <cell r="W132">
            <v>12</v>
          </cell>
          <cell r="X132">
            <v>32</v>
          </cell>
          <cell r="Y132">
            <v>5</v>
          </cell>
          <cell r="Z132">
            <v>0</v>
          </cell>
          <cell r="AA132">
            <v>6</v>
          </cell>
          <cell r="AB132">
            <v>0</v>
          </cell>
          <cell r="AC132">
            <v>5</v>
          </cell>
          <cell r="AD132">
            <v>28</v>
          </cell>
          <cell r="AE132">
            <v>0</v>
          </cell>
          <cell r="AF132">
            <v>11</v>
          </cell>
          <cell r="AG132">
            <v>6</v>
          </cell>
          <cell r="AH132">
            <v>0</v>
          </cell>
          <cell r="AI132">
            <v>248</v>
          </cell>
          <cell r="AJ132">
            <v>45</v>
          </cell>
          <cell r="AK132">
            <v>17</v>
          </cell>
        </row>
        <row r="133">
          <cell r="A133">
            <v>126</v>
          </cell>
          <cell r="B133" t="str">
            <v>Kertobanyon</v>
          </cell>
          <cell r="C133">
            <v>350619029</v>
          </cell>
          <cell r="D133">
            <v>0</v>
          </cell>
          <cell r="E133">
            <v>35</v>
          </cell>
          <cell r="F133">
            <v>0</v>
          </cell>
          <cell r="G133">
            <v>0</v>
          </cell>
          <cell r="H133">
            <v>25</v>
          </cell>
          <cell r="I133">
            <v>0</v>
          </cell>
          <cell r="J133">
            <v>0</v>
          </cell>
          <cell r="K133">
            <v>0</v>
          </cell>
          <cell r="L133">
            <v>30</v>
          </cell>
          <cell r="M133">
            <v>24</v>
          </cell>
          <cell r="N133">
            <v>0</v>
          </cell>
          <cell r="O133">
            <v>18</v>
          </cell>
          <cell r="P133">
            <v>3</v>
          </cell>
          <cell r="Q133">
            <v>30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18</v>
          </cell>
          <cell r="X133">
            <v>38</v>
          </cell>
          <cell r="Y133">
            <v>5</v>
          </cell>
          <cell r="Z133">
            <v>12</v>
          </cell>
          <cell r="AA133">
            <v>0</v>
          </cell>
          <cell r="AB133">
            <v>0</v>
          </cell>
          <cell r="AC133">
            <v>2</v>
          </cell>
          <cell r="AD133">
            <v>16</v>
          </cell>
          <cell r="AE133">
            <v>0</v>
          </cell>
          <cell r="AF133">
            <v>0</v>
          </cell>
          <cell r="AG133">
            <v>6</v>
          </cell>
          <cell r="AH133">
            <v>0</v>
          </cell>
          <cell r="AI133">
            <v>262</v>
          </cell>
          <cell r="AJ133">
            <v>38</v>
          </cell>
          <cell r="AK133">
            <v>14</v>
          </cell>
        </row>
        <row r="134">
          <cell r="A134">
            <v>127</v>
          </cell>
          <cell r="B134" t="str">
            <v>Klegen</v>
          </cell>
          <cell r="C134">
            <v>350619030</v>
          </cell>
          <cell r="D134">
            <v>0</v>
          </cell>
          <cell r="E134">
            <v>8</v>
          </cell>
          <cell r="F134">
            <v>0</v>
          </cell>
          <cell r="G134">
            <v>0</v>
          </cell>
          <cell r="H134">
            <v>20</v>
          </cell>
          <cell r="I134">
            <v>5</v>
          </cell>
          <cell r="J134">
            <v>0</v>
          </cell>
          <cell r="K134">
            <v>0</v>
          </cell>
          <cell r="L134">
            <v>5</v>
          </cell>
          <cell r="M134">
            <v>5</v>
          </cell>
          <cell r="N134">
            <v>0</v>
          </cell>
          <cell r="O134">
            <v>25</v>
          </cell>
          <cell r="P134">
            <v>0</v>
          </cell>
          <cell r="Q134">
            <v>50</v>
          </cell>
          <cell r="R134">
            <v>0</v>
          </cell>
          <cell r="S134">
            <v>0</v>
          </cell>
          <cell r="T134">
            <v>5</v>
          </cell>
          <cell r="U134">
            <v>0</v>
          </cell>
          <cell r="V134">
            <v>5</v>
          </cell>
          <cell r="W134">
            <v>0</v>
          </cell>
          <cell r="X134">
            <v>60</v>
          </cell>
          <cell r="Y134">
            <v>0</v>
          </cell>
          <cell r="Z134">
            <v>5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14</v>
          </cell>
          <cell r="AG134">
            <v>8</v>
          </cell>
          <cell r="AH134">
            <v>0</v>
          </cell>
          <cell r="AI134">
            <v>215</v>
          </cell>
          <cell r="AJ134">
            <v>60</v>
          </cell>
          <cell r="AK134">
            <v>13</v>
          </cell>
        </row>
        <row r="135">
          <cell r="A135">
            <v>128</v>
          </cell>
          <cell r="B135" t="str">
            <v>Pg.Pagotan</v>
          </cell>
          <cell r="C135">
            <v>350619031</v>
          </cell>
          <cell r="D135">
            <v>4</v>
          </cell>
          <cell r="E135">
            <v>31</v>
          </cell>
          <cell r="F135">
            <v>10</v>
          </cell>
          <cell r="G135">
            <v>0</v>
          </cell>
          <cell r="H135">
            <v>15</v>
          </cell>
          <cell r="I135">
            <v>2</v>
          </cell>
          <cell r="J135">
            <v>8</v>
          </cell>
          <cell r="K135">
            <v>0</v>
          </cell>
          <cell r="L135">
            <v>24</v>
          </cell>
          <cell r="M135">
            <v>25</v>
          </cell>
          <cell r="N135">
            <v>0</v>
          </cell>
          <cell r="O135">
            <v>20</v>
          </cell>
          <cell r="P135">
            <v>8</v>
          </cell>
          <cell r="Q135">
            <v>12</v>
          </cell>
          <cell r="R135">
            <v>3</v>
          </cell>
          <cell r="S135">
            <v>28</v>
          </cell>
          <cell r="T135">
            <v>14</v>
          </cell>
          <cell r="U135">
            <v>4</v>
          </cell>
          <cell r="V135">
            <v>2</v>
          </cell>
          <cell r="W135">
            <v>7</v>
          </cell>
          <cell r="X135">
            <v>29</v>
          </cell>
          <cell r="Y135">
            <v>4</v>
          </cell>
          <cell r="Z135">
            <v>14</v>
          </cell>
          <cell r="AA135">
            <v>0</v>
          </cell>
          <cell r="AB135">
            <v>0</v>
          </cell>
          <cell r="AC135">
            <v>0</v>
          </cell>
          <cell r="AD135">
            <v>18</v>
          </cell>
          <cell r="AE135">
            <v>0</v>
          </cell>
          <cell r="AF135">
            <v>4</v>
          </cell>
          <cell r="AG135">
            <v>24</v>
          </cell>
          <cell r="AH135">
            <v>0</v>
          </cell>
          <cell r="AI135">
            <v>310</v>
          </cell>
          <cell r="AJ135">
            <v>31</v>
          </cell>
          <cell r="AK135">
            <v>23</v>
          </cell>
        </row>
        <row r="136">
          <cell r="A136">
            <v>129</v>
          </cell>
          <cell r="B136" t="str">
            <v>Gombal</v>
          </cell>
          <cell r="C136">
            <v>350619032</v>
          </cell>
          <cell r="D136">
            <v>0</v>
          </cell>
          <cell r="E136">
            <v>23</v>
          </cell>
          <cell r="F136">
            <v>1</v>
          </cell>
          <cell r="G136">
            <v>0</v>
          </cell>
          <cell r="H136">
            <v>0</v>
          </cell>
          <cell r="I136">
            <v>4</v>
          </cell>
          <cell r="J136">
            <v>0</v>
          </cell>
          <cell r="K136">
            <v>0</v>
          </cell>
          <cell r="L136">
            <v>16</v>
          </cell>
          <cell r="M136">
            <v>17</v>
          </cell>
          <cell r="N136">
            <v>60</v>
          </cell>
          <cell r="O136">
            <v>36</v>
          </cell>
          <cell r="P136">
            <v>1</v>
          </cell>
          <cell r="Q136">
            <v>12</v>
          </cell>
          <cell r="R136">
            <v>24</v>
          </cell>
          <cell r="S136">
            <v>7</v>
          </cell>
          <cell r="T136">
            <v>10</v>
          </cell>
          <cell r="U136">
            <v>33</v>
          </cell>
          <cell r="V136">
            <v>34</v>
          </cell>
          <cell r="W136">
            <v>29</v>
          </cell>
          <cell r="X136">
            <v>6</v>
          </cell>
          <cell r="Y136">
            <v>4</v>
          </cell>
          <cell r="Z136">
            <v>2</v>
          </cell>
          <cell r="AA136">
            <v>0</v>
          </cell>
          <cell r="AB136">
            <v>0</v>
          </cell>
          <cell r="AC136">
            <v>0</v>
          </cell>
          <cell r="AD136">
            <v>25</v>
          </cell>
          <cell r="AE136">
            <v>0</v>
          </cell>
          <cell r="AF136">
            <v>0</v>
          </cell>
          <cell r="AG136">
            <v>16</v>
          </cell>
          <cell r="AH136">
            <v>11</v>
          </cell>
          <cell r="AI136">
            <v>371</v>
          </cell>
          <cell r="AJ136">
            <v>60</v>
          </cell>
          <cell r="AK136">
            <v>21</v>
          </cell>
        </row>
        <row r="137">
          <cell r="A137">
            <v>130</v>
          </cell>
          <cell r="B137" t="str">
            <v>Sareng</v>
          </cell>
          <cell r="C137">
            <v>350619033</v>
          </cell>
          <cell r="D137">
            <v>11</v>
          </cell>
          <cell r="E137">
            <v>17</v>
          </cell>
          <cell r="F137">
            <v>0</v>
          </cell>
          <cell r="G137">
            <v>0</v>
          </cell>
          <cell r="H137">
            <v>4</v>
          </cell>
          <cell r="I137">
            <v>27</v>
          </cell>
          <cell r="J137">
            <v>0</v>
          </cell>
          <cell r="K137">
            <v>0</v>
          </cell>
          <cell r="L137">
            <v>12</v>
          </cell>
          <cell r="M137">
            <v>28</v>
          </cell>
          <cell r="N137">
            <v>9</v>
          </cell>
          <cell r="O137">
            <v>26</v>
          </cell>
          <cell r="P137">
            <v>23</v>
          </cell>
          <cell r="Q137">
            <v>19</v>
          </cell>
          <cell r="R137">
            <v>17</v>
          </cell>
          <cell r="S137">
            <v>24</v>
          </cell>
          <cell r="T137">
            <v>52</v>
          </cell>
          <cell r="U137">
            <v>4</v>
          </cell>
          <cell r="V137">
            <v>2</v>
          </cell>
          <cell r="W137">
            <v>7</v>
          </cell>
          <cell r="X137">
            <v>43</v>
          </cell>
          <cell r="Y137">
            <v>2</v>
          </cell>
          <cell r="Z137">
            <v>6</v>
          </cell>
          <cell r="AA137">
            <v>0</v>
          </cell>
          <cell r="AB137">
            <v>0</v>
          </cell>
          <cell r="AC137">
            <v>0</v>
          </cell>
          <cell r="AD137">
            <v>14</v>
          </cell>
          <cell r="AE137">
            <v>2</v>
          </cell>
          <cell r="AF137">
            <v>0</v>
          </cell>
          <cell r="AG137">
            <v>16</v>
          </cell>
          <cell r="AH137">
            <v>21</v>
          </cell>
          <cell r="AI137">
            <v>386</v>
          </cell>
          <cell r="AJ137">
            <v>52</v>
          </cell>
          <cell r="AK137">
            <v>23</v>
          </cell>
        </row>
        <row r="138">
          <cell r="A138">
            <v>131</v>
          </cell>
          <cell r="B138" t="str">
            <v>Dolopo</v>
          </cell>
          <cell r="C138">
            <v>350619034</v>
          </cell>
          <cell r="D138">
            <v>0</v>
          </cell>
          <cell r="E138">
            <v>16</v>
          </cell>
          <cell r="F138">
            <v>3</v>
          </cell>
          <cell r="G138">
            <v>0</v>
          </cell>
          <cell r="H138">
            <v>0</v>
          </cell>
          <cell r="I138">
            <v>5</v>
          </cell>
          <cell r="J138">
            <v>0</v>
          </cell>
          <cell r="K138">
            <v>0</v>
          </cell>
          <cell r="L138">
            <v>13</v>
          </cell>
          <cell r="M138">
            <v>30</v>
          </cell>
          <cell r="N138">
            <v>17</v>
          </cell>
          <cell r="O138">
            <v>30</v>
          </cell>
          <cell r="P138">
            <v>6</v>
          </cell>
          <cell r="Q138">
            <v>8</v>
          </cell>
          <cell r="R138">
            <v>6</v>
          </cell>
          <cell r="S138">
            <v>16</v>
          </cell>
          <cell r="T138">
            <v>35</v>
          </cell>
          <cell r="U138">
            <v>4</v>
          </cell>
          <cell r="V138">
            <v>6</v>
          </cell>
          <cell r="W138">
            <v>6</v>
          </cell>
          <cell r="X138">
            <v>33</v>
          </cell>
          <cell r="Y138">
            <v>3</v>
          </cell>
          <cell r="Z138">
            <v>6</v>
          </cell>
          <cell r="AA138">
            <v>0</v>
          </cell>
          <cell r="AB138">
            <v>0</v>
          </cell>
          <cell r="AC138">
            <v>0</v>
          </cell>
          <cell r="AD138">
            <v>15</v>
          </cell>
          <cell r="AE138">
            <v>4</v>
          </cell>
          <cell r="AF138">
            <v>0</v>
          </cell>
          <cell r="AG138">
            <v>24</v>
          </cell>
          <cell r="AH138">
            <v>2</v>
          </cell>
          <cell r="AI138">
            <v>288</v>
          </cell>
          <cell r="AJ138">
            <v>35</v>
          </cell>
          <cell r="AK138">
            <v>22</v>
          </cell>
        </row>
        <row r="139">
          <cell r="A139">
            <v>132</v>
          </cell>
          <cell r="B139" t="str">
            <v>Karanganyar</v>
          </cell>
          <cell r="C139">
            <v>350619035</v>
          </cell>
          <cell r="D139">
            <v>3</v>
          </cell>
          <cell r="E139">
            <v>10</v>
          </cell>
          <cell r="F139">
            <v>5</v>
          </cell>
          <cell r="G139">
            <v>0</v>
          </cell>
          <cell r="H139">
            <v>2</v>
          </cell>
          <cell r="I139">
            <v>3</v>
          </cell>
          <cell r="J139">
            <v>16</v>
          </cell>
          <cell r="K139">
            <v>0</v>
          </cell>
          <cell r="L139">
            <v>14</v>
          </cell>
          <cell r="M139">
            <v>8</v>
          </cell>
          <cell r="N139">
            <v>0</v>
          </cell>
          <cell r="O139">
            <v>26</v>
          </cell>
          <cell r="P139">
            <v>0</v>
          </cell>
          <cell r="Q139">
            <v>16</v>
          </cell>
          <cell r="R139">
            <v>0</v>
          </cell>
          <cell r="S139">
            <v>2</v>
          </cell>
          <cell r="T139">
            <v>0</v>
          </cell>
          <cell r="U139">
            <v>0</v>
          </cell>
          <cell r="V139">
            <v>18</v>
          </cell>
          <cell r="W139">
            <v>22</v>
          </cell>
          <cell r="X139">
            <v>14</v>
          </cell>
          <cell r="Y139">
            <v>12</v>
          </cell>
          <cell r="Z139">
            <v>2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28</v>
          </cell>
          <cell r="AG139">
            <v>15</v>
          </cell>
          <cell r="AH139">
            <v>10</v>
          </cell>
          <cell r="AI139">
            <v>226</v>
          </cell>
          <cell r="AJ139">
            <v>28</v>
          </cell>
          <cell r="AK139">
            <v>19</v>
          </cell>
        </row>
        <row r="140">
          <cell r="A140">
            <v>133</v>
          </cell>
          <cell r="B140" t="str">
            <v>Krangkeng</v>
          </cell>
          <cell r="C140">
            <v>350619036</v>
          </cell>
          <cell r="D140">
            <v>0</v>
          </cell>
          <cell r="E140">
            <v>39</v>
          </cell>
          <cell r="F140">
            <v>0</v>
          </cell>
          <cell r="G140">
            <v>0</v>
          </cell>
          <cell r="H140">
            <v>18</v>
          </cell>
          <cell r="I140">
            <v>0</v>
          </cell>
          <cell r="J140">
            <v>0</v>
          </cell>
          <cell r="K140">
            <v>0</v>
          </cell>
          <cell r="L140">
            <v>65</v>
          </cell>
          <cell r="M140">
            <v>9</v>
          </cell>
          <cell r="N140">
            <v>0</v>
          </cell>
          <cell r="O140">
            <v>15</v>
          </cell>
          <cell r="P140">
            <v>8</v>
          </cell>
          <cell r="Q140">
            <v>20</v>
          </cell>
          <cell r="R140">
            <v>0</v>
          </cell>
          <cell r="S140">
            <v>0</v>
          </cell>
          <cell r="T140">
            <v>15</v>
          </cell>
          <cell r="U140">
            <v>0</v>
          </cell>
          <cell r="V140">
            <v>5</v>
          </cell>
          <cell r="W140">
            <v>17</v>
          </cell>
          <cell r="X140">
            <v>34</v>
          </cell>
          <cell r="Y140">
            <v>4</v>
          </cell>
          <cell r="Z140">
            <v>10</v>
          </cell>
          <cell r="AA140">
            <v>0</v>
          </cell>
          <cell r="AB140">
            <v>0</v>
          </cell>
          <cell r="AC140">
            <v>7</v>
          </cell>
          <cell r="AD140">
            <v>15</v>
          </cell>
          <cell r="AE140">
            <v>0</v>
          </cell>
          <cell r="AF140">
            <v>0</v>
          </cell>
          <cell r="AG140">
            <v>11</v>
          </cell>
          <cell r="AH140">
            <v>0</v>
          </cell>
          <cell r="AI140">
            <v>292</v>
          </cell>
          <cell r="AJ140">
            <v>65</v>
          </cell>
          <cell r="AK140">
            <v>16</v>
          </cell>
        </row>
        <row r="141">
          <cell r="A141">
            <v>134</v>
          </cell>
          <cell r="B141" t="str">
            <v>Kantor Barat</v>
          </cell>
          <cell r="C141">
            <v>350620001</v>
          </cell>
          <cell r="D141">
            <v>5</v>
          </cell>
          <cell r="E141">
            <v>8</v>
          </cell>
          <cell r="F141">
            <v>0</v>
          </cell>
          <cell r="G141">
            <v>0</v>
          </cell>
          <cell r="H141">
            <v>1</v>
          </cell>
          <cell r="I141">
            <v>0</v>
          </cell>
          <cell r="J141">
            <v>0</v>
          </cell>
          <cell r="K141">
            <v>17</v>
          </cell>
          <cell r="L141">
            <v>4</v>
          </cell>
          <cell r="M141">
            <v>4</v>
          </cell>
          <cell r="N141">
            <v>1</v>
          </cell>
          <cell r="O141">
            <v>25</v>
          </cell>
          <cell r="P141">
            <v>0</v>
          </cell>
          <cell r="Q141">
            <v>6</v>
          </cell>
          <cell r="R141">
            <v>0</v>
          </cell>
          <cell r="S141">
            <v>0</v>
          </cell>
          <cell r="T141">
            <v>1</v>
          </cell>
          <cell r="U141">
            <v>0</v>
          </cell>
          <cell r="V141">
            <v>34</v>
          </cell>
          <cell r="W141">
            <v>38</v>
          </cell>
          <cell r="X141">
            <v>14</v>
          </cell>
          <cell r="Y141">
            <v>10</v>
          </cell>
          <cell r="Z141">
            <v>4</v>
          </cell>
          <cell r="AA141">
            <v>0</v>
          </cell>
          <cell r="AB141">
            <v>0</v>
          </cell>
          <cell r="AC141">
            <v>1</v>
          </cell>
          <cell r="AD141">
            <v>0</v>
          </cell>
          <cell r="AE141">
            <v>1</v>
          </cell>
          <cell r="AF141">
            <v>12</v>
          </cell>
          <cell r="AG141">
            <v>2</v>
          </cell>
          <cell r="AH141">
            <v>2</v>
          </cell>
          <cell r="AI141">
            <v>190</v>
          </cell>
          <cell r="AJ141">
            <v>38</v>
          </cell>
          <cell r="AK141">
            <v>20</v>
          </cell>
        </row>
        <row r="142">
          <cell r="A142">
            <v>135</v>
          </cell>
          <cell r="B142" t="str">
            <v>Karangmojo</v>
          </cell>
          <cell r="C142">
            <v>350620002</v>
          </cell>
          <cell r="D142">
            <v>21</v>
          </cell>
          <cell r="E142">
            <v>14</v>
          </cell>
          <cell r="F142">
            <v>0</v>
          </cell>
          <cell r="G142">
            <v>0</v>
          </cell>
          <cell r="H142">
            <v>5</v>
          </cell>
          <cell r="I142">
            <v>1</v>
          </cell>
          <cell r="J142">
            <v>1</v>
          </cell>
          <cell r="K142">
            <v>2</v>
          </cell>
          <cell r="L142">
            <v>32</v>
          </cell>
          <cell r="M142">
            <v>0</v>
          </cell>
          <cell r="N142">
            <v>1</v>
          </cell>
          <cell r="O142">
            <v>29</v>
          </cell>
          <cell r="P142">
            <v>0</v>
          </cell>
          <cell r="Q142">
            <v>3</v>
          </cell>
          <cell r="R142">
            <v>0</v>
          </cell>
          <cell r="S142">
            <v>3</v>
          </cell>
          <cell r="T142">
            <v>2</v>
          </cell>
          <cell r="U142">
            <v>0</v>
          </cell>
          <cell r="V142">
            <v>14</v>
          </cell>
          <cell r="W142">
            <v>8</v>
          </cell>
          <cell r="X142">
            <v>16</v>
          </cell>
          <cell r="Y142">
            <v>4</v>
          </cell>
          <cell r="Z142">
            <v>14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4</v>
          </cell>
          <cell r="AF142">
            <v>2</v>
          </cell>
          <cell r="AG142">
            <v>4</v>
          </cell>
          <cell r="AH142">
            <v>3</v>
          </cell>
          <cell r="AI142">
            <v>183</v>
          </cell>
          <cell r="AJ142">
            <v>32</v>
          </cell>
          <cell r="AK142">
            <v>21</v>
          </cell>
        </row>
        <row r="143">
          <cell r="A143">
            <v>136</v>
          </cell>
          <cell r="B143" t="str">
            <v>Taji</v>
          </cell>
          <cell r="C143">
            <v>350620003</v>
          </cell>
          <cell r="D143">
            <v>4</v>
          </cell>
          <cell r="E143">
            <v>14</v>
          </cell>
          <cell r="F143">
            <v>0</v>
          </cell>
          <cell r="G143">
            <v>0</v>
          </cell>
          <cell r="H143">
            <v>5</v>
          </cell>
          <cell r="I143">
            <v>0</v>
          </cell>
          <cell r="J143">
            <v>0</v>
          </cell>
          <cell r="K143">
            <v>0</v>
          </cell>
          <cell r="L143">
            <v>10</v>
          </cell>
          <cell r="M143">
            <v>3</v>
          </cell>
          <cell r="N143">
            <v>2</v>
          </cell>
          <cell r="O143">
            <v>100</v>
          </cell>
          <cell r="P143">
            <v>2</v>
          </cell>
          <cell r="Q143">
            <v>0</v>
          </cell>
          <cell r="R143">
            <v>0</v>
          </cell>
          <cell r="S143">
            <v>10</v>
          </cell>
          <cell r="T143">
            <v>2</v>
          </cell>
          <cell r="U143">
            <v>0</v>
          </cell>
          <cell r="V143">
            <v>50</v>
          </cell>
          <cell r="W143">
            <v>39</v>
          </cell>
          <cell r="X143">
            <v>18</v>
          </cell>
          <cell r="Y143">
            <v>22</v>
          </cell>
          <cell r="Z143">
            <v>17</v>
          </cell>
          <cell r="AA143">
            <v>0</v>
          </cell>
          <cell r="AB143">
            <v>0</v>
          </cell>
          <cell r="AC143">
            <v>3</v>
          </cell>
          <cell r="AD143">
            <v>2</v>
          </cell>
          <cell r="AE143">
            <v>4</v>
          </cell>
          <cell r="AF143">
            <v>44</v>
          </cell>
          <cell r="AG143">
            <v>2</v>
          </cell>
          <cell r="AH143">
            <v>14</v>
          </cell>
          <cell r="AI143">
            <v>367</v>
          </cell>
          <cell r="AJ143">
            <v>100</v>
          </cell>
          <cell r="AK143">
            <v>21</v>
          </cell>
        </row>
        <row r="144">
          <cell r="A144">
            <v>137</v>
          </cell>
          <cell r="B144" t="str">
            <v>Purwodadi</v>
          </cell>
          <cell r="C144">
            <v>350620004</v>
          </cell>
          <cell r="D144">
            <v>8</v>
          </cell>
          <cell r="E144">
            <v>14</v>
          </cell>
          <cell r="F144">
            <v>0</v>
          </cell>
          <cell r="G144">
            <v>0</v>
          </cell>
          <cell r="H144">
            <v>0</v>
          </cell>
          <cell r="I144">
            <v>2</v>
          </cell>
          <cell r="J144">
            <v>9</v>
          </cell>
          <cell r="K144">
            <v>8</v>
          </cell>
          <cell r="L144">
            <v>9</v>
          </cell>
          <cell r="M144">
            <v>5</v>
          </cell>
          <cell r="N144">
            <v>2</v>
          </cell>
          <cell r="O144">
            <v>32</v>
          </cell>
          <cell r="P144">
            <v>1</v>
          </cell>
          <cell r="Q144">
            <v>7</v>
          </cell>
          <cell r="R144">
            <v>0</v>
          </cell>
          <cell r="S144">
            <v>2</v>
          </cell>
          <cell r="T144">
            <v>4</v>
          </cell>
          <cell r="U144">
            <v>0</v>
          </cell>
          <cell r="V144">
            <v>33</v>
          </cell>
          <cell r="W144">
            <v>38</v>
          </cell>
          <cell r="X144">
            <v>16</v>
          </cell>
          <cell r="Y144">
            <v>13</v>
          </cell>
          <cell r="Z144">
            <v>7</v>
          </cell>
          <cell r="AA144">
            <v>0</v>
          </cell>
          <cell r="AB144">
            <v>0</v>
          </cell>
          <cell r="AC144">
            <v>1</v>
          </cell>
          <cell r="AD144">
            <v>1</v>
          </cell>
          <cell r="AE144">
            <v>7</v>
          </cell>
          <cell r="AF144">
            <v>20</v>
          </cell>
          <cell r="AG144">
            <v>5</v>
          </cell>
          <cell r="AH144">
            <v>5</v>
          </cell>
          <cell r="AI144">
            <v>249</v>
          </cell>
          <cell r="AJ144">
            <v>38</v>
          </cell>
          <cell r="AK144">
            <v>24</v>
          </cell>
        </row>
        <row r="145">
          <cell r="A145">
            <v>138</v>
          </cell>
          <cell r="B145" t="str">
            <v>Jungke</v>
          </cell>
          <cell r="C145">
            <v>350620005</v>
          </cell>
          <cell r="D145">
            <v>8</v>
          </cell>
          <cell r="E145">
            <v>12</v>
          </cell>
          <cell r="F145">
            <v>0</v>
          </cell>
          <cell r="G145">
            <v>0</v>
          </cell>
          <cell r="H145">
            <v>0</v>
          </cell>
          <cell r="I145">
            <v>5</v>
          </cell>
          <cell r="J145">
            <v>6</v>
          </cell>
          <cell r="K145">
            <v>0</v>
          </cell>
          <cell r="L145">
            <v>5</v>
          </cell>
          <cell r="M145">
            <v>9</v>
          </cell>
          <cell r="N145">
            <v>3</v>
          </cell>
          <cell r="O145">
            <v>50</v>
          </cell>
          <cell r="P145">
            <v>2</v>
          </cell>
          <cell r="Q145">
            <v>11</v>
          </cell>
          <cell r="R145">
            <v>2</v>
          </cell>
          <cell r="S145">
            <v>14</v>
          </cell>
          <cell r="T145">
            <v>2</v>
          </cell>
          <cell r="U145">
            <v>0</v>
          </cell>
          <cell r="V145">
            <v>37</v>
          </cell>
          <cell r="W145">
            <v>53</v>
          </cell>
          <cell r="X145">
            <v>17</v>
          </cell>
          <cell r="Y145">
            <v>18</v>
          </cell>
          <cell r="Z145">
            <v>11</v>
          </cell>
          <cell r="AA145">
            <v>0</v>
          </cell>
          <cell r="AB145">
            <v>0</v>
          </cell>
          <cell r="AC145">
            <v>2</v>
          </cell>
          <cell r="AD145">
            <v>3</v>
          </cell>
          <cell r="AE145">
            <v>5</v>
          </cell>
          <cell r="AF145">
            <v>43</v>
          </cell>
          <cell r="AG145">
            <v>4</v>
          </cell>
          <cell r="AH145">
            <v>8</v>
          </cell>
          <cell r="AI145">
            <v>330</v>
          </cell>
          <cell r="AJ145">
            <v>53</v>
          </cell>
          <cell r="AK145">
            <v>24</v>
          </cell>
        </row>
        <row r="146">
          <cell r="A146">
            <v>139</v>
          </cell>
          <cell r="B146" t="str">
            <v>Tinap</v>
          </cell>
          <cell r="C146">
            <v>350620006</v>
          </cell>
          <cell r="D146">
            <v>0</v>
          </cell>
          <cell r="E146">
            <v>5</v>
          </cell>
          <cell r="F146">
            <v>2</v>
          </cell>
          <cell r="G146">
            <v>0</v>
          </cell>
          <cell r="H146">
            <v>1</v>
          </cell>
          <cell r="I146">
            <v>0</v>
          </cell>
          <cell r="J146">
            <v>18</v>
          </cell>
          <cell r="K146">
            <v>13</v>
          </cell>
          <cell r="L146">
            <v>2</v>
          </cell>
          <cell r="M146">
            <v>2</v>
          </cell>
          <cell r="N146">
            <v>1</v>
          </cell>
          <cell r="O146">
            <v>22</v>
          </cell>
          <cell r="P146">
            <v>0</v>
          </cell>
          <cell r="Q146">
            <v>8</v>
          </cell>
          <cell r="R146">
            <v>0</v>
          </cell>
          <cell r="S146">
            <v>2</v>
          </cell>
          <cell r="T146">
            <v>2</v>
          </cell>
          <cell r="U146">
            <v>0</v>
          </cell>
          <cell r="V146">
            <v>30</v>
          </cell>
          <cell r="W146">
            <v>6</v>
          </cell>
          <cell r="X146">
            <v>22</v>
          </cell>
          <cell r="Y146">
            <v>20</v>
          </cell>
          <cell r="Z146">
            <v>12</v>
          </cell>
          <cell r="AA146">
            <v>0</v>
          </cell>
          <cell r="AB146">
            <v>0</v>
          </cell>
          <cell r="AC146">
            <v>16</v>
          </cell>
          <cell r="AD146">
            <v>2</v>
          </cell>
          <cell r="AE146">
            <v>3</v>
          </cell>
          <cell r="AF146">
            <v>51</v>
          </cell>
          <cell r="AG146">
            <v>3</v>
          </cell>
          <cell r="AH146">
            <v>4</v>
          </cell>
          <cell r="AI146">
            <v>247</v>
          </cell>
          <cell r="AJ146">
            <v>51</v>
          </cell>
          <cell r="AK146">
            <v>23</v>
          </cell>
        </row>
        <row r="147">
          <cell r="A147">
            <v>140</v>
          </cell>
          <cell r="B147" t="str">
            <v>Bendo MGT</v>
          </cell>
          <cell r="C147">
            <v>350620007</v>
          </cell>
          <cell r="D147">
            <v>2</v>
          </cell>
          <cell r="E147">
            <v>4</v>
          </cell>
          <cell r="F147">
            <v>7</v>
          </cell>
          <cell r="G147">
            <v>0</v>
          </cell>
          <cell r="H147">
            <v>6</v>
          </cell>
          <cell r="I147">
            <v>0</v>
          </cell>
          <cell r="J147">
            <v>10</v>
          </cell>
          <cell r="K147">
            <v>0</v>
          </cell>
          <cell r="L147">
            <v>1</v>
          </cell>
          <cell r="M147">
            <v>30</v>
          </cell>
          <cell r="N147">
            <v>0</v>
          </cell>
          <cell r="O147">
            <v>21</v>
          </cell>
          <cell r="P147">
            <v>1</v>
          </cell>
          <cell r="Q147">
            <v>11</v>
          </cell>
          <cell r="R147">
            <v>0</v>
          </cell>
          <cell r="S147">
            <v>12</v>
          </cell>
          <cell r="T147">
            <v>0</v>
          </cell>
          <cell r="U147">
            <v>0</v>
          </cell>
          <cell r="V147">
            <v>12</v>
          </cell>
          <cell r="W147">
            <v>5</v>
          </cell>
          <cell r="X147">
            <v>31</v>
          </cell>
          <cell r="Y147">
            <v>13</v>
          </cell>
          <cell r="Z147">
            <v>0</v>
          </cell>
          <cell r="AA147">
            <v>0</v>
          </cell>
          <cell r="AB147">
            <v>0</v>
          </cell>
          <cell r="AC147">
            <v>17</v>
          </cell>
          <cell r="AD147">
            <v>14</v>
          </cell>
          <cell r="AE147">
            <v>6</v>
          </cell>
          <cell r="AF147">
            <v>13</v>
          </cell>
          <cell r="AG147">
            <v>2</v>
          </cell>
          <cell r="AH147">
            <v>4</v>
          </cell>
          <cell r="AI147">
            <v>222</v>
          </cell>
          <cell r="AJ147">
            <v>31</v>
          </cell>
          <cell r="AK147">
            <v>21</v>
          </cell>
        </row>
        <row r="148">
          <cell r="A148">
            <v>141</v>
          </cell>
          <cell r="B148" t="str">
            <v>Gandongkerik</v>
          </cell>
          <cell r="C148">
            <v>350620008</v>
          </cell>
          <cell r="D148">
            <v>0</v>
          </cell>
          <cell r="E148">
            <v>32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2</v>
          </cell>
          <cell r="K148">
            <v>0</v>
          </cell>
          <cell r="L148">
            <v>4</v>
          </cell>
          <cell r="M148">
            <v>8</v>
          </cell>
          <cell r="N148">
            <v>0</v>
          </cell>
          <cell r="O148">
            <v>31</v>
          </cell>
          <cell r="P148">
            <v>3</v>
          </cell>
          <cell r="Q148">
            <v>9</v>
          </cell>
          <cell r="R148">
            <v>0</v>
          </cell>
          <cell r="S148">
            <v>3</v>
          </cell>
          <cell r="T148">
            <v>10</v>
          </cell>
          <cell r="U148">
            <v>0</v>
          </cell>
          <cell r="V148">
            <v>13</v>
          </cell>
          <cell r="W148">
            <v>5</v>
          </cell>
          <cell r="X148">
            <v>0</v>
          </cell>
          <cell r="Y148">
            <v>12</v>
          </cell>
          <cell r="Z148">
            <v>32</v>
          </cell>
          <cell r="AA148">
            <v>0</v>
          </cell>
          <cell r="AB148">
            <v>0</v>
          </cell>
          <cell r="AC148">
            <v>8</v>
          </cell>
          <cell r="AD148">
            <v>12</v>
          </cell>
          <cell r="AE148">
            <v>0</v>
          </cell>
          <cell r="AF148">
            <v>23</v>
          </cell>
          <cell r="AG148">
            <v>0</v>
          </cell>
          <cell r="AH148">
            <v>10</v>
          </cell>
          <cell r="AI148">
            <v>217</v>
          </cell>
          <cell r="AJ148">
            <v>32</v>
          </cell>
          <cell r="AK148">
            <v>17</v>
          </cell>
        </row>
        <row r="149">
          <cell r="A149">
            <v>142</v>
          </cell>
          <cell r="B149" t="str">
            <v>Jejeruk</v>
          </cell>
          <cell r="C149">
            <v>350620009</v>
          </cell>
          <cell r="D149">
            <v>4</v>
          </cell>
          <cell r="E149">
            <v>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9</v>
          </cell>
          <cell r="K149">
            <v>2</v>
          </cell>
          <cell r="L149">
            <v>3</v>
          </cell>
          <cell r="M149">
            <v>36</v>
          </cell>
          <cell r="N149">
            <v>17</v>
          </cell>
          <cell r="O149">
            <v>44</v>
          </cell>
          <cell r="P149">
            <v>3</v>
          </cell>
          <cell r="Q149">
            <v>5</v>
          </cell>
          <cell r="R149">
            <v>1</v>
          </cell>
          <cell r="S149">
            <v>6</v>
          </cell>
          <cell r="T149">
            <v>17</v>
          </cell>
          <cell r="U149">
            <v>5</v>
          </cell>
          <cell r="V149">
            <v>11</v>
          </cell>
          <cell r="W149">
            <v>14</v>
          </cell>
          <cell r="X149">
            <v>45</v>
          </cell>
          <cell r="Y149">
            <v>9</v>
          </cell>
          <cell r="Z149">
            <v>47</v>
          </cell>
          <cell r="AA149">
            <v>0</v>
          </cell>
          <cell r="AB149">
            <v>0</v>
          </cell>
          <cell r="AC149">
            <v>16</v>
          </cell>
          <cell r="AD149">
            <v>2</v>
          </cell>
          <cell r="AE149">
            <v>1</v>
          </cell>
          <cell r="AF149">
            <v>23</v>
          </cell>
          <cell r="AG149">
            <v>10</v>
          </cell>
          <cell r="AH149">
            <v>24</v>
          </cell>
          <cell r="AI149">
            <v>355</v>
          </cell>
          <cell r="AJ149">
            <v>47</v>
          </cell>
          <cell r="AK149">
            <v>25</v>
          </cell>
        </row>
        <row r="150">
          <cell r="A150">
            <v>143</v>
          </cell>
          <cell r="B150" t="str">
            <v>Sumberdodol</v>
          </cell>
          <cell r="C150">
            <v>350620010</v>
          </cell>
          <cell r="D150">
            <v>12</v>
          </cell>
          <cell r="E150">
            <v>3</v>
          </cell>
          <cell r="F150">
            <v>2</v>
          </cell>
          <cell r="G150">
            <v>0</v>
          </cell>
          <cell r="H150">
            <v>0</v>
          </cell>
          <cell r="I150">
            <v>1</v>
          </cell>
          <cell r="J150">
            <v>0</v>
          </cell>
          <cell r="K150">
            <v>11</v>
          </cell>
          <cell r="L150">
            <v>7</v>
          </cell>
          <cell r="M150">
            <v>13</v>
          </cell>
          <cell r="N150">
            <v>11</v>
          </cell>
          <cell r="O150">
            <v>63</v>
          </cell>
          <cell r="P150">
            <v>23</v>
          </cell>
          <cell r="Q150">
            <v>2</v>
          </cell>
          <cell r="R150">
            <v>19</v>
          </cell>
          <cell r="S150">
            <v>0</v>
          </cell>
          <cell r="T150">
            <v>4</v>
          </cell>
          <cell r="U150">
            <v>0</v>
          </cell>
          <cell r="V150">
            <v>23</v>
          </cell>
          <cell r="W150">
            <v>31</v>
          </cell>
          <cell r="X150">
            <v>52</v>
          </cell>
          <cell r="Y150">
            <v>8</v>
          </cell>
          <cell r="Z150">
            <v>19</v>
          </cell>
          <cell r="AA150">
            <v>0</v>
          </cell>
          <cell r="AB150">
            <v>0</v>
          </cell>
          <cell r="AC150">
            <v>3</v>
          </cell>
          <cell r="AD150">
            <v>0</v>
          </cell>
          <cell r="AE150">
            <v>0</v>
          </cell>
          <cell r="AF150">
            <v>28</v>
          </cell>
          <cell r="AG150">
            <v>33</v>
          </cell>
          <cell r="AH150">
            <v>10</v>
          </cell>
          <cell r="AI150">
            <v>378</v>
          </cell>
          <cell r="AJ150">
            <v>63</v>
          </cell>
          <cell r="AK150">
            <v>22</v>
          </cell>
        </row>
        <row r="151">
          <cell r="A151">
            <v>144</v>
          </cell>
          <cell r="B151" t="str">
            <v>Sarangan_MGT</v>
          </cell>
          <cell r="C151">
            <v>350620011</v>
          </cell>
          <cell r="D151">
            <v>6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2</v>
          </cell>
          <cell r="J151">
            <v>0</v>
          </cell>
          <cell r="K151">
            <v>21</v>
          </cell>
          <cell r="L151">
            <v>5</v>
          </cell>
          <cell r="M151">
            <v>0</v>
          </cell>
          <cell r="N151">
            <v>7</v>
          </cell>
          <cell r="O151">
            <v>30</v>
          </cell>
          <cell r="P151">
            <v>0</v>
          </cell>
          <cell r="Q151">
            <v>2</v>
          </cell>
          <cell r="R151">
            <v>0</v>
          </cell>
          <cell r="S151">
            <v>5</v>
          </cell>
          <cell r="T151">
            <v>10</v>
          </cell>
          <cell r="U151">
            <v>2</v>
          </cell>
          <cell r="V151">
            <v>28</v>
          </cell>
          <cell r="W151">
            <v>15</v>
          </cell>
          <cell r="X151">
            <v>23</v>
          </cell>
          <cell r="Y151">
            <v>3</v>
          </cell>
          <cell r="Z151">
            <v>15</v>
          </cell>
          <cell r="AA151">
            <v>7</v>
          </cell>
          <cell r="AB151">
            <v>0</v>
          </cell>
          <cell r="AC151">
            <v>14</v>
          </cell>
          <cell r="AD151">
            <v>10</v>
          </cell>
          <cell r="AE151">
            <v>4</v>
          </cell>
          <cell r="AF151">
            <v>0</v>
          </cell>
          <cell r="AG151">
            <v>0</v>
          </cell>
          <cell r="AH151">
            <v>18</v>
          </cell>
          <cell r="AI151">
            <v>227</v>
          </cell>
          <cell r="AJ151">
            <v>30</v>
          </cell>
          <cell r="AK151">
            <v>20</v>
          </cell>
        </row>
        <row r="152">
          <cell r="A152">
            <v>145</v>
          </cell>
          <cell r="B152" t="str">
            <v>Nitikan</v>
          </cell>
          <cell r="C152">
            <v>350620012</v>
          </cell>
          <cell r="D152">
            <v>7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8</v>
          </cell>
          <cell r="M152">
            <v>41</v>
          </cell>
          <cell r="N152">
            <v>5</v>
          </cell>
          <cell r="O152">
            <v>31</v>
          </cell>
          <cell r="P152">
            <v>14</v>
          </cell>
          <cell r="Q152">
            <v>3</v>
          </cell>
          <cell r="R152">
            <v>0</v>
          </cell>
          <cell r="S152">
            <v>8</v>
          </cell>
          <cell r="T152">
            <v>2</v>
          </cell>
          <cell r="U152">
            <v>16</v>
          </cell>
          <cell r="V152">
            <v>6</v>
          </cell>
          <cell r="W152">
            <v>17</v>
          </cell>
          <cell r="X152">
            <v>58</v>
          </cell>
          <cell r="Y152">
            <v>7</v>
          </cell>
          <cell r="Z152">
            <v>22</v>
          </cell>
          <cell r="AA152">
            <v>0</v>
          </cell>
          <cell r="AB152">
            <v>0</v>
          </cell>
          <cell r="AC152">
            <v>13</v>
          </cell>
          <cell r="AD152">
            <v>3</v>
          </cell>
          <cell r="AE152">
            <v>0</v>
          </cell>
          <cell r="AF152">
            <v>33</v>
          </cell>
          <cell r="AG152">
            <v>18</v>
          </cell>
          <cell r="AH152">
            <v>4</v>
          </cell>
          <cell r="AI152">
            <v>316</v>
          </cell>
          <cell r="AJ152">
            <v>58</v>
          </cell>
          <cell r="AK152">
            <v>20</v>
          </cell>
        </row>
        <row r="153">
          <cell r="A153">
            <v>146</v>
          </cell>
          <cell r="B153" t="str">
            <v>Slagreng</v>
          </cell>
          <cell r="C153">
            <v>350620013</v>
          </cell>
          <cell r="D153">
            <v>4</v>
          </cell>
          <cell r="E153">
            <v>7</v>
          </cell>
          <cell r="F153">
            <v>10</v>
          </cell>
          <cell r="G153">
            <v>0</v>
          </cell>
          <cell r="H153">
            <v>6</v>
          </cell>
          <cell r="I153">
            <v>0</v>
          </cell>
          <cell r="J153">
            <v>5</v>
          </cell>
          <cell r="K153">
            <v>18</v>
          </cell>
          <cell r="L153">
            <v>9</v>
          </cell>
          <cell r="M153">
            <v>14</v>
          </cell>
          <cell r="N153">
            <v>28</v>
          </cell>
          <cell r="O153">
            <v>70</v>
          </cell>
          <cell r="P153">
            <v>17</v>
          </cell>
          <cell r="Q153">
            <v>6</v>
          </cell>
          <cell r="R153">
            <v>0</v>
          </cell>
          <cell r="S153">
            <v>6</v>
          </cell>
          <cell r="T153">
            <v>18</v>
          </cell>
          <cell r="U153">
            <v>8</v>
          </cell>
          <cell r="V153">
            <v>17</v>
          </cell>
          <cell r="W153">
            <v>12</v>
          </cell>
          <cell r="X153">
            <v>42</v>
          </cell>
          <cell r="Y153">
            <v>14</v>
          </cell>
          <cell r="Z153">
            <v>28</v>
          </cell>
          <cell r="AA153">
            <v>0</v>
          </cell>
          <cell r="AB153">
            <v>0</v>
          </cell>
          <cell r="AC153">
            <v>4</v>
          </cell>
          <cell r="AD153">
            <v>0</v>
          </cell>
          <cell r="AE153">
            <v>3</v>
          </cell>
          <cell r="AF153">
            <v>38</v>
          </cell>
          <cell r="AG153">
            <v>57</v>
          </cell>
          <cell r="AH153">
            <v>3</v>
          </cell>
          <cell r="AI153">
            <v>444</v>
          </cell>
          <cell r="AJ153">
            <v>70</v>
          </cell>
          <cell r="AK153">
            <v>25</v>
          </cell>
        </row>
        <row r="154">
          <cell r="A154">
            <v>147</v>
          </cell>
          <cell r="B154" t="str">
            <v>Jati</v>
          </cell>
          <cell r="C154">
            <v>350620014</v>
          </cell>
          <cell r="D154">
            <v>21</v>
          </cell>
          <cell r="E154">
            <v>21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4</v>
          </cell>
          <cell r="M154">
            <v>3</v>
          </cell>
          <cell r="N154">
            <v>0</v>
          </cell>
          <cell r="O154">
            <v>25</v>
          </cell>
          <cell r="P154">
            <v>4</v>
          </cell>
          <cell r="Q154">
            <v>5</v>
          </cell>
          <cell r="R154">
            <v>0</v>
          </cell>
          <cell r="S154">
            <v>21</v>
          </cell>
          <cell r="T154">
            <v>17</v>
          </cell>
          <cell r="U154">
            <v>14</v>
          </cell>
          <cell r="V154">
            <v>4</v>
          </cell>
          <cell r="W154">
            <v>15</v>
          </cell>
          <cell r="X154">
            <v>36</v>
          </cell>
          <cell r="Y154">
            <v>5</v>
          </cell>
          <cell r="Z154">
            <v>25</v>
          </cell>
          <cell r="AA154">
            <v>0</v>
          </cell>
          <cell r="AB154">
            <v>0</v>
          </cell>
          <cell r="AC154">
            <v>0</v>
          </cell>
          <cell r="AD154">
            <v>5</v>
          </cell>
          <cell r="AE154">
            <v>0</v>
          </cell>
          <cell r="AF154">
            <v>7</v>
          </cell>
          <cell r="AG154">
            <v>50</v>
          </cell>
          <cell r="AH154">
            <v>0</v>
          </cell>
          <cell r="AI154">
            <v>282</v>
          </cell>
          <cell r="AJ154">
            <v>50</v>
          </cell>
          <cell r="AK154">
            <v>18</v>
          </cell>
        </row>
        <row r="155">
          <cell r="A155">
            <v>148</v>
          </cell>
          <cell r="B155" t="str">
            <v>Kawedanan</v>
          </cell>
          <cell r="C155">
            <v>350620015</v>
          </cell>
          <cell r="D155">
            <v>9</v>
          </cell>
          <cell r="E155">
            <v>30</v>
          </cell>
          <cell r="F155">
            <v>0</v>
          </cell>
          <cell r="G155">
            <v>0</v>
          </cell>
          <cell r="H155">
            <v>3</v>
          </cell>
          <cell r="I155">
            <v>0</v>
          </cell>
          <cell r="J155">
            <v>4</v>
          </cell>
          <cell r="K155">
            <v>0</v>
          </cell>
          <cell r="L155">
            <v>0</v>
          </cell>
          <cell r="M155">
            <v>5</v>
          </cell>
          <cell r="N155">
            <v>0</v>
          </cell>
          <cell r="O155">
            <v>37</v>
          </cell>
          <cell r="P155">
            <v>12</v>
          </cell>
          <cell r="Q155">
            <v>4</v>
          </cell>
          <cell r="R155">
            <v>0</v>
          </cell>
          <cell r="S155">
            <v>14</v>
          </cell>
          <cell r="T155">
            <v>2</v>
          </cell>
          <cell r="U155">
            <v>1</v>
          </cell>
          <cell r="V155">
            <v>1</v>
          </cell>
          <cell r="W155">
            <v>58</v>
          </cell>
          <cell r="X155">
            <v>33</v>
          </cell>
          <cell r="Y155">
            <v>6</v>
          </cell>
          <cell r="Z155">
            <v>33</v>
          </cell>
          <cell r="AA155">
            <v>0</v>
          </cell>
          <cell r="AB155">
            <v>0</v>
          </cell>
          <cell r="AC155">
            <v>2</v>
          </cell>
          <cell r="AD155">
            <v>0</v>
          </cell>
          <cell r="AE155">
            <v>0</v>
          </cell>
          <cell r="AF155">
            <v>10</v>
          </cell>
          <cell r="AG155">
            <v>7</v>
          </cell>
          <cell r="AH155">
            <v>39</v>
          </cell>
          <cell r="AI155">
            <v>310</v>
          </cell>
          <cell r="AJ155">
            <v>58</v>
          </cell>
          <cell r="AK155">
            <v>20</v>
          </cell>
        </row>
        <row r="156">
          <cell r="A156">
            <v>149</v>
          </cell>
          <cell r="B156" t="str">
            <v>Bogem Rejosari</v>
          </cell>
          <cell r="C156">
            <v>350620016</v>
          </cell>
          <cell r="D156">
            <v>8</v>
          </cell>
          <cell r="E156">
            <v>25</v>
          </cell>
          <cell r="F156">
            <v>0</v>
          </cell>
          <cell r="G156">
            <v>0</v>
          </cell>
          <cell r="H156">
            <v>2</v>
          </cell>
          <cell r="I156">
            <v>0</v>
          </cell>
          <cell r="J156">
            <v>5</v>
          </cell>
          <cell r="K156">
            <v>0</v>
          </cell>
          <cell r="L156">
            <v>0</v>
          </cell>
          <cell r="M156">
            <v>6</v>
          </cell>
          <cell r="N156">
            <v>1</v>
          </cell>
          <cell r="O156">
            <v>35</v>
          </cell>
          <cell r="P156">
            <v>10</v>
          </cell>
          <cell r="Q156">
            <v>3</v>
          </cell>
          <cell r="R156">
            <v>0</v>
          </cell>
          <cell r="S156">
            <v>25</v>
          </cell>
          <cell r="T156">
            <v>2</v>
          </cell>
          <cell r="U156">
            <v>0</v>
          </cell>
          <cell r="V156">
            <v>3</v>
          </cell>
          <cell r="W156">
            <v>15</v>
          </cell>
          <cell r="X156">
            <v>27</v>
          </cell>
          <cell r="Y156">
            <v>8</v>
          </cell>
          <cell r="Z156">
            <v>30</v>
          </cell>
          <cell r="AA156">
            <v>0</v>
          </cell>
          <cell r="AB156">
            <v>0</v>
          </cell>
          <cell r="AC156">
            <v>3</v>
          </cell>
          <cell r="AD156">
            <v>0</v>
          </cell>
          <cell r="AE156">
            <v>0</v>
          </cell>
          <cell r="AF156">
            <v>15</v>
          </cell>
          <cell r="AG156">
            <v>8</v>
          </cell>
          <cell r="AH156">
            <v>25</v>
          </cell>
          <cell r="AI156">
            <v>256</v>
          </cell>
          <cell r="AJ156">
            <v>35</v>
          </cell>
          <cell r="AK156">
            <v>20</v>
          </cell>
        </row>
        <row r="157">
          <cell r="A157">
            <v>150</v>
          </cell>
          <cell r="B157" t="str">
            <v>Lembeyan</v>
          </cell>
          <cell r="C157">
            <v>350620017</v>
          </cell>
          <cell r="D157">
            <v>3</v>
          </cell>
          <cell r="E157">
            <v>35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4</v>
          </cell>
          <cell r="M157">
            <v>4</v>
          </cell>
          <cell r="N157">
            <v>6</v>
          </cell>
          <cell r="O157">
            <v>21</v>
          </cell>
          <cell r="P157">
            <v>2</v>
          </cell>
          <cell r="Q157">
            <v>6</v>
          </cell>
          <cell r="R157">
            <v>0</v>
          </cell>
          <cell r="S157">
            <v>42</v>
          </cell>
          <cell r="T157">
            <v>10</v>
          </cell>
          <cell r="U157">
            <v>2</v>
          </cell>
          <cell r="V157">
            <v>9</v>
          </cell>
          <cell r="W157">
            <v>46</v>
          </cell>
          <cell r="X157">
            <v>25</v>
          </cell>
          <cell r="Y157">
            <v>2</v>
          </cell>
          <cell r="Z157">
            <v>12</v>
          </cell>
          <cell r="AA157">
            <v>0</v>
          </cell>
          <cell r="AB157">
            <v>0</v>
          </cell>
          <cell r="AC157">
            <v>0</v>
          </cell>
          <cell r="AD157">
            <v>21</v>
          </cell>
          <cell r="AE157">
            <v>0</v>
          </cell>
          <cell r="AF157">
            <v>2</v>
          </cell>
          <cell r="AG157">
            <v>103</v>
          </cell>
          <cell r="AH157">
            <v>6</v>
          </cell>
          <cell r="AI157">
            <v>361</v>
          </cell>
          <cell r="AJ157">
            <v>103</v>
          </cell>
          <cell r="AK157">
            <v>20</v>
          </cell>
        </row>
        <row r="158">
          <cell r="A158">
            <v>151</v>
          </cell>
          <cell r="B158" t="str">
            <v>Parang</v>
          </cell>
          <cell r="C158">
            <v>350620018</v>
          </cell>
          <cell r="D158">
            <v>0</v>
          </cell>
          <cell r="E158">
            <v>17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4</v>
          </cell>
          <cell r="N158">
            <v>5</v>
          </cell>
          <cell r="O158">
            <v>37</v>
          </cell>
          <cell r="P158">
            <v>11</v>
          </cell>
          <cell r="Q158">
            <v>10</v>
          </cell>
          <cell r="R158">
            <v>4</v>
          </cell>
          <cell r="S158">
            <v>0</v>
          </cell>
          <cell r="T158">
            <v>19</v>
          </cell>
          <cell r="U158">
            <v>0</v>
          </cell>
          <cell r="V158">
            <v>45</v>
          </cell>
          <cell r="W158">
            <v>44</v>
          </cell>
          <cell r="X158">
            <v>30</v>
          </cell>
          <cell r="Y158">
            <v>5</v>
          </cell>
          <cell r="Z158">
            <v>16</v>
          </cell>
          <cell r="AA158">
            <v>0</v>
          </cell>
          <cell r="AB158">
            <v>0</v>
          </cell>
          <cell r="AC158">
            <v>0</v>
          </cell>
          <cell r="AD158">
            <v>3</v>
          </cell>
          <cell r="AE158">
            <v>0</v>
          </cell>
          <cell r="AF158">
            <v>14</v>
          </cell>
          <cell r="AG158">
            <v>24</v>
          </cell>
          <cell r="AH158">
            <v>0</v>
          </cell>
          <cell r="AI158">
            <v>288</v>
          </cell>
          <cell r="AJ158">
            <v>45</v>
          </cell>
          <cell r="AK158">
            <v>16</v>
          </cell>
        </row>
        <row r="159">
          <cell r="A159">
            <v>152</v>
          </cell>
          <cell r="B159" t="str">
            <v>Poncol</v>
          </cell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12</v>
          </cell>
          <cell r="M159">
            <v>0</v>
          </cell>
          <cell r="N159">
            <v>0</v>
          </cell>
          <cell r="O159">
            <v>30</v>
          </cell>
          <cell r="P159">
            <v>46</v>
          </cell>
          <cell r="Q159">
            <v>0</v>
          </cell>
          <cell r="R159">
            <v>0</v>
          </cell>
          <cell r="S159">
            <v>0</v>
          </cell>
          <cell r="T159">
            <v>15</v>
          </cell>
          <cell r="U159">
            <v>0</v>
          </cell>
          <cell r="V159">
            <v>6</v>
          </cell>
          <cell r="W159">
            <v>38</v>
          </cell>
          <cell r="X159">
            <v>14</v>
          </cell>
          <cell r="Y159">
            <v>19</v>
          </cell>
          <cell r="Z159">
            <v>0</v>
          </cell>
          <cell r="AA159">
            <v>0</v>
          </cell>
          <cell r="AB159">
            <v>0</v>
          </cell>
          <cell r="AC159">
            <v>12</v>
          </cell>
          <cell r="AD159">
            <v>0</v>
          </cell>
          <cell r="AE159">
            <v>16</v>
          </cell>
          <cell r="AF159">
            <v>0</v>
          </cell>
          <cell r="AG159">
            <v>0</v>
          </cell>
          <cell r="AH159">
            <v>0</v>
          </cell>
          <cell r="AI159">
            <v>208</v>
          </cell>
          <cell r="AJ159">
            <v>46</v>
          </cell>
          <cell r="AK159">
            <v>10</v>
          </cell>
        </row>
        <row r="160">
          <cell r="A160">
            <v>153</v>
          </cell>
          <cell r="B160" t="str">
            <v>Lemi</v>
          </cell>
          <cell r="C160">
            <v>350620020</v>
          </cell>
          <cell r="D160">
            <v>9</v>
          </cell>
          <cell r="E160">
            <v>5</v>
          </cell>
          <cell r="F160">
            <v>3</v>
          </cell>
          <cell r="G160">
            <v>0</v>
          </cell>
          <cell r="H160">
            <v>4</v>
          </cell>
          <cell r="I160">
            <v>0</v>
          </cell>
          <cell r="J160">
            <v>9</v>
          </cell>
          <cell r="K160">
            <v>0</v>
          </cell>
          <cell r="L160">
            <v>10</v>
          </cell>
          <cell r="M160">
            <v>11</v>
          </cell>
          <cell r="N160">
            <v>0</v>
          </cell>
          <cell r="O160">
            <v>76</v>
          </cell>
          <cell r="P160">
            <v>0</v>
          </cell>
          <cell r="Q160">
            <v>5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22</v>
          </cell>
          <cell r="W160">
            <v>18</v>
          </cell>
          <cell r="X160">
            <v>10</v>
          </cell>
          <cell r="Y160">
            <v>5</v>
          </cell>
          <cell r="Z160">
            <v>3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15</v>
          </cell>
          <cell r="AG160">
            <v>0</v>
          </cell>
          <cell r="AH160">
            <v>0</v>
          </cell>
          <cell r="AI160">
            <v>205</v>
          </cell>
          <cell r="AJ160">
            <v>76</v>
          </cell>
          <cell r="AK160">
            <v>15</v>
          </cell>
        </row>
        <row r="161">
          <cell r="A161">
            <v>154</v>
          </cell>
          <cell r="B161" t="str">
            <v>Mantingan</v>
          </cell>
          <cell r="C161">
            <v>350621001</v>
          </cell>
          <cell r="D161">
            <v>0</v>
          </cell>
          <cell r="E161">
            <v>2</v>
          </cell>
          <cell r="F161">
            <v>0</v>
          </cell>
          <cell r="G161">
            <v>0</v>
          </cell>
          <cell r="H161">
            <v>8</v>
          </cell>
          <cell r="I161">
            <v>0</v>
          </cell>
          <cell r="J161">
            <v>0</v>
          </cell>
          <cell r="K161">
            <v>0</v>
          </cell>
          <cell r="L161">
            <v>1</v>
          </cell>
          <cell r="M161">
            <v>3</v>
          </cell>
          <cell r="N161">
            <v>0</v>
          </cell>
          <cell r="O161">
            <v>62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80</v>
          </cell>
          <cell r="W161">
            <v>7</v>
          </cell>
          <cell r="X161">
            <v>80</v>
          </cell>
          <cell r="Y161">
            <v>0</v>
          </cell>
          <cell r="Z161">
            <v>3</v>
          </cell>
          <cell r="AA161">
            <v>5</v>
          </cell>
          <cell r="AB161">
            <v>0</v>
          </cell>
          <cell r="AC161">
            <v>0</v>
          </cell>
          <cell r="AD161">
            <v>45</v>
          </cell>
          <cell r="AE161">
            <v>4</v>
          </cell>
          <cell r="AF161">
            <v>8</v>
          </cell>
          <cell r="AG161">
            <v>2</v>
          </cell>
          <cell r="AH161">
            <v>3</v>
          </cell>
          <cell r="AI161">
            <v>313</v>
          </cell>
          <cell r="AJ161">
            <v>80</v>
          </cell>
          <cell r="AK161">
            <v>15</v>
          </cell>
        </row>
        <row r="162">
          <cell r="A162">
            <v>155</v>
          </cell>
          <cell r="B162" t="str">
            <v>Kab.Ngawi</v>
          </cell>
          <cell r="C162">
            <v>350621002</v>
          </cell>
          <cell r="D162">
            <v>2</v>
          </cell>
          <cell r="E162">
            <v>12</v>
          </cell>
          <cell r="F162">
            <v>3</v>
          </cell>
          <cell r="G162">
            <v>0</v>
          </cell>
          <cell r="H162">
            <v>4</v>
          </cell>
          <cell r="I162">
            <v>22</v>
          </cell>
          <cell r="J162">
            <v>0</v>
          </cell>
          <cell r="K162">
            <v>23</v>
          </cell>
          <cell r="L162">
            <v>6</v>
          </cell>
          <cell r="M162">
            <v>49</v>
          </cell>
          <cell r="N162">
            <v>0</v>
          </cell>
          <cell r="O162">
            <v>64</v>
          </cell>
          <cell r="P162">
            <v>0</v>
          </cell>
          <cell r="Q162">
            <v>9</v>
          </cell>
          <cell r="R162">
            <v>0</v>
          </cell>
          <cell r="S162">
            <v>0</v>
          </cell>
          <cell r="T162">
            <v>3</v>
          </cell>
          <cell r="U162">
            <v>0</v>
          </cell>
          <cell r="V162">
            <v>61</v>
          </cell>
          <cell r="W162">
            <v>23</v>
          </cell>
          <cell r="X162">
            <v>11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16</v>
          </cell>
          <cell r="AD162">
            <v>1</v>
          </cell>
          <cell r="AE162">
            <v>28</v>
          </cell>
          <cell r="AF162">
            <v>0</v>
          </cell>
          <cell r="AG162">
            <v>0</v>
          </cell>
          <cell r="AH162">
            <v>1</v>
          </cell>
          <cell r="AI162">
            <v>338</v>
          </cell>
          <cell r="AJ162">
            <v>64</v>
          </cell>
          <cell r="AK162">
            <v>18</v>
          </cell>
        </row>
        <row r="163">
          <cell r="A163">
            <v>156</v>
          </cell>
          <cell r="B163" t="str">
            <v>Ngrambe</v>
          </cell>
          <cell r="C163">
            <v>350621003</v>
          </cell>
          <cell r="D163">
            <v>1.5</v>
          </cell>
          <cell r="E163">
            <v>36</v>
          </cell>
          <cell r="F163">
            <v>3.5</v>
          </cell>
          <cell r="G163">
            <v>0</v>
          </cell>
          <cell r="H163">
            <v>0</v>
          </cell>
          <cell r="I163">
            <v>19</v>
          </cell>
          <cell r="J163">
            <v>1</v>
          </cell>
          <cell r="K163">
            <v>43</v>
          </cell>
          <cell r="L163">
            <v>68</v>
          </cell>
          <cell r="M163">
            <v>2</v>
          </cell>
          <cell r="N163">
            <v>26</v>
          </cell>
          <cell r="O163">
            <v>7</v>
          </cell>
          <cell r="P163">
            <v>15.5</v>
          </cell>
          <cell r="Q163">
            <v>2</v>
          </cell>
          <cell r="R163">
            <v>0</v>
          </cell>
          <cell r="S163">
            <v>12</v>
          </cell>
          <cell r="T163">
            <v>11</v>
          </cell>
          <cell r="U163">
            <v>1.5</v>
          </cell>
          <cell r="V163">
            <v>8.5</v>
          </cell>
          <cell r="W163">
            <v>53</v>
          </cell>
          <cell r="X163">
            <v>18</v>
          </cell>
          <cell r="Y163">
            <v>3</v>
          </cell>
          <cell r="Z163">
            <v>0</v>
          </cell>
          <cell r="AA163">
            <v>0</v>
          </cell>
          <cell r="AB163">
            <v>0</v>
          </cell>
          <cell r="AC163">
            <v>115</v>
          </cell>
          <cell r="AD163">
            <v>9.5</v>
          </cell>
          <cell r="AE163">
            <v>21</v>
          </cell>
          <cell r="AF163">
            <v>7.5</v>
          </cell>
          <cell r="AG163">
            <v>3</v>
          </cell>
          <cell r="AH163">
            <v>0</v>
          </cell>
          <cell r="AI163">
            <v>487.5</v>
          </cell>
          <cell r="AJ163">
            <v>115</v>
          </cell>
          <cell r="AK163">
            <v>24</v>
          </cell>
        </row>
        <row r="164">
          <cell r="A164">
            <v>157</v>
          </cell>
          <cell r="B164" t="str">
            <v>Kedung Urung-urung</v>
          </cell>
          <cell r="C164">
            <v>350621004</v>
          </cell>
          <cell r="D164">
            <v>14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59</v>
          </cell>
          <cell r="M164">
            <v>0</v>
          </cell>
          <cell r="N164">
            <v>0</v>
          </cell>
          <cell r="O164">
            <v>43</v>
          </cell>
          <cell r="P164">
            <v>5</v>
          </cell>
          <cell r="Q164">
            <v>8</v>
          </cell>
          <cell r="R164">
            <v>0</v>
          </cell>
          <cell r="S164">
            <v>0</v>
          </cell>
          <cell r="T164">
            <v>25</v>
          </cell>
          <cell r="U164">
            <v>0</v>
          </cell>
          <cell r="V164">
            <v>11</v>
          </cell>
          <cell r="W164">
            <v>79</v>
          </cell>
          <cell r="X164">
            <v>12</v>
          </cell>
          <cell r="Y164">
            <v>0</v>
          </cell>
          <cell r="Z164">
            <v>0</v>
          </cell>
          <cell r="AA164">
            <v>8</v>
          </cell>
          <cell r="AB164">
            <v>0</v>
          </cell>
          <cell r="AC164">
            <v>68</v>
          </cell>
          <cell r="AD164">
            <v>8</v>
          </cell>
          <cell r="AE164">
            <v>39</v>
          </cell>
          <cell r="AF164">
            <v>0</v>
          </cell>
          <cell r="AG164">
            <v>3</v>
          </cell>
          <cell r="AH164">
            <v>0</v>
          </cell>
          <cell r="AI164">
            <v>382</v>
          </cell>
          <cell r="AJ164">
            <v>79</v>
          </cell>
          <cell r="AK164">
            <v>14</v>
          </cell>
        </row>
        <row r="165">
          <cell r="A165">
            <v>158</v>
          </cell>
          <cell r="B165" t="str">
            <v>Tretes Ngawi</v>
          </cell>
          <cell r="C165">
            <v>350621005</v>
          </cell>
          <cell r="D165">
            <v>6</v>
          </cell>
          <cell r="E165">
            <v>0</v>
          </cell>
          <cell r="F165">
            <v>0</v>
          </cell>
          <cell r="G165">
            <v>26</v>
          </cell>
          <cell r="H165">
            <v>2</v>
          </cell>
          <cell r="I165">
            <v>0</v>
          </cell>
          <cell r="J165">
            <v>0</v>
          </cell>
          <cell r="K165">
            <v>0</v>
          </cell>
          <cell r="L165">
            <v>1</v>
          </cell>
          <cell r="M165">
            <v>0</v>
          </cell>
          <cell r="N165">
            <v>38</v>
          </cell>
          <cell r="O165">
            <v>0</v>
          </cell>
          <cell r="P165">
            <v>4</v>
          </cell>
          <cell r="Q165">
            <v>0</v>
          </cell>
          <cell r="R165">
            <v>1</v>
          </cell>
          <cell r="S165">
            <v>1</v>
          </cell>
          <cell r="T165">
            <v>4</v>
          </cell>
          <cell r="U165">
            <v>64</v>
          </cell>
          <cell r="V165">
            <v>0</v>
          </cell>
          <cell r="W165">
            <v>27</v>
          </cell>
          <cell r="X165">
            <v>10</v>
          </cell>
          <cell r="Y165">
            <v>5</v>
          </cell>
          <cell r="Z165">
            <v>0</v>
          </cell>
          <cell r="AA165">
            <v>0</v>
          </cell>
          <cell r="AB165">
            <v>0</v>
          </cell>
          <cell r="AC165">
            <v>12</v>
          </cell>
          <cell r="AD165">
            <v>32</v>
          </cell>
          <cell r="AE165">
            <v>49</v>
          </cell>
          <cell r="AF165">
            <v>13</v>
          </cell>
          <cell r="AG165">
            <v>0</v>
          </cell>
          <cell r="AH165">
            <v>0</v>
          </cell>
          <cell r="AI165">
            <v>295</v>
          </cell>
          <cell r="AJ165">
            <v>64</v>
          </cell>
          <cell r="AK165">
            <v>17</v>
          </cell>
        </row>
        <row r="166">
          <cell r="A166">
            <v>159</v>
          </cell>
          <cell r="B166" t="str">
            <v>Walikukun / Widodaren</v>
          </cell>
          <cell r="C166">
            <v>350621006</v>
          </cell>
          <cell r="D166">
            <v>0</v>
          </cell>
          <cell r="E166">
            <v>48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</v>
          </cell>
          <cell r="N166">
            <v>0</v>
          </cell>
          <cell r="O166">
            <v>73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88</v>
          </cell>
          <cell r="W166">
            <v>39</v>
          </cell>
          <cell r="X166">
            <v>51</v>
          </cell>
          <cell r="Y166">
            <v>0</v>
          </cell>
          <cell r="Z166">
            <v>3</v>
          </cell>
          <cell r="AA166">
            <v>0</v>
          </cell>
          <cell r="AB166">
            <v>0</v>
          </cell>
          <cell r="AC166">
            <v>4</v>
          </cell>
          <cell r="AD166">
            <v>45</v>
          </cell>
          <cell r="AE166">
            <v>48</v>
          </cell>
          <cell r="AF166">
            <v>1</v>
          </cell>
          <cell r="AG166">
            <v>0</v>
          </cell>
          <cell r="AH166">
            <v>0</v>
          </cell>
          <cell r="AI166">
            <v>401</v>
          </cell>
          <cell r="AJ166">
            <v>88</v>
          </cell>
          <cell r="AK166">
            <v>11</v>
          </cell>
        </row>
        <row r="167">
          <cell r="A167">
            <v>160</v>
          </cell>
          <cell r="B167" t="str">
            <v>Jogorogo</v>
          </cell>
          <cell r="C167">
            <v>350621007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21</v>
          </cell>
          <cell r="K167">
            <v>0</v>
          </cell>
          <cell r="L167">
            <v>11</v>
          </cell>
          <cell r="M167">
            <v>2</v>
          </cell>
          <cell r="N167">
            <v>3</v>
          </cell>
          <cell r="O167">
            <v>7.5</v>
          </cell>
          <cell r="P167">
            <v>0</v>
          </cell>
          <cell r="Q167">
            <v>3.7</v>
          </cell>
          <cell r="R167">
            <v>0</v>
          </cell>
          <cell r="S167">
            <v>0</v>
          </cell>
          <cell r="T167">
            <v>3</v>
          </cell>
          <cell r="U167">
            <v>0</v>
          </cell>
          <cell r="V167">
            <v>5</v>
          </cell>
          <cell r="W167">
            <v>20.5</v>
          </cell>
          <cell r="X167">
            <v>29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43</v>
          </cell>
          <cell r="AD167">
            <v>4</v>
          </cell>
          <cell r="AE167">
            <v>8.3000000000000007</v>
          </cell>
          <cell r="AF167">
            <v>4</v>
          </cell>
          <cell r="AG167">
            <v>0</v>
          </cell>
          <cell r="AH167">
            <v>0</v>
          </cell>
          <cell r="AI167">
            <v>165</v>
          </cell>
          <cell r="AJ167">
            <v>43</v>
          </cell>
          <cell r="AK167">
            <v>14</v>
          </cell>
        </row>
        <row r="168">
          <cell r="A168">
            <v>161</v>
          </cell>
          <cell r="B168" t="str">
            <v>Kendal</v>
          </cell>
          <cell r="C168">
            <v>350621008</v>
          </cell>
          <cell r="D168">
            <v>5</v>
          </cell>
          <cell r="E168">
            <v>20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75</v>
          </cell>
          <cell r="M168">
            <v>17</v>
          </cell>
          <cell r="N168">
            <v>22</v>
          </cell>
          <cell r="O168">
            <v>29</v>
          </cell>
          <cell r="P168">
            <v>6</v>
          </cell>
          <cell r="Q168">
            <v>11</v>
          </cell>
          <cell r="R168">
            <v>0</v>
          </cell>
          <cell r="S168">
            <v>0</v>
          </cell>
          <cell r="T168">
            <v>9</v>
          </cell>
          <cell r="U168">
            <v>32</v>
          </cell>
          <cell r="V168">
            <v>35</v>
          </cell>
          <cell r="W168">
            <v>17</v>
          </cell>
          <cell r="X168">
            <v>75</v>
          </cell>
          <cell r="Y168">
            <v>25</v>
          </cell>
          <cell r="Z168">
            <v>4</v>
          </cell>
          <cell r="AA168">
            <v>0</v>
          </cell>
          <cell r="AB168">
            <v>0</v>
          </cell>
          <cell r="AC168">
            <v>5</v>
          </cell>
          <cell r="AD168">
            <v>27</v>
          </cell>
          <cell r="AE168">
            <v>11</v>
          </cell>
          <cell r="AF168">
            <v>17</v>
          </cell>
          <cell r="AG168">
            <v>67</v>
          </cell>
          <cell r="AH168">
            <v>7</v>
          </cell>
          <cell r="AI168">
            <v>516</v>
          </cell>
          <cell r="AJ168">
            <v>75</v>
          </cell>
          <cell r="AK168">
            <v>21</v>
          </cell>
        </row>
        <row r="169">
          <cell r="A169">
            <v>162</v>
          </cell>
          <cell r="B169" t="str">
            <v>Kedung Galar</v>
          </cell>
          <cell r="C169">
            <v>350621009</v>
          </cell>
          <cell r="D169">
            <v>0</v>
          </cell>
          <cell r="E169">
            <v>16</v>
          </cell>
          <cell r="F169">
            <v>0</v>
          </cell>
          <cell r="G169">
            <v>0</v>
          </cell>
          <cell r="H169">
            <v>0</v>
          </cell>
          <cell r="I169">
            <v>3</v>
          </cell>
          <cell r="J169">
            <v>0</v>
          </cell>
          <cell r="K169">
            <v>0</v>
          </cell>
          <cell r="L169">
            <v>4</v>
          </cell>
          <cell r="M169">
            <v>0</v>
          </cell>
          <cell r="N169">
            <v>0</v>
          </cell>
          <cell r="O169">
            <v>70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28.5</v>
          </cell>
          <cell r="U169">
            <v>0</v>
          </cell>
          <cell r="V169">
            <v>52</v>
          </cell>
          <cell r="W169">
            <v>35</v>
          </cell>
          <cell r="X169">
            <v>12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4</v>
          </cell>
          <cell r="AD169">
            <v>4</v>
          </cell>
          <cell r="AE169">
            <v>30</v>
          </cell>
          <cell r="AF169">
            <v>0</v>
          </cell>
          <cell r="AG169">
            <v>0</v>
          </cell>
          <cell r="AH169">
            <v>0</v>
          </cell>
          <cell r="AI169">
            <v>258.5</v>
          </cell>
          <cell r="AJ169">
            <v>70</v>
          </cell>
          <cell r="AK169">
            <v>11</v>
          </cell>
        </row>
        <row r="170">
          <cell r="A170">
            <v>163</v>
          </cell>
          <cell r="B170" t="str">
            <v>Kedung Bendo</v>
          </cell>
          <cell r="C170">
            <v>350621010</v>
          </cell>
          <cell r="D170">
            <v>0</v>
          </cell>
          <cell r="E170">
            <v>10</v>
          </cell>
          <cell r="F170">
            <v>0</v>
          </cell>
          <cell r="G170">
            <v>0</v>
          </cell>
          <cell r="H170">
            <v>0</v>
          </cell>
          <cell r="I170">
            <v>22</v>
          </cell>
          <cell r="J170">
            <v>0</v>
          </cell>
          <cell r="K170">
            <v>11</v>
          </cell>
          <cell r="L170">
            <v>13</v>
          </cell>
          <cell r="M170">
            <v>0</v>
          </cell>
          <cell r="N170">
            <v>69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24</v>
          </cell>
          <cell r="U170">
            <v>66</v>
          </cell>
          <cell r="V170">
            <v>10</v>
          </cell>
          <cell r="W170">
            <v>8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13</v>
          </cell>
          <cell r="AF170">
            <v>19</v>
          </cell>
          <cell r="AG170">
            <v>12</v>
          </cell>
          <cell r="AH170">
            <v>0</v>
          </cell>
          <cell r="AI170">
            <v>277</v>
          </cell>
          <cell r="AJ170">
            <v>69</v>
          </cell>
          <cell r="AK170">
            <v>12</v>
          </cell>
        </row>
        <row r="171">
          <cell r="A171">
            <v>164</v>
          </cell>
          <cell r="B171" t="str">
            <v>Paron</v>
          </cell>
          <cell r="C171">
            <v>350621011</v>
          </cell>
          <cell r="D171">
            <v>2</v>
          </cell>
          <cell r="E171">
            <v>30</v>
          </cell>
          <cell r="F171">
            <v>0</v>
          </cell>
          <cell r="G171">
            <v>0</v>
          </cell>
          <cell r="H171">
            <v>8</v>
          </cell>
          <cell r="I171">
            <v>6</v>
          </cell>
          <cell r="J171">
            <v>0</v>
          </cell>
          <cell r="K171">
            <v>0</v>
          </cell>
          <cell r="L171">
            <v>16</v>
          </cell>
          <cell r="M171">
            <v>20</v>
          </cell>
          <cell r="N171">
            <v>3</v>
          </cell>
          <cell r="O171">
            <v>104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5</v>
          </cell>
          <cell r="U171">
            <v>0</v>
          </cell>
          <cell r="V171">
            <v>26</v>
          </cell>
          <cell r="W171">
            <v>68</v>
          </cell>
          <cell r="X171">
            <v>15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9</v>
          </cell>
          <cell r="AD171">
            <v>0</v>
          </cell>
          <cell r="AE171">
            <v>31</v>
          </cell>
          <cell r="AF171">
            <v>0</v>
          </cell>
          <cell r="AG171">
            <v>0</v>
          </cell>
          <cell r="AH171">
            <v>0</v>
          </cell>
          <cell r="AI171">
            <v>343</v>
          </cell>
          <cell r="AJ171">
            <v>104</v>
          </cell>
          <cell r="AK171">
            <v>14</v>
          </cell>
        </row>
        <row r="172">
          <cell r="A172">
            <v>165</v>
          </cell>
          <cell r="B172" t="str">
            <v>Mardiasri</v>
          </cell>
          <cell r="C172">
            <v>350621012</v>
          </cell>
          <cell r="D172">
            <v>3</v>
          </cell>
          <cell r="E172">
            <v>27</v>
          </cell>
          <cell r="F172">
            <v>0</v>
          </cell>
          <cell r="G172">
            <v>0</v>
          </cell>
          <cell r="H172">
            <v>10</v>
          </cell>
          <cell r="I172">
            <v>6</v>
          </cell>
          <cell r="J172">
            <v>0</v>
          </cell>
          <cell r="K172">
            <v>0</v>
          </cell>
          <cell r="L172">
            <v>14.5</v>
          </cell>
          <cell r="M172">
            <v>21</v>
          </cell>
          <cell r="N172">
            <v>0</v>
          </cell>
          <cell r="O172">
            <v>67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1</v>
          </cell>
          <cell r="U172">
            <v>0</v>
          </cell>
          <cell r="V172">
            <v>13.5</v>
          </cell>
          <cell r="W172">
            <v>34</v>
          </cell>
          <cell r="X172">
            <v>12</v>
          </cell>
          <cell r="Y172">
            <v>0</v>
          </cell>
          <cell r="Z172">
            <v>1</v>
          </cell>
          <cell r="AA172">
            <v>0</v>
          </cell>
          <cell r="AB172">
            <v>0</v>
          </cell>
          <cell r="AC172">
            <v>10.5</v>
          </cell>
          <cell r="AD172">
            <v>1</v>
          </cell>
          <cell r="AE172">
            <v>28</v>
          </cell>
          <cell r="AF172">
            <v>0</v>
          </cell>
          <cell r="AG172">
            <v>0</v>
          </cell>
          <cell r="AH172">
            <v>0.5</v>
          </cell>
          <cell r="AI172">
            <v>250</v>
          </cell>
          <cell r="AJ172">
            <v>67</v>
          </cell>
          <cell r="AK172">
            <v>16</v>
          </cell>
        </row>
        <row r="173">
          <cell r="A173">
            <v>166</v>
          </cell>
          <cell r="B173" t="str">
            <v>Ngale</v>
          </cell>
          <cell r="C173">
            <v>350621013</v>
          </cell>
          <cell r="D173">
            <v>1.2</v>
          </cell>
          <cell r="E173">
            <v>23.8</v>
          </cell>
          <cell r="F173">
            <v>0</v>
          </cell>
          <cell r="G173">
            <v>0</v>
          </cell>
          <cell r="H173">
            <v>0</v>
          </cell>
          <cell r="I173">
            <v>37.1</v>
          </cell>
          <cell r="J173">
            <v>0</v>
          </cell>
          <cell r="K173">
            <v>0</v>
          </cell>
          <cell r="L173">
            <v>5.4</v>
          </cell>
          <cell r="M173">
            <v>10</v>
          </cell>
          <cell r="N173">
            <v>0</v>
          </cell>
          <cell r="O173">
            <v>62</v>
          </cell>
          <cell r="P173">
            <v>1</v>
          </cell>
          <cell r="Q173">
            <v>0</v>
          </cell>
          <cell r="R173">
            <v>0</v>
          </cell>
          <cell r="S173">
            <v>0</v>
          </cell>
          <cell r="T173">
            <v>20.5</v>
          </cell>
          <cell r="U173">
            <v>0</v>
          </cell>
          <cell r="V173">
            <v>19.8</v>
          </cell>
          <cell r="W173">
            <v>41</v>
          </cell>
          <cell r="X173">
            <v>16.8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3.2</v>
          </cell>
          <cell r="AD173">
            <v>2.6</v>
          </cell>
          <cell r="AE173">
            <v>15.1</v>
          </cell>
          <cell r="AF173">
            <v>1</v>
          </cell>
          <cell r="AG173">
            <v>0</v>
          </cell>
          <cell r="AH173">
            <v>0</v>
          </cell>
          <cell r="AI173">
            <v>260.5</v>
          </cell>
          <cell r="AJ173">
            <v>62</v>
          </cell>
          <cell r="AK173">
            <v>15</v>
          </cell>
        </row>
        <row r="174">
          <cell r="A174">
            <v>167</v>
          </cell>
          <cell r="B174" t="str">
            <v>Padas</v>
          </cell>
          <cell r="C174">
            <v>350621014</v>
          </cell>
          <cell r="D174">
            <v>0</v>
          </cell>
          <cell r="E174">
            <v>18</v>
          </cell>
          <cell r="F174">
            <v>3</v>
          </cell>
          <cell r="G174">
            <v>0</v>
          </cell>
          <cell r="H174">
            <v>0</v>
          </cell>
          <cell r="I174">
            <v>14</v>
          </cell>
          <cell r="J174">
            <v>0</v>
          </cell>
          <cell r="K174">
            <v>7</v>
          </cell>
          <cell r="L174">
            <v>13</v>
          </cell>
          <cell r="M174">
            <v>16</v>
          </cell>
          <cell r="N174">
            <v>0</v>
          </cell>
          <cell r="O174">
            <v>87</v>
          </cell>
          <cell r="P174">
            <v>0</v>
          </cell>
          <cell r="Q174">
            <v>0</v>
          </cell>
          <cell r="R174">
            <v>26</v>
          </cell>
          <cell r="S174">
            <v>0</v>
          </cell>
          <cell r="T174">
            <v>0</v>
          </cell>
          <cell r="U174">
            <v>0</v>
          </cell>
          <cell r="V174">
            <v>42</v>
          </cell>
          <cell r="W174">
            <v>12</v>
          </cell>
          <cell r="X174">
            <v>14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11</v>
          </cell>
          <cell r="AD174">
            <v>0</v>
          </cell>
          <cell r="AE174">
            <v>16</v>
          </cell>
          <cell r="AF174">
            <v>31</v>
          </cell>
          <cell r="AG174">
            <v>0</v>
          </cell>
          <cell r="AH174">
            <v>64</v>
          </cell>
          <cell r="AI174">
            <v>374</v>
          </cell>
          <cell r="AJ174">
            <v>87</v>
          </cell>
          <cell r="AK174">
            <v>15</v>
          </cell>
        </row>
        <row r="175">
          <cell r="A175">
            <v>168</v>
          </cell>
          <cell r="B175" t="str">
            <v>Karangjati</v>
          </cell>
          <cell r="C175">
            <v>350621015</v>
          </cell>
          <cell r="D175">
            <v>4</v>
          </cell>
          <cell r="E175">
            <v>10</v>
          </cell>
          <cell r="F175">
            <v>2</v>
          </cell>
          <cell r="G175">
            <v>0</v>
          </cell>
          <cell r="H175">
            <v>0</v>
          </cell>
          <cell r="I175">
            <v>16</v>
          </cell>
          <cell r="J175">
            <v>2</v>
          </cell>
          <cell r="K175">
            <v>1</v>
          </cell>
          <cell r="L175">
            <v>11</v>
          </cell>
          <cell r="M175">
            <v>8</v>
          </cell>
          <cell r="N175">
            <v>0</v>
          </cell>
          <cell r="O175">
            <v>78</v>
          </cell>
          <cell r="P175">
            <v>2</v>
          </cell>
          <cell r="Q175">
            <v>0</v>
          </cell>
          <cell r="R175">
            <v>0</v>
          </cell>
          <cell r="S175">
            <v>1</v>
          </cell>
          <cell r="T175">
            <v>0</v>
          </cell>
          <cell r="U175">
            <v>5</v>
          </cell>
          <cell r="V175">
            <v>75</v>
          </cell>
          <cell r="W175">
            <v>10</v>
          </cell>
          <cell r="X175">
            <v>7</v>
          </cell>
          <cell r="Y175">
            <v>0</v>
          </cell>
          <cell r="Z175">
            <v>70</v>
          </cell>
          <cell r="AA175">
            <v>5</v>
          </cell>
          <cell r="AB175">
            <v>0</v>
          </cell>
          <cell r="AC175">
            <v>10</v>
          </cell>
          <cell r="AD175">
            <v>0</v>
          </cell>
          <cell r="AE175">
            <v>5</v>
          </cell>
          <cell r="AF175">
            <v>0</v>
          </cell>
          <cell r="AG175">
            <v>3</v>
          </cell>
          <cell r="AH175">
            <v>9</v>
          </cell>
          <cell r="AI175">
            <v>334</v>
          </cell>
          <cell r="AJ175">
            <v>78</v>
          </cell>
          <cell r="AK175">
            <v>21</v>
          </cell>
        </row>
        <row r="176">
          <cell r="A176">
            <v>169</v>
          </cell>
          <cell r="B176" t="str">
            <v>Sambiroto Ngawi</v>
          </cell>
          <cell r="C176">
            <v>350621016</v>
          </cell>
          <cell r="D176">
            <v>8</v>
          </cell>
          <cell r="E176">
            <v>12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13</v>
          </cell>
          <cell r="L176">
            <v>23</v>
          </cell>
          <cell r="M176">
            <v>7</v>
          </cell>
          <cell r="N176">
            <v>0</v>
          </cell>
          <cell r="O176">
            <v>75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>
            <v>25</v>
          </cell>
          <cell r="W176">
            <v>11</v>
          </cell>
          <cell r="X176">
            <v>13</v>
          </cell>
          <cell r="Y176">
            <v>6</v>
          </cell>
          <cell r="Z176">
            <v>9</v>
          </cell>
          <cell r="AA176">
            <v>5</v>
          </cell>
          <cell r="AB176">
            <v>0</v>
          </cell>
          <cell r="AC176">
            <v>15</v>
          </cell>
          <cell r="AD176">
            <v>0</v>
          </cell>
          <cell r="AE176">
            <v>21</v>
          </cell>
          <cell r="AF176">
            <v>8</v>
          </cell>
          <cell r="AG176">
            <v>0</v>
          </cell>
          <cell r="AH176">
            <v>0</v>
          </cell>
          <cell r="AI176">
            <v>256</v>
          </cell>
          <cell r="AJ176">
            <v>75</v>
          </cell>
          <cell r="AK176">
            <v>16</v>
          </cell>
        </row>
        <row r="177">
          <cell r="A177">
            <v>170</v>
          </cell>
          <cell r="B177" t="str">
            <v>Babadan Ngawi</v>
          </cell>
          <cell r="C177">
            <v>350621017</v>
          </cell>
          <cell r="D177">
            <v>5</v>
          </cell>
          <cell r="E177">
            <v>2</v>
          </cell>
          <cell r="F177">
            <v>4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14</v>
          </cell>
          <cell r="L177">
            <v>49</v>
          </cell>
          <cell r="M177">
            <v>2</v>
          </cell>
          <cell r="N177">
            <v>16</v>
          </cell>
          <cell r="O177">
            <v>25</v>
          </cell>
          <cell r="P177">
            <v>2</v>
          </cell>
          <cell r="Q177">
            <v>24</v>
          </cell>
          <cell r="R177">
            <v>0</v>
          </cell>
          <cell r="S177">
            <v>0</v>
          </cell>
          <cell r="T177">
            <v>7</v>
          </cell>
          <cell r="U177">
            <v>3</v>
          </cell>
          <cell r="V177">
            <v>0</v>
          </cell>
          <cell r="W177">
            <v>51</v>
          </cell>
          <cell r="X177">
            <v>18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136</v>
          </cell>
          <cell r="AD177">
            <v>6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364</v>
          </cell>
          <cell r="AJ177">
            <v>136</v>
          </cell>
          <cell r="AK177">
            <v>16</v>
          </cell>
        </row>
        <row r="178">
          <cell r="A178">
            <v>171</v>
          </cell>
          <cell r="B178" t="str">
            <v>Begal</v>
          </cell>
          <cell r="C178">
            <v>350621018</v>
          </cell>
          <cell r="D178">
            <v>0</v>
          </cell>
          <cell r="E178">
            <v>6</v>
          </cell>
          <cell r="F178">
            <v>0</v>
          </cell>
          <cell r="G178">
            <v>0</v>
          </cell>
          <cell r="H178">
            <v>0</v>
          </cell>
          <cell r="I178">
            <v>5</v>
          </cell>
          <cell r="J178">
            <v>18.399999999999999</v>
          </cell>
          <cell r="K178">
            <v>0</v>
          </cell>
          <cell r="L178">
            <v>6</v>
          </cell>
          <cell r="M178">
            <v>4</v>
          </cell>
          <cell r="N178">
            <v>2</v>
          </cell>
          <cell r="O178">
            <v>43.4</v>
          </cell>
          <cell r="P178">
            <v>1</v>
          </cell>
          <cell r="Q178">
            <v>3</v>
          </cell>
          <cell r="R178">
            <v>0</v>
          </cell>
          <cell r="S178">
            <v>0</v>
          </cell>
          <cell r="T178">
            <v>53.5</v>
          </cell>
          <cell r="U178">
            <v>0</v>
          </cell>
          <cell r="V178">
            <v>11</v>
          </cell>
          <cell r="W178">
            <v>23</v>
          </cell>
          <cell r="X178">
            <v>9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45.2</v>
          </cell>
          <cell r="AD178">
            <v>0</v>
          </cell>
          <cell r="AE178">
            <v>12.5</v>
          </cell>
          <cell r="AF178">
            <v>4</v>
          </cell>
          <cell r="AG178">
            <v>0</v>
          </cell>
          <cell r="AH178">
            <v>0</v>
          </cell>
          <cell r="AI178">
            <v>247</v>
          </cell>
          <cell r="AJ178">
            <v>53.5</v>
          </cell>
          <cell r="AK178">
            <v>16</v>
          </cell>
        </row>
        <row r="179">
          <cell r="A179">
            <v>172</v>
          </cell>
          <cell r="B179" t="str">
            <v>Bekoh</v>
          </cell>
          <cell r="C179">
            <v>350621019</v>
          </cell>
          <cell r="D179">
            <v>0</v>
          </cell>
          <cell r="E179">
            <v>8</v>
          </cell>
          <cell r="F179">
            <v>0</v>
          </cell>
          <cell r="G179">
            <v>0</v>
          </cell>
          <cell r="H179">
            <v>0</v>
          </cell>
          <cell r="I179">
            <v>2</v>
          </cell>
          <cell r="J179">
            <v>0</v>
          </cell>
          <cell r="K179">
            <v>4</v>
          </cell>
          <cell r="L179">
            <v>3</v>
          </cell>
          <cell r="M179">
            <v>0</v>
          </cell>
          <cell r="N179">
            <v>0</v>
          </cell>
          <cell r="O179">
            <v>48</v>
          </cell>
          <cell r="P179">
            <v>0</v>
          </cell>
          <cell r="Q179">
            <v>7</v>
          </cell>
          <cell r="R179">
            <v>0</v>
          </cell>
          <cell r="S179">
            <v>0</v>
          </cell>
          <cell r="T179">
            <v>14</v>
          </cell>
          <cell r="U179">
            <v>12</v>
          </cell>
          <cell r="V179">
            <v>16</v>
          </cell>
          <cell r="W179">
            <v>14</v>
          </cell>
          <cell r="X179">
            <v>18</v>
          </cell>
          <cell r="Y179">
            <v>21</v>
          </cell>
          <cell r="Z179">
            <v>0</v>
          </cell>
          <cell r="AA179">
            <v>0</v>
          </cell>
          <cell r="AB179">
            <v>12</v>
          </cell>
          <cell r="AC179">
            <v>0</v>
          </cell>
          <cell r="AD179">
            <v>0</v>
          </cell>
          <cell r="AE179">
            <v>19</v>
          </cell>
          <cell r="AF179">
            <v>0</v>
          </cell>
          <cell r="AG179">
            <v>0</v>
          </cell>
          <cell r="AH179">
            <v>0</v>
          </cell>
          <cell r="AI179">
            <v>198</v>
          </cell>
          <cell r="AJ179">
            <v>48</v>
          </cell>
          <cell r="AK179">
            <v>14</v>
          </cell>
        </row>
        <row r="180">
          <cell r="A180">
            <v>173</v>
          </cell>
          <cell r="B180" t="str">
            <v>Papungan</v>
          </cell>
          <cell r="C180">
            <v>350621020</v>
          </cell>
          <cell r="D180">
            <v>2</v>
          </cell>
          <cell r="E180">
            <v>16</v>
          </cell>
          <cell r="F180">
            <v>0</v>
          </cell>
          <cell r="G180">
            <v>0</v>
          </cell>
          <cell r="H180">
            <v>0</v>
          </cell>
          <cell r="I180">
            <v>4</v>
          </cell>
          <cell r="J180">
            <v>0</v>
          </cell>
          <cell r="K180">
            <v>0</v>
          </cell>
          <cell r="L180">
            <v>9</v>
          </cell>
          <cell r="M180">
            <v>12</v>
          </cell>
          <cell r="N180">
            <v>0</v>
          </cell>
          <cell r="O180">
            <v>65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47</v>
          </cell>
          <cell r="U180">
            <v>0</v>
          </cell>
          <cell r="V180">
            <v>22</v>
          </cell>
          <cell r="W180">
            <v>36</v>
          </cell>
          <cell r="X180">
            <v>9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3</v>
          </cell>
          <cell r="AD180">
            <v>5</v>
          </cell>
          <cell r="AE180">
            <v>10</v>
          </cell>
          <cell r="AF180">
            <v>0</v>
          </cell>
          <cell r="AG180">
            <v>0</v>
          </cell>
          <cell r="AH180">
            <v>0</v>
          </cell>
          <cell r="AI180">
            <v>240</v>
          </cell>
          <cell r="AJ180">
            <v>65</v>
          </cell>
          <cell r="AK180">
            <v>13</v>
          </cell>
        </row>
        <row r="181">
          <cell r="A181">
            <v>174</v>
          </cell>
          <cell r="B181" t="str">
            <v>Kricak</v>
          </cell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6</v>
          </cell>
          <cell r="J181">
            <v>4</v>
          </cell>
          <cell r="K181">
            <v>0</v>
          </cell>
          <cell r="L181">
            <v>3</v>
          </cell>
          <cell r="M181">
            <v>8</v>
          </cell>
          <cell r="N181">
            <v>0</v>
          </cell>
          <cell r="O181">
            <v>66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25.5</v>
          </cell>
          <cell r="U181">
            <v>0</v>
          </cell>
          <cell r="V181">
            <v>46</v>
          </cell>
          <cell r="W181">
            <v>39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3</v>
          </cell>
          <cell r="AD181">
            <v>6</v>
          </cell>
          <cell r="AE181">
            <v>9</v>
          </cell>
          <cell r="AF181">
            <v>0</v>
          </cell>
          <cell r="AG181">
            <v>0</v>
          </cell>
          <cell r="AH181">
            <v>0</v>
          </cell>
          <cell r="AI181">
            <v>215.5</v>
          </cell>
          <cell r="AJ181">
            <v>66</v>
          </cell>
          <cell r="AK181">
            <v>11</v>
          </cell>
        </row>
        <row r="182">
          <cell r="A182">
            <v>175</v>
          </cell>
          <cell r="B182" t="str">
            <v>Guyung</v>
          </cell>
          <cell r="C182">
            <v>350621022</v>
          </cell>
          <cell r="D182">
            <v>19</v>
          </cell>
          <cell r="E182">
            <v>10</v>
          </cell>
          <cell r="F182">
            <v>0</v>
          </cell>
          <cell r="G182">
            <v>0</v>
          </cell>
          <cell r="H182">
            <v>45</v>
          </cell>
          <cell r="I182">
            <v>0</v>
          </cell>
          <cell r="J182">
            <v>0</v>
          </cell>
          <cell r="K182">
            <v>0</v>
          </cell>
          <cell r="L182">
            <v>81</v>
          </cell>
          <cell r="M182">
            <v>0</v>
          </cell>
          <cell r="N182">
            <v>0</v>
          </cell>
          <cell r="O182">
            <v>45</v>
          </cell>
          <cell r="P182">
            <v>0</v>
          </cell>
          <cell r="Q182">
            <v>4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19</v>
          </cell>
          <cell r="W182">
            <v>9</v>
          </cell>
          <cell r="X182">
            <v>19</v>
          </cell>
          <cell r="Y182">
            <v>4</v>
          </cell>
          <cell r="Z182">
            <v>32</v>
          </cell>
          <cell r="AA182">
            <v>0</v>
          </cell>
          <cell r="AB182">
            <v>0</v>
          </cell>
          <cell r="AC182">
            <v>4</v>
          </cell>
          <cell r="AD182">
            <v>0</v>
          </cell>
          <cell r="AE182">
            <v>27</v>
          </cell>
          <cell r="AF182">
            <v>0</v>
          </cell>
          <cell r="AG182">
            <v>3</v>
          </cell>
          <cell r="AH182">
            <v>9</v>
          </cell>
          <cell r="AI182">
            <v>330</v>
          </cell>
          <cell r="AJ182">
            <v>81</v>
          </cell>
          <cell r="AK182">
            <v>15</v>
          </cell>
        </row>
        <row r="183">
          <cell r="A183">
            <v>176</v>
          </cell>
          <cell r="B183" t="str">
            <v>Sudhono</v>
          </cell>
          <cell r="C183">
            <v>350621023</v>
          </cell>
          <cell r="D183">
            <v>0</v>
          </cell>
          <cell r="E183">
            <v>0</v>
          </cell>
          <cell r="F183">
            <v>37.200000000000003</v>
          </cell>
          <cell r="G183">
            <v>1.5</v>
          </cell>
          <cell r="H183">
            <v>18.5</v>
          </cell>
          <cell r="I183">
            <v>0</v>
          </cell>
          <cell r="J183">
            <v>0</v>
          </cell>
          <cell r="K183">
            <v>0</v>
          </cell>
          <cell r="L183">
            <v>21.2</v>
          </cell>
          <cell r="M183">
            <v>11.1</v>
          </cell>
          <cell r="N183">
            <v>0</v>
          </cell>
          <cell r="O183">
            <v>38.1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28.2</v>
          </cell>
          <cell r="W183">
            <v>17.5</v>
          </cell>
          <cell r="X183">
            <v>18.7</v>
          </cell>
          <cell r="Y183">
            <v>0</v>
          </cell>
          <cell r="Z183">
            <v>14.1</v>
          </cell>
          <cell r="AA183">
            <v>0</v>
          </cell>
          <cell r="AB183">
            <v>5</v>
          </cell>
          <cell r="AC183">
            <v>31.2</v>
          </cell>
          <cell r="AD183">
            <v>51</v>
          </cell>
          <cell r="AE183">
            <v>20</v>
          </cell>
          <cell r="AF183">
            <v>22</v>
          </cell>
          <cell r="AG183">
            <v>4.4000000000000004</v>
          </cell>
          <cell r="AH183">
            <v>1.2</v>
          </cell>
          <cell r="AI183">
            <v>340.89999999999992</v>
          </cell>
          <cell r="AJ183">
            <v>51</v>
          </cell>
          <cell r="AK183">
            <v>17</v>
          </cell>
        </row>
        <row r="184">
          <cell r="A184">
            <v>177</v>
          </cell>
          <cell r="B184" t="str">
            <v>Soko / Ngadirejo</v>
          </cell>
          <cell r="C184">
            <v>350621024</v>
          </cell>
          <cell r="D184">
            <v>0</v>
          </cell>
          <cell r="E184">
            <v>12</v>
          </cell>
          <cell r="F184">
            <v>0</v>
          </cell>
          <cell r="G184">
            <v>0</v>
          </cell>
          <cell r="H184">
            <v>0</v>
          </cell>
          <cell r="I184">
            <v>4</v>
          </cell>
          <cell r="J184">
            <v>2</v>
          </cell>
          <cell r="K184">
            <v>0</v>
          </cell>
          <cell r="L184">
            <v>5</v>
          </cell>
          <cell r="M184">
            <v>6</v>
          </cell>
          <cell r="N184">
            <v>0</v>
          </cell>
          <cell r="O184">
            <v>63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46</v>
          </cell>
          <cell r="U184">
            <v>0</v>
          </cell>
          <cell r="V184">
            <v>27</v>
          </cell>
          <cell r="W184">
            <v>36</v>
          </cell>
          <cell r="X184">
            <v>10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4</v>
          </cell>
          <cell r="AD184">
            <v>6</v>
          </cell>
          <cell r="AE184">
            <v>20</v>
          </cell>
          <cell r="AF184">
            <v>2</v>
          </cell>
          <cell r="AG184">
            <v>0</v>
          </cell>
          <cell r="AH184">
            <v>0</v>
          </cell>
          <cell r="AI184">
            <v>243</v>
          </cell>
          <cell r="AJ184">
            <v>63</v>
          </cell>
          <cell r="AK184">
            <v>14</v>
          </cell>
        </row>
        <row r="185">
          <cell r="A185">
            <v>178</v>
          </cell>
          <cell r="B185" t="str">
            <v>Buduk / Kwadungan</v>
          </cell>
          <cell r="C185">
            <v>350621025</v>
          </cell>
          <cell r="D185">
            <v>4</v>
          </cell>
          <cell r="E185">
            <v>2</v>
          </cell>
          <cell r="F185">
            <v>3</v>
          </cell>
          <cell r="G185">
            <v>0</v>
          </cell>
          <cell r="H185">
            <v>2</v>
          </cell>
          <cell r="I185">
            <v>0</v>
          </cell>
          <cell r="J185">
            <v>21</v>
          </cell>
          <cell r="K185">
            <v>0</v>
          </cell>
          <cell r="L185">
            <v>9</v>
          </cell>
          <cell r="M185">
            <v>20</v>
          </cell>
          <cell r="N185">
            <v>0</v>
          </cell>
          <cell r="O185">
            <v>57</v>
          </cell>
          <cell r="P185">
            <v>0</v>
          </cell>
          <cell r="Q185">
            <v>13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21</v>
          </cell>
          <cell r="W185">
            <v>49</v>
          </cell>
          <cell r="X185">
            <v>11</v>
          </cell>
          <cell r="Y185">
            <v>17</v>
          </cell>
          <cell r="Z185">
            <v>3</v>
          </cell>
          <cell r="AA185">
            <v>0</v>
          </cell>
          <cell r="AB185">
            <v>0</v>
          </cell>
          <cell r="AC185">
            <v>7</v>
          </cell>
          <cell r="AD185">
            <v>0</v>
          </cell>
          <cell r="AE185">
            <v>0</v>
          </cell>
          <cell r="AF185">
            <v>16</v>
          </cell>
          <cell r="AG185">
            <v>0</v>
          </cell>
          <cell r="AH185">
            <v>0</v>
          </cell>
          <cell r="AI185">
            <v>255</v>
          </cell>
          <cell r="AJ185">
            <v>57</v>
          </cell>
          <cell r="AK185">
            <v>16</v>
          </cell>
        </row>
        <row r="186">
          <cell r="A186">
            <v>179</v>
          </cell>
          <cell r="B186" t="str">
            <v>Tejo</v>
          </cell>
          <cell r="C186">
            <v>350621026</v>
          </cell>
          <cell r="D186">
            <v>12</v>
          </cell>
          <cell r="E186">
            <v>7</v>
          </cell>
          <cell r="F186">
            <v>0</v>
          </cell>
          <cell r="G186">
            <v>7</v>
          </cell>
          <cell r="H186">
            <v>0</v>
          </cell>
          <cell r="I186">
            <v>0</v>
          </cell>
          <cell r="J186">
            <v>0</v>
          </cell>
          <cell r="K186">
            <v>25</v>
          </cell>
          <cell r="L186">
            <v>7</v>
          </cell>
          <cell r="M186">
            <v>0</v>
          </cell>
          <cell r="N186">
            <v>24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18</v>
          </cell>
          <cell r="V186">
            <v>14</v>
          </cell>
          <cell r="W186">
            <v>22</v>
          </cell>
          <cell r="X186">
            <v>18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9</v>
          </cell>
          <cell r="AF186">
            <v>0</v>
          </cell>
          <cell r="AG186">
            <v>0</v>
          </cell>
          <cell r="AH186">
            <v>0</v>
          </cell>
          <cell r="AI186">
            <v>163</v>
          </cell>
          <cell r="AJ186">
            <v>25</v>
          </cell>
          <cell r="AK186">
            <v>11</v>
          </cell>
        </row>
        <row r="187">
          <cell r="A187">
            <v>180</v>
          </cell>
          <cell r="B187" t="str">
            <v>Ponorogo</v>
          </cell>
          <cell r="C187">
            <v>350602001</v>
          </cell>
          <cell r="D187">
            <v>2</v>
          </cell>
          <cell r="E187">
            <v>3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14.5</v>
          </cell>
          <cell r="L187">
            <v>14</v>
          </cell>
          <cell r="M187">
            <v>4.5</v>
          </cell>
          <cell r="N187">
            <v>8</v>
          </cell>
          <cell r="O187">
            <v>16</v>
          </cell>
          <cell r="P187">
            <v>2</v>
          </cell>
          <cell r="Q187">
            <v>5</v>
          </cell>
          <cell r="R187">
            <v>1.5</v>
          </cell>
          <cell r="S187">
            <v>19</v>
          </cell>
          <cell r="T187">
            <v>9</v>
          </cell>
          <cell r="U187">
            <v>36</v>
          </cell>
          <cell r="V187">
            <v>0</v>
          </cell>
          <cell r="W187">
            <v>3</v>
          </cell>
          <cell r="X187">
            <v>24.5</v>
          </cell>
          <cell r="Y187">
            <v>18</v>
          </cell>
          <cell r="Z187">
            <v>15</v>
          </cell>
          <cell r="AA187">
            <v>0</v>
          </cell>
          <cell r="AB187">
            <v>0</v>
          </cell>
          <cell r="AC187">
            <v>1</v>
          </cell>
          <cell r="AD187">
            <v>2</v>
          </cell>
          <cell r="AE187">
            <v>8</v>
          </cell>
          <cell r="AF187">
            <v>14</v>
          </cell>
          <cell r="AG187">
            <v>5.5</v>
          </cell>
          <cell r="AH187">
            <v>0</v>
          </cell>
          <cell r="AI187">
            <v>225.5</v>
          </cell>
          <cell r="AJ187">
            <v>36</v>
          </cell>
          <cell r="AK187">
            <v>22</v>
          </cell>
        </row>
        <row r="188">
          <cell r="A188">
            <v>181</v>
          </cell>
          <cell r="B188" t="str">
            <v>Babadan PNG</v>
          </cell>
          <cell r="C188">
            <v>350602002</v>
          </cell>
          <cell r="D188">
            <v>0</v>
          </cell>
          <cell r="E188">
            <v>2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15</v>
          </cell>
          <cell r="M188">
            <v>18</v>
          </cell>
          <cell r="N188">
            <v>20</v>
          </cell>
          <cell r="O188">
            <v>43</v>
          </cell>
          <cell r="P188">
            <v>3</v>
          </cell>
          <cell r="Q188">
            <v>6</v>
          </cell>
          <cell r="R188">
            <v>21</v>
          </cell>
          <cell r="S188">
            <v>28</v>
          </cell>
          <cell r="T188">
            <v>21</v>
          </cell>
          <cell r="U188">
            <v>12</v>
          </cell>
          <cell r="V188">
            <v>9</v>
          </cell>
          <cell r="W188">
            <v>11</v>
          </cell>
          <cell r="X188">
            <v>18</v>
          </cell>
          <cell r="Y188">
            <v>3</v>
          </cell>
          <cell r="Z188">
            <v>5</v>
          </cell>
          <cell r="AA188">
            <v>0</v>
          </cell>
          <cell r="AB188">
            <v>0</v>
          </cell>
          <cell r="AC188">
            <v>0</v>
          </cell>
          <cell r="AD188">
            <v>9</v>
          </cell>
          <cell r="AE188">
            <v>3</v>
          </cell>
          <cell r="AF188">
            <v>4</v>
          </cell>
          <cell r="AG188">
            <v>6</v>
          </cell>
          <cell r="AH188">
            <v>5</v>
          </cell>
          <cell r="AI188">
            <v>262</v>
          </cell>
          <cell r="AJ188">
            <v>43</v>
          </cell>
          <cell r="AK188">
            <v>21</v>
          </cell>
        </row>
        <row r="189">
          <cell r="A189">
            <v>182</v>
          </cell>
          <cell r="B189" t="str">
            <v>Kesugihan</v>
          </cell>
          <cell r="C189">
            <v>350602003</v>
          </cell>
          <cell r="D189">
            <v>18</v>
          </cell>
          <cell r="E189">
            <v>38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8</v>
          </cell>
          <cell r="N189">
            <v>18</v>
          </cell>
          <cell r="O189">
            <v>9</v>
          </cell>
          <cell r="P189">
            <v>0</v>
          </cell>
          <cell r="Q189">
            <v>11</v>
          </cell>
          <cell r="R189">
            <v>8</v>
          </cell>
          <cell r="S189">
            <v>17</v>
          </cell>
          <cell r="T189">
            <v>9</v>
          </cell>
          <cell r="U189">
            <v>16</v>
          </cell>
          <cell r="V189">
            <v>1</v>
          </cell>
          <cell r="W189">
            <v>15</v>
          </cell>
          <cell r="X189">
            <v>28</v>
          </cell>
          <cell r="Y189">
            <v>6</v>
          </cell>
          <cell r="Z189">
            <v>4</v>
          </cell>
          <cell r="AA189">
            <v>0</v>
          </cell>
          <cell r="AB189">
            <v>0</v>
          </cell>
          <cell r="AC189">
            <v>0</v>
          </cell>
          <cell r="AD189">
            <v>31</v>
          </cell>
          <cell r="AE189">
            <v>10</v>
          </cell>
          <cell r="AF189">
            <v>0</v>
          </cell>
          <cell r="AG189">
            <v>3</v>
          </cell>
          <cell r="AH189">
            <v>2</v>
          </cell>
          <cell r="AI189">
            <v>252</v>
          </cell>
          <cell r="AJ189">
            <v>38</v>
          </cell>
          <cell r="AK189">
            <v>19</v>
          </cell>
        </row>
        <row r="190">
          <cell r="A190">
            <v>183</v>
          </cell>
          <cell r="B190" t="str">
            <v>Pulung</v>
          </cell>
          <cell r="C190">
            <v>350602004</v>
          </cell>
          <cell r="D190">
            <v>17</v>
          </cell>
          <cell r="E190">
            <v>51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7</v>
          </cell>
          <cell r="N190">
            <v>9</v>
          </cell>
          <cell r="O190">
            <v>10</v>
          </cell>
          <cell r="P190">
            <v>2</v>
          </cell>
          <cell r="Q190">
            <v>5</v>
          </cell>
          <cell r="R190">
            <v>12</v>
          </cell>
          <cell r="S190">
            <v>21</v>
          </cell>
          <cell r="T190">
            <v>22</v>
          </cell>
          <cell r="U190">
            <v>22</v>
          </cell>
          <cell r="V190">
            <v>1</v>
          </cell>
          <cell r="W190">
            <v>14</v>
          </cell>
          <cell r="X190">
            <v>32</v>
          </cell>
          <cell r="Y190">
            <v>9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25</v>
          </cell>
          <cell r="AE190">
            <v>15</v>
          </cell>
          <cell r="AF190">
            <v>0</v>
          </cell>
          <cell r="AG190">
            <v>0</v>
          </cell>
          <cell r="AH190">
            <v>5</v>
          </cell>
          <cell r="AI190">
            <v>279</v>
          </cell>
          <cell r="AJ190">
            <v>51</v>
          </cell>
          <cell r="AK190">
            <v>18</v>
          </cell>
        </row>
        <row r="191">
          <cell r="A191">
            <v>184</v>
          </cell>
          <cell r="B191" t="str">
            <v>Pudak</v>
          </cell>
          <cell r="C191">
            <v>350602005</v>
          </cell>
          <cell r="D191">
            <v>20</v>
          </cell>
          <cell r="E191">
            <v>34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11</v>
          </cell>
          <cell r="M191">
            <v>16</v>
          </cell>
          <cell r="N191">
            <v>23</v>
          </cell>
          <cell r="O191">
            <v>33</v>
          </cell>
          <cell r="P191">
            <v>6</v>
          </cell>
          <cell r="Q191">
            <v>0</v>
          </cell>
          <cell r="R191">
            <v>10</v>
          </cell>
          <cell r="S191">
            <v>12</v>
          </cell>
          <cell r="T191">
            <v>2</v>
          </cell>
          <cell r="U191">
            <v>30</v>
          </cell>
          <cell r="V191">
            <v>10</v>
          </cell>
          <cell r="W191">
            <v>24</v>
          </cell>
          <cell r="X191">
            <v>49</v>
          </cell>
          <cell r="Y191">
            <v>13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9</v>
          </cell>
          <cell r="AE191">
            <v>10</v>
          </cell>
          <cell r="AF191">
            <v>0</v>
          </cell>
          <cell r="AG191">
            <v>11</v>
          </cell>
          <cell r="AH191">
            <v>0</v>
          </cell>
          <cell r="AI191">
            <v>323</v>
          </cell>
          <cell r="AJ191">
            <v>49</v>
          </cell>
          <cell r="AK191">
            <v>18</v>
          </cell>
        </row>
        <row r="192">
          <cell r="A192">
            <v>185</v>
          </cell>
          <cell r="B192" t="str">
            <v>Sooko</v>
          </cell>
          <cell r="C192">
            <v>350602006</v>
          </cell>
          <cell r="D192">
            <v>22</v>
          </cell>
          <cell r="E192">
            <v>13</v>
          </cell>
          <cell r="F192">
            <v>1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13</v>
          </cell>
          <cell r="M192">
            <v>24</v>
          </cell>
          <cell r="N192">
            <v>46</v>
          </cell>
          <cell r="O192">
            <v>35</v>
          </cell>
          <cell r="P192">
            <v>2</v>
          </cell>
          <cell r="Q192">
            <v>1</v>
          </cell>
          <cell r="R192">
            <v>11</v>
          </cell>
          <cell r="S192">
            <v>16</v>
          </cell>
          <cell r="T192">
            <v>2</v>
          </cell>
          <cell r="U192">
            <v>15</v>
          </cell>
          <cell r="V192">
            <v>4</v>
          </cell>
          <cell r="W192">
            <v>9</v>
          </cell>
          <cell r="X192">
            <v>22</v>
          </cell>
          <cell r="Y192">
            <v>24</v>
          </cell>
          <cell r="Z192">
            <v>2</v>
          </cell>
          <cell r="AA192">
            <v>0</v>
          </cell>
          <cell r="AB192">
            <v>0</v>
          </cell>
          <cell r="AC192">
            <v>1</v>
          </cell>
          <cell r="AD192">
            <v>10</v>
          </cell>
          <cell r="AE192">
            <v>3</v>
          </cell>
          <cell r="AF192">
            <v>1</v>
          </cell>
          <cell r="AG192">
            <v>24</v>
          </cell>
          <cell r="AH192">
            <v>0</v>
          </cell>
          <cell r="AI192">
            <v>301</v>
          </cell>
          <cell r="AJ192">
            <v>46</v>
          </cell>
          <cell r="AK192">
            <v>23</v>
          </cell>
        </row>
        <row r="193">
          <cell r="A193">
            <v>186</v>
          </cell>
          <cell r="B193" t="str">
            <v>Sawoo</v>
          </cell>
          <cell r="C193">
            <v>350602007</v>
          </cell>
          <cell r="D193">
            <v>0</v>
          </cell>
          <cell r="E193">
            <v>31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10</v>
          </cell>
          <cell r="M193">
            <v>6</v>
          </cell>
          <cell r="N193">
            <v>8</v>
          </cell>
          <cell r="O193">
            <v>82</v>
          </cell>
          <cell r="P193">
            <v>4</v>
          </cell>
          <cell r="Q193">
            <v>2</v>
          </cell>
          <cell r="R193">
            <v>47</v>
          </cell>
          <cell r="S193">
            <v>33</v>
          </cell>
          <cell r="T193">
            <v>1</v>
          </cell>
          <cell r="U193">
            <v>44</v>
          </cell>
          <cell r="V193">
            <v>3</v>
          </cell>
          <cell r="W193">
            <v>14</v>
          </cell>
          <cell r="X193">
            <v>9</v>
          </cell>
          <cell r="Y193">
            <v>2</v>
          </cell>
          <cell r="Z193">
            <v>0</v>
          </cell>
          <cell r="AA193">
            <v>0</v>
          </cell>
          <cell r="AB193">
            <v>0</v>
          </cell>
          <cell r="AC193">
            <v>5</v>
          </cell>
          <cell r="AD193">
            <v>28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329</v>
          </cell>
          <cell r="AJ193">
            <v>82</v>
          </cell>
          <cell r="AK193">
            <v>17</v>
          </cell>
        </row>
        <row r="194">
          <cell r="A194">
            <v>187</v>
          </cell>
          <cell r="B194" t="str">
            <v>Kori</v>
          </cell>
          <cell r="C194">
            <v>350602008</v>
          </cell>
          <cell r="D194">
            <v>0</v>
          </cell>
          <cell r="E194">
            <v>46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13</v>
          </cell>
          <cell r="M194">
            <v>12</v>
          </cell>
          <cell r="N194">
            <v>24</v>
          </cell>
          <cell r="O194">
            <v>41</v>
          </cell>
          <cell r="P194">
            <v>4</v>
          </cell>
          <cell r="Q194">
            <v>2</v>
          </cell>
          <cell r="R194">
            <v>20</v>
          </cell>
          <cell r="S194">
            <v>51</v>
          </cell>
          <cell r="T194">
            <v>8</v>
          </cell>
          <cell r="U194">
            <v>27</v>
          </cell>
          <cell r="V194">
            <v>16</v>
          </cell>
          <cell r="W194">
            <v>12</v>
          </cell>
          <cell r="X194">
            <v>33</v>
          </cell>
          <cell r="Y194">
            <v>6</v>
          </cell>
          <cell r="Z194">
            <v>13</v>
          </cell>
          <cell r="AA194">
            <v>0</v>
          </cell>
          <cell r="AB194">
            <v>0</v>
          </cell>
          <cell r="AC194">
            <v>2</v>
          </cell>
          <cell r="AD194">
            <v>8</v>
          </cell>
          <cell r="AE194">
            <v>1</v>
          </cell>
          <cell r="AF194">
            <v>0</v>
          </cell>
          <cell r="AG194">
            <v>7</v>
          </cell>
          <cell r="AH194">
            <v>0</v>
          </cell>
          <cell r="AI194">
            <v>346</v>
          </cell>
          <cell r="AJ194">
            <v>51</v>
          </cell>
          <cell r="AK194">
            <v>20</v>
          </cell>
        </row>
        <row r="195">
          <cell r="A195">
            <v>188</v>
          </cell>
          <cell r="B195" t="str">
            <v>Sewatu</v>
          </cell>
          <cell r="C195">
            <v>350602009</v>
          </cell>
          <cell r="D195">
            <v>13</v>
          </cell>
          <cell r="E195">
            <v>25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8</v>
          </cell>
          <cell r="M195">
            <v>6</v>
          </cell>
          <cell r="N195">
            <v>12</v>
          </cell>
          <cell r="O195">
            <v>28</v>
          </cell>
          <cell r="P195">
            <v>4</v>
          </cell>
          <cell r="Q195">
            <v>3</v>
          </cell>
          <cell r="R195">
            <v>13</v>
          </cell>
          <cell r="S195">
            <v>29</v>
          </cell>
          <cell r="T195">
            <v>2</v>
          </cell>
          <cell r="U195">
            <v>12</v>
          </cell>
          <cell r="V195">
            <v>8</v>
          </cell>
          <cell r="W195">
            <v>8</v>
          </cell>
          <cell r="X195">
            <v>27</v>
          </cell>
          <cell r="Y195">
            <v>27</v>
          </cell>
          <cell r="Z195">
            <v>15</v>
          </cell>
          <cell r="AA195">
            <v>1</v>
          </cell>
          <cell r="AB195">
            <v>0</v>
          </cell>
          <cell r="AC195">
            <v>1</v>
          </cell>
          <cell r="AD195">
            <v>5</v>
          </cell>
          <cell r="AE195">
            <v>5</v>
          </cell>
          <cell r="AF195">
            <v>0</v>
          </cell>
          <cell r="AG195">
            <v>15</v>
          </cell>
          <cell r="AH195">
            <v>0</v>
          </cell>
          <cell r="AI195">
            <v>267</v>
          </cell>
          <cell r="AJ195">
            <v>29</v>
          </cell>
          <cell r="AK195">
            <v>22</v>
          </cell>
        </row>
        <row r="196">
          <cell r="A196">
            <v>189</v>
          </cell>
          <cell r="B196" t="str">
            <v>Slahung</v>
          </cell>
          <cell r="C196">
            <v>350602010</v>
          </cell>
          <cell r="D196">
            <v>0</v>
          </cell>
          <cell r="E196">
            <v>15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3</v>
          </cell>
          <cell r="N196">
            <v>28</v>
          </cell>
          <cell r="O196">
            <v>5</v>
          </cell>
          <cell r="P196">
            <v>18</v>
          </cell>
          <cell r="Q196">
            <v>1</v>
          </cell>
          <cell r="R196">
            <v>14</v>
          </cell>
          <cell r="S196">
            <v>9</v>
          </cell>
          <cell r="T196">
            <v>4</v>
          </cell>
          <cell r="U196">
            <v>37</v>
          </cell>
          <cell r="V196">
            <v>12</v>
          </cell>
          <cell r="W196">
            <v>24</v>
          </cell>
          <cell r="X196">
            <v>24</v>
          </cell>
          <cell r="Y196">
            <v>1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13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208</v>
          </cell>
          <cell r="AJ196">
            <v>37</v>
          </cell>
          <cell r="AK196">
            <v>15</v>
          </cell>
        </row>
        <row r="197">
          <cell r="A197">
            <v>190</v>
          </cell>
          <cell r="B197" t="str">
            <v>Sampung</v>
          </cell>
          <cell r="C197">
            <v>350602011</v>
          </cell>
          <cell r="D197">
            <v>0</v>
          </cell>
          <cell r="E197">
            <v>0</v>
          </cell>
          <cell r="F197">
            <v>4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2</v>
          </cell>
          <cell r="M197">
            <v>8</v>
          </cell>
          <cell r="N197">
            <v>5</v>
          </cell>
          <cell r="O197">
            <v>28</v>
          </cell>
          <cell r="P197">
            <v>32</v>
          </cell>
          <cell r="Q197">
            <v>23</v>
          </cell>
          <cell r="R197">
            <v>0</v>
          </cell>
          <cell r="S197">
            <v>19</v>
          </cell>
          <cell r="T197">
            <v>7</v>
          </cell>
          <cell r="U197">
            <v>3</v>
          </cell>
          <cell r="V197">
            <v>0</v>
          </cell>
          <cell r="W197">
            <v>12</v>
          </cell>
          <cell r="X197">
            <v>0</v>
          </cell>
          <cell r="Y197">
            <v>2</v>
          </cell>
          <cell r="Z197">
            <v>0</v>
          </cell>
          <cell r="AA197">
            <v>0</v>
          </cell>
          <cell r="AB197">
            <v>7</v>
          </cell>
          <cell r="AC197">
            <v>15</v>
          </cell>
          <cell r="AD197">
            <v>5</v>
          </cell>
          <cell r="AE197">
            <v>17</v>
          </cell>
          <cell r="AF197">
            <v>28</v>
          </cell>
          <cell r="AG197">
            <v>6</v>
          </cell>
          <cell r="AH197">
            <v>1</v>
          </cell>
          <cell r="AI197">
            <v>224</v>
          </cell>
          <cell r="AJ197">
            <v>32</v>
          </cell>
          <cell r="AK197">
            <v>19</v>
          </cell>
        </row>
        <row r="198">
          <cell r="A198">
            <v>191</v>
          </cell>
          <cell r="B198" t="str">
            <v>Balong</v>
          </cell>
          <cell r="C198">
            <v>350602012</v>
          </cell>
          <cell r="D198">
            <v>2</v>
          </cell>
          <cell r="E198">
            <v>16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2</v>
          </cell>
          <cell r="M198">
            <v>7</v>
          </cell>
          <cell r="N198">
            <v>28</v>
          </cell>
          <cell r="O198">
            <v>34</v>
          </cell>
          <cell r="P198">
            <v>32</v>
          </cell>
          <cell r="Q198">
            <v>2</v>
          </cell>
          <cell r="R198">
            <v>2</v>
          </cell>
          <cell r="S198">
            <v>22</v>
          </cell>
          <cell r="T198">
            <v>5</v>
          </cell>
          <cell r="U198">
            <v>15</v>
          </cell>
          <cell r="V198">
            <v>30</v>
          </cell>
          <cell r="W198">
            <v>41</v>
          </cell>
          <cell r="X198">
            <v>24</v>
          </cell>
          <cell r="Y198">
            <v>6</v>
          </cell>
          <cell r="Z198">
            <v>14</v>
          </cell>
          <cell r="AA198">
            <v>0</v>
          </cell>
          <cell r="AB198">
            <v>0</v>
          </cell>
          <cell r="AC198">
            <v>6</v>
          </cell>
          <cell r="AD198">
            <v>76</v>
          </cell>
          <cell r="AE198">
            <v>6</v>
          </cell>
          <cell r="AF198">
            <v>9</v>
          </cell>
          <cell r="AG198">
            <v>1</v>
          </cell>
          <cell r="AH198">
            <v>18</v>
          </cell>
          <cell r="AI198">
            <v>398</v>
          </cell>
          <cell r="AJ198">
            <v>76</v>
          </cell>
          <cell r="AK198">
            <v>23</v>
          </cell>
        </row>
        <row r="199">
          <cell r="A199">
            <v>192</v>
          </cell>
          <cell r="B199" t="str">
            <v>Sungkur</v>
          </cell>
          <cell r="C199">
            <v>350602013</v>
          </cell>
          <cell r="D199">
            <v>1</v>
          </cell>
          <cell r="E199">
            <v>3</v>
          </cell>
          <cell r="F199">
            <v>1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1</v>
          </cell>
          <cell r="L199">
            <v>0</v>
          </cell>
          <cell r="M199">
            <v>11</v>
          </cell>
          <cell r="N199">
            <v>38</v>
          </cell>
          <cell r="O199">
            <v>53</v>
          </cell>
          <cell r="P199">
            <v>7</v>
          </cell>
          <cell r="Q199">
            <v>8</v>
          </cell>
          <cell r="R199">
            <v>1</v>
          </cell>
          <cell r="S199">
            <v>4</v>
          </cell>
          <cell r="T199">
            <v>16</v>
          </cell>
          <cell r="U199">
            <v>2</v>
          </cell>
          <cell r="V199">
            <v>0</v>
          </cell>
          <cell r="W199">
            <v>9</v>
          </cell>
          <cell r="X199">
            <v>27</v>
          </cell>
          <cell r="Y199">
            <v>60</v>
          </cell>
          <cell r="Z199">
            <v>8</v>
          </cell>
          <cell r="AA199">
            <v>0</v>
          </cell>
          <cell r="AB199">
            <v>0</v>
          </cell>
          <cell r="AC199">
            <v>1</v>
          </cell>
          <cell r="AD199">
            <v>4</v>
          </cell>
          <cell r="AE199">
            <v>22</v>
          </cell>
          <cell r="AF199">
            <v>0</v>
          </cell>
          <cell r="AG199">
            <v>1</v>
          </cell>
          <cell r="AH199">
            <v>0</v>
          </cell>
          <cell r="AI199">
            <v>278</v>
          </cell>
          <cell r="AJ199">
            <v>60</v>
          </cell>
          <cell r="AK199">
            <v>21</v>
          </cell>
        </row>
        <row r="200">
          <cell r="A200">
            <v>193</v>
          </cell>
          <cell r="B200" t="str">
            <v>Purwantoro</v>
          </cell>
          <cell r="C200">
            <v>350602014</v>
          </cell>
          <cell r="D200">
            <v>1</v>
          </cell>
          <cell r="E200">
            <v>1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6</v>
          </cell>
          <cell r="M200">
            <v>13</v>
          </cell>
          <cell r="N200">
            <v>7</v>
          </cell>
          <cell r="O200">
            <v>24</v>
          </cell>
          <cell r="P200">
            <v>12</v>
          </cell>
          <cell r="Q200">
            <v>3</v>
          </cell>
          <cell r="R200">
            <v>0</v>
          </cell>
          <cell r="S200">
            <v>5</v>
          </cell>
          <cell r="T200">
            <v>17</v>
          </cell>
          <cell r="U200">
            <v>15</v>
          </cell>
          <cell r="V200">
            <v>1</v>
          </cell>
          <cell r="W200">
            <v>6</v>
          </cell>
          <cell r="X200">
            <v>40</v>
          </cell>
          <cell r="Y200">
            <v>12</v>
          </cell>
          <cell r="Z200">
            <v>4</v>
          </cell>
          <cell r="AA200">
            <v>0</v>
          </cell>
          <cell r="AB200">
            <v>0</v>
          </cell>
          <cell r="AC200">
            <v>1</v>
          </cell>
          <cell r="AD200">
            <v>1</v>
          </cell>
          <cell r="AE200">
            <v>3</v>
          </cell>
          <cell r="AF200">
            <v>0</v>
          </cell>
          <cell r="AG200">
            <v>2</v>
          </cell>
          <cell r="AH200">
            <v>0</v>
          </cell>
          <cell r="AI200">
            <v>175</v>
          </cell>
          <cell r="AJ200">
            <v>40</v>
          </cell>
          <cell r="AK200">
            <v>21</v>
          </cell>
        </row>
        <row r="201">
          <cell r="A201">
            <v>194</v>
          </cell>
          <cell r="B201" t="str">
            <v>Ngebel</v>
          </cell>
          <cell r="C201">
            <v>350602015</v>
          </cell>
          <cell r="D201">
            <v>11</v>
          </cell>
          <cell r="E201">
            <v>44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38</v>
          </cell>
          <cell r="O201">
            <v>18</v>
          </cell>
          <cell r="P201">
            <v>6</v>
          </cell>
          <cell r="Q201">
            <v>13</v>
          </cell>
          <cell r="R201">
            <v>0</v>
          </cell>
          <cell r="S201">
            <v>7</v>
          </cell>
          <cell r="T201">
            <v>3</v>
          </cell>
          <cell r="U201">
            <v>7</v>
          </cell>
          <cell r="V201">
            <v>19</v>
          </cell>
          <cell r="W201">
            <v>33</v>
          </cell>
          <cell r="X201">
            <v>32</v>
          </cell>
          <cell r="Y201">
            <v>0</v>
          </cell>
          <cell r="Z201">
            <v>8</v>
          </cell>
          <cell r="AA201">
            <v>0</v>
          </cell>
          <cell r="AB201">
            <v>0</v>
          </cell>
          <cell r="AC201">
            <v>0</v>
          </cell>
          <cell r="AD201">
            <v>10</v>
          </cell>
          <cell r="AE201">
            <v>5</v>
          </cell>
          <cell r="AF201">
            <v>0</v>
          </cell>
          <cell r="AG201">
            <v>35</v>
          </cell>
          <cell r="AH201">
            <v>20</v>
          </cell>
          <cell r="AI201">
            <v>320</v>
          </cell>
          <cell r="AJ201">
            <v>44</v>
          </cell>
          <cell r="AK201">
            <v>18</v>
          </cell>
        </row>
        <row r="202">
          <cell r="A202">
            <v>195</v>
          </cell>
          <cell r="B202" t="str">
            <v>Talun PNG</v>
          </cell>
          <cell r="C202">
            <v>350602016</v>
          </cell>
          <cell r="D202">
            <v>13</v>
          </cell>
          <cell r="E202">
            <v>44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1</v>
          </cell>
          <cell r="M202">
            <v>10</v>
          </cell>
          <cell r="N202">
            <v>35</v>
          </cell>
          <cell r="O202">
            <v>11</v>
          </cell>
          <cell r="P202">
            <v>7</v>
          </cell>
          <cell r="Q202">
            <v>4</v>
          </cell>
          <cell r="R202">
            <v>9</v>
          </cell>
          <cell r="S202">
            <v>14</v>
          </cell>
          <cell r="T202">
            <v>4</v>
          </cell>
          <cell r="U202">
            <v>30</v>
          </cell>
          <cell r="V202">
            <v>11</v>
          </cell>
          <cell r="W202">
            <v>26</v>
          </cell>
          <cell r="X202">
            <v>38</v>
          </cell>
          <cell r="Y202">
            <v>3</v>
          </cell>
          <cell r="Z202">
            <v>4</v>
          </cell>
          <cell r="AA202">
            <v>0</v>
          </cell>
          <cell r="AB202">
            <v>0</v>
          </cell>
          <cell r="AC202">
            <v>25</v>
          </cell>
          <cell r="AD202">
            <v>30</v>
          </cell>
          <cell r="AE202">
            <v>14</v>
          </cell>
          <cell r="AF202">
            <v>0</v>
          </cell>
          <cell r="AG202">
            <v>39</v>
          </cell>
          <cell r="AH202">
            <v>7</v>
          </cell>
          <cell r="AI202">
            <v>379</v>
          </cell>
          <cell r="AJ202">
            <v>44</v>
          </cell>
          <cell r="AK202">
            <v>22</v>
          </cell>
        </row>
        <row r="203">
          <cell r="A203">
            <v>196</v>
          </cell>
          <cell r="B203" t="str">
            <v>Bollu</v>
          </cell>
          <cell r="C203">
            <v>350602017</v>
          </cell>
          <cell r="D203">
            <v>31</v>
          </cell>
          <cell r="E203">
            <v>47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2</v>
          </cell>
          <cell r="M203">
            <v>15</v>
          </cell>
          <cell r="N203">
            <v>40</v>
          </cell>
          <cell r="O203">
            <v>40</v>
          </cell>
          <cell r="P203">
            <v>2</v>
          </cell>
          <cell r="Q203">
            <v>5</v>
          </cell>
          <cell r="R203">
            <v>21</v>
          </cell>
          <cell r="S203">
            <v>14</v>
          </cell>
          <cell r="T203">
            <v>12</v>
          </cell>
          <cell r="U203">
            <v>7</v>
          </cell>
          <cell r="V203">
            <v>7</v>
          </cell>
          <cell r="W203">
            <v>7</v>
          </cell>
          <cell r="X203">
            <v>21</v>
          </cell>
          <cell r="Y203">
            <v>2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14</v>
          </cell>
          <cell r="AE203">
            <v>2</v>
          </cell>
          <cell r="AF203">
            <v>0</v>
          </cell>
          <cell r="AG203">
            <v>5</v>
          </cell>
          <cell r="AH203">
            <v>0</v>
          </cell>
          <cell r="AI203">
            <v>294</v>
          </cell>
          <cell r="AJ203">
            <v>47</v>
          </cell>
          <cell r="AK203">
            <v>19</v>
          </cell>
        </row>
        <row r="204">
          <cell r="A204">
            <v>197</v>
          </cell>
          <cell r="B204" t="str">
            <v>Wilangan</v>
          </cell>
          <cell r="C204">
            <v>350602018</v>
          </cell>
          <cell r="D204">
            <v>0</v>
          </cell>
          <cell r="E204">
            <v>47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31</v>
          </cell>
          <cell r="N204">
            <v>4</v>
          </cell>
          <cell r="O204">
            <v>43</v>
          </cell>
          <cell r="P204">
            <v>3</v>
          </cell>
          <cell r="Q204">
            <v>2</v>
          </cell>
          <cell r="R204">
            <v>27</v>
          </cell>
          <cell r="S204">
            <v>81</v>
          </cell>
          <cell r="T204">
            <v>1</v>
          </cell>
          <cell r="U204">
            <v>24</v>
          </cell>
          <cell r="V204">
            <v>8</v>
          </cell>
          <cell r="W204">
            <v>14</v>
          </cell>
          <cell r="X204">
            <v>30</v>
          </cell>
          <cell r="Y204">
            <v>5</v>
          </cell>
          <cell r="Z204">
            <v>9</v>
          </cell>
          <cell r="AA204">
            <v>0</v>
          </cell>
          <cell r="AB204">
            <v>0</v>
          </cell>
          <cell r="AC204">
            <v>5</v>
          </cell>
          <cell r="AD204">
            <v>40</v>
          </cell>
          <cell r="AE204">
            <v>1</v>
          </cell>
          <cell r="AF204">
            <v>2</v>
          </cell>
          <cell r="AG204">
            <v>10</v>
          </cell>
          <cell r="AH204">
            <v>0</v>
          </cell>
          <cell r="AI204">
            <v>387</v>
          </cell>
          <cell r="AJ204">
            <v>81</v>
          </cell>
          <cell r="AK204">
            <v>20</v>
          </cell>
        </row>
        <row r="205">
          <cell r="A205">
            <v>198</v>
          </cell>
          <cell r="B205" t="str">
            <v>Ngilo - ilo</v>
          </cell>
          <cell r="C205">
            <v>350602019</v>
          </cell>
          <cell r="D205">
            <v>5</v>
          </cell>
          <cell r="E205">
            <v>37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1</v>
          </cell>
          <cell r="M205">
            <v>12</v>
          </cell>
          <cell r="N205">
            <v>30</v>
          </cell>
          <cell r="O205">
            <v>44</v>
          </cell>
          <cell r="P205">
            <v>41</v>
          </cell>
          <cell r="Q205">
            <v>2</v>
          </cell>
          <cell r="R205">
            <v>2</v>
          </cell>
          <cell r="S205">
            <v>25</v>
          </cell>
          <cell r="T205">
            <v>21</v>
          </cell>
          <cell r="U205">
            <v>37</v>
          </cell>
          <cell r="V205">
            <v>28</v>
          </cell>
          <cell r="W205">
            <v>17</v>
          </cell>
          <cell r="X205">
            <v>21</v>
          </cell>
          <cell r="Y205">
            <v>5</v>
          </cell>
          <cell r="Z205">
            <v>20</v>
          </cell>
          <cell r="AA205">
            <v>1</v>
          </cell>
          <cell r="AB205">
            <v>0</v>
          </cell>
          <cell r="AC205">
            <v>10</v>
          </cell>
          <cell r="AD205">
            <v>51</v>
          </cell>
          <cell r="AE205">
            <v>1</v>
          </cell>
          <cell r="AF205">
            <v>48</v>
          </cell>
          <cell r="AG205">
            <v>1</v>
          </cell>
          <cell r="AH205">
            <v>2</v>
          </cell>
          <cell r="AI205">
            <v>462</v>
          </cell>
          <cell r="AJ205">
            <v>51</v>
          </cell>
          <cell r="AK205">
            <v>24</v>
          </cell>
        </row>
        <row r="206">
          <cell r="A206">
            <v>199</v>
          </cell>
          <cell r="B206" t="str">
            <v>Sumoroto</v>
          </cell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10</v>
          </cell>
          <cell r="N206">
            <v>25</v>
          </cell>
          <cell r="O206">
            <v>38</v>
          </cell>
          <cell r="P206">
            <v>15</v>
          </cell>
          <cell r="Q206">
            <v>25</v>
          </cell>
          <cell r="R206">
            <v>10</v>
          </cell>
          <cell r="S206">
            <v>8</v>
          </cell>
          <cell r="T206">
            <v>15</v>
          </cell>
          <cell r="U206">
            <v>19</v>
          </cell>
          <cell r="V206">
            <v>0</v>
          </cell>
          <cell r="W206">
            <v>5</v>
          </cell>
          <cell r="X206">
            <v>25</v>
          </cell>
          <cell r="Y206">
            <v>43</v>
          </cell>
          <cell r="Z206">
            <v>15</v>
          </cell>
          <cell r="AA206">
            <v>0</v>
          </cell>
          <cell r="AB206">
            <v>0</v>
          </cell>
          <cell r="AC206">
            <v>14</v>
          </cell>
          <cell r="AD206">
            <v>0</v>
          </cell>
          <cell r="AE206">
            <v>16</v>
          </cell>
          <cell r="AF206">
            <v>0</v>
          </cell>
          <cell r="AG206">
            <v>0</v>
          </cell>
          <cell r="AH206">
            <v>0</v>
          </cell>
          <cell r="AI206">
            <v>283</v>
          </cell>
          <cell r="AJ206">
            <v>43</v>
          </cell>
          <cell r="AK206">
            <v>15</v>
          </cell>
        </row>
        <row r="207">
          <cell r="A207">
            <v>200</v>
          </cell>
          <cell r="B207" t="str">
            <v>Badegan</v>
          </cell>
          <cell r="C207">
            <v>350602021</v>
          </cell>
          <cell r="D207">
            <v>2</v>
          </cell>
          <cell r="E207">
            <v>1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14</v>
          </cell>
          <cell r="N207">
            <v>6</v>
          </cell>
          <cell r="O207">
            <v>21</v>
          </cell>
          <cell r="P207">
            <v>12</v>
          </cell>
          <cell r="Q207">
            <v>4</v>
          </cell>
          <cell r="R207">
            <v>0</v>
          </cell>
          <cell r="S207">
            <v>4</v>
          </cell>
          <cell r="T207">
            <v>18</v>
          </cell>
          <cell r="U207">
            <v>13</v>
          </cell>
          <cell r="V207">
            <v>1</v>
          </cell>
          <cell r="W207">
            <v>5</v>
          </cell>
          <cell r="X207">
            <v>33</v>
          </cell>
          <cell r="Y207">
            <v>31</v>
          </cell>
          <cell r="Z207">
            <v>17</v>
          </cell>
          <cell r="AA207">
            <v>0</v>
          </cell>
          <cell r="AB207">
            <v>0</v>
          </cell>
          <cell r="AC207">
            <v>1</v>
          </cell>
          <cell r="AD207">
            <v>0</v>
          </cell>
          <cell r="AE207">
            <v>10</v>
          </cell>
          <cell r="AF207">
            <v>0</v>
          </cell>
          <cell r="AG207">
            <v>1</v>
          </cell>
          <cell r="AH207">
            <v>0</v>
          </cell>
          <cell r="AI207">
            <v>194</v>
          </cell>
          <cell r="AJ207">
            <v>33</v>
          </cell>
          <cell r="AK207">
            <v>18</v>
          </cell>
        </row>
        <row r="208">
          <cell r="A208">
            <v>201</v>
          </cell>
          <cell r="B208" t="str">
            <v>Pohijo</v>
          </cell>
          <cell r="C208">
            <v>350602022</v>
          </cell>
          <cell r="D208">
            <v>0</v>
          </cell>
          <cell r="E208">
            <v>0</v>
          </cell>
          <cell r="F208">
            <v>8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7</v>
          </cell>
          <cell r="N208">
            <v>10</v>
          </cell>
          <cell r="O208">
            <v>62</v>
          </cell>
          <cell r="P208">
            <v>52</v>
          </cell>
          <cell r="Q208">
            <v>10</v>
          </cell>
          <cell r="R208">
            <v>0</v>
          </cell>
          <cell r="S208">
            <v>8</v>
          </cell>
          <cell r="T208">
            <v>3</v>
          </cell>
          <cell r="U208">
            <v>12</v>
          </cell>
          <cell r="V208">
            <v>2</v>
          </cell>
          <cell r="W208">
            <v>7</v>
          </cell>
          <cell r="X208">
            <v>23</v>
          </cell>
          <cell r="Y208">
            <v>8</v>
          </cell>
          <cell r="Z208">
            <v>14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5</v>
          </cell>
          <cell r="AG208">
            <v>8</v>
          </cell>
          <cell r="AH208">
            <v>0</v>
          </cell>
          <cell r="AI208">
            <v>239</v>
          </cell>
          <cell r="AJ208">
            <v>62</v>
          </cell>
          <cell r="AK208">
            <v>16</v>
          </cell>
        </row>
        <row r="209">
          <cell r="A209">
            <v>202</v>
          </cell>
          <cell r="B209" t="str">
            <v>Ngrayun</v>
          </cell>
          <cell r="C209">
            <v>350602023</v>
          </cell>
          <cell r="D209">
            <v>3</v>
          </cell>
          <cell r="E209">
            <v>5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4</v>
          </cell>
          <cell r="N209">
            <v>34</v>
          </cell>
          <cell r="O209">
            <v>8</v>
          </cell>
          <cell r="P209">
            <v>39</v>
          </cell>
          <cell r="Q209">
            <v>16</v>
          </cell>
          <cell r="R209">
            <v>67</v>
          </cell>
          <cell r="S209">
            <v>12</v>
          </cell>
          <cell r="T209">
            <v>0</v>
          </cell>
          <cell r="U209">
            <v>13</v>
          </cell>
          <cell r="V209">
            <v>0</v>
          </cell>
          <cell r="W209">
            <v>6</v>
          </cell>
          <cell r="X209">
            <v>26</v>
          </cell>
          <cell r="Y209">
            <v>0</v>
          </cell>
          <cell r="Z209">
            <v>2</v>
          </cell>
          <cell r="AA209">
            <v>0</v>
          </cell>
          <cell r="AB209">
            <v>0</v>
          </cell>
          <cell r="AC209">
            <v>1</v>
          </cell>
          <cell r="AD209">
            <v>5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241</v>
          </cell>
          <cell r="AJ209">
            <v>67</v>
          </cell>
          <cell r="AK209">
            <v>15</v>
          </cell>
        </row>
        <row r="210">
          <cell r="A210">
            <v>203</v>
          </cell>
          <cell r="B210" t="str">
            <v>Pacitan</v>
          </cell>
          <cell r="C210">
            <v>350601001</v>
          </cell>
          <cell r="D210">
            <v>5.5</v>
          </cell>
          <cell r="E210">
            <v>10</v>
          </cell>
          <cell r="F210">
            <v>7</v>
          </cell>
          <cell r="G210">
            <v>1.5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8.5</v>
          </cell>
          <cell r="M210">
            <v>23.5</v>
          </cell>
          <cell r="N210">
            <v>3</v>
          </cell>
          <cell r="O210">
            <v>19</v>
          </cell>
          <cell r="P210">
            <v>7</v>
          </cell>
          <cell r="Q210">
            <v>12</v>
          </cell>
          <cell r="R210">
            <v>0</v>
          </cell>
          <cell r="S210">
            <v>0</v>
          </cell>
          <cell r="T210">
            <v>0</v>
          </cell>
          <cell r="U210">
            <v>24</v>
          </cell>
          <cell r="V210">
            <v>16.5</v>
          </cell>
          <cell r="W210">
            <v>63.5</v>
          </cell>
          <cell r="X210">
            <v>30.5</v>
          </cell>
          <cell r="Y210">
            <v>0</v>
          </cell>
          <cell r="Z210">
            <v>0</v>
          </cell>
          <cell r="AA210">
            <v>1</v>
          </cell>
          <cell r="AB210">
            <v>0</v>
          </cell>
          <cell r="AC210">
            <v>5.5</v>
          </cell>
          <cell r="AD210">
            <v>6</v>
          </cell>
          <cell r="AE210">
            <v>5</v>
          </cell>
          <cell r="AF210">
            <v>1</v>
          </cell>
          <cell r="AG210">
            <v>12</v>
          </cell>
          <cell r="AH210">
            <v>0</v>
          </cell>
          <cell r="AI210">
            <v>262</v>
          </cell>
          <cell r="AJ210">
            <v>63.5</v>
          </cell>
          <cell r="AK210">
            <v>20</v>
          </cell>
        </row>
        <row r="211">
          <cell r="A211">
            <v>204</v>
          </cell>
          <cell r="B211" t="str">
            <v>Kebonagung</v>
          </cell>
          <cell r="C211">
            <v>350601002</v>
          </cell>
          <cell r="D211">
            <v>12</v>
          </cell>
          <cell r="E211">
            <v>1</v>
          </cell>
          <cell r="F211">
            <v>6</v>
          </cell>
          <cell r="G211">
            <v>3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7</v>
          </cell>
          <cell r="M211">
            <v>29</v>
          </cell>
          <cell r="N211">
            <v>0</v>
          </cell>
          <cell r="O211">
            <v>28</v>
          </cell>
          <cell r="P211">
            <v>13</v>
          </cell>
          <cell r="Q211">
            <v>3</v>
          </cell>
          <cell r="R211">
            <v>0</v>
          </cell>
          <cell r="S211">
            <v>0</v>
          </cell>
          <cell r="T211">
            <v>0</v>
          </cell>
          <cell r="U211">
            <v>25</v>
          </cell>
          <cell r="V211">
            <v>5</v>
          </cell>
          <cell r="W211">
            <v>100</v>
          </cell>
          <cell r="X211">
            <v>17</v>
          </cell>
          <cell r="Y211">
            <v>0</v>
          </cell>
          <cell r="Z211">
            <v>0</v>
          </cell>
          <cell r="AA211">
            <v>5</v>
          </cell>
          <cell r="AB211">
            <v>0</v>
          </cell>
          <cell r="AC211">
            <v>16</v>
          </cell>
          <cell r="AD211">
            <v>5</v>
          </cell>
          <cell r="AE211">
            <v>4</v>
          </cell>
          <cell r="AF211">
            <v>0</v>
          </cell>
          <cell r="AG211">
            <v>12</v>
          </cell>
          <cell r="AH211">
            <v>2</v>
          </cell>
          <cell r="AI211">
            <v>293</v>
          </cell>
          <cell r="AJ211">
            <v>100</v>
          </cell>
          <cell r="AK211">
            <v>19</v>
          </cell>
        </row>
        <row r="212">
          <cell r="A212">
            <v>205</v>
          </cell>
          <cell r="B212" t="str">
            <v>Arjosari</v>
          </cell>
          <cell r="C212">
            <v>350601003</v>
          </cell>
          <cell r="D212">
            <v>6</v>
          </cell>
          <cell r="E212">
            <v>16</v>
          </cell>
          <cell r="F212">
            <v>1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21</v>
          </cell>
          <cell r="M212">
            <v>10</v>
          </cell>
          <cell r="N212">
            <v>0</v>
          </cell>
          <cell r="O212">
            <v>0</v>
          </cell>
          <cell r="P212">
            <v>13</v>
          </cell>
          <cell r="Q212">
            <v>3</v>
          </cell>
          <cell r="R212">
            <v>0</v>
          </cell>
          <cell r="S212">
            <v>0</v>
          </cell>
          <cell r="T212">
            <v>25</v>
          </cell>
          <cell r="U212">
            <v>20</v>
          </cell>
          <cell r="V212">
            <v>10</v>
          </cell>
          <cell r="W212">
            <v>5</v>
          </cell>
          <cell r="X212">
            <v>29</v>
          </cell>
          <cell r="Y212">
            <v>0</v>
          </cell>
          <cell r="Z212">
            <v>9</v>
          </cell>
          <cell r="AA212">
            <v>0</v>
          </cell>
          <cell r="AB212">
            <v>4</v>
          </cell>
          <cell r="AC212">
            <v>0</v>
          </cell>
          <cell r="AD212">
            <v>6</v>
          </cell>
          <cell r="AE212">
            <v>4</v>
          </cell>
          <cell r="AF212">
            <v>5</v>
          </cell>
          <cell r="AG212">
            <v>3</v>
          </cell>
          <cell r="AH212">
            <v>0</v>
          </cell>
          <cell r="AI212">
            <v>190</v>
          </cell>
          <cell r="AJ212">
            <v>29</v>
          </cell>
          <cell r="AK212">
            <v>18</v>
          </cell>
        </row>
        <row r="213">
          <cell r="A213">
            <v>206</v>
          </cell>
          <cell r="B213" t="str">
            <v>Kerti</v>
          </cell>
          <cell r="C213">
            <v>350601004</v>
          </cell>
          <cell r="D213">
            <v>2</v>
          </cell>
          <cell r="E213">
            <v>5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5</v>
          </cell>
          <cell r="M213">
            <v>3</v>
          </cell>
          <cell r="N213">
            <v>0</v>
          </cell>
          <cell r="O213">
            <v>10</v>
          </cell>
          <cell r="P213">
            <v>21</v>
          </cell>
          <cell r="Q213">
            <v>36</v>
          </cell>
          <cell r="R213">
            <v>0</v>
          </cell>
          <cell r="S213">
            <v>0</v>
          </cell>
          <cell r="T213">
            <v>20</v>
          </cell>
          <cell r="U213">
            <v>15</v>
          </cell>
          <cell r="V213">
            <v>12</v>
          </cell>
          <cell r="W213">
            <v>4</v>
          </cell>
          <cell r="X213">
            <v>50</v>
          </cell>
          <cell r="Y213">
            <v>25</v>
          </cell>
          <cell r="Z213">
            <v>10</v>
          </cell>
          <cell r="AA213">
            <v>0</v>
          </cell>
          <cell r="AB213">
            <v>0</v>
          </cell>
          <cell r="AC213">
            <v>5</v>
          </cell>
          <cell r="AD213">
            <v>7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230</v>
          </cell>
          <cell r="AJ213">
            <v>50</v>
          </cell>
          <cell r="AK213">
            <v>16</v>
          </cell>
        </row>
        <row r="214">
          <cell r="A214">
            <v>207</v>
          </cell>
          <cell r="B214" t="str">
            <v>Punung</v>
          </cell>
          <cell r="C214">
            <v>350601005</v>
          </cell>
          <cell r="D214">
            <v>5</v>
          </cell>
          <cell r="E214">
            <v>7</v>
          </cell>
          <cell r="F214">
            <v>0</v>
          </cell>
          <cell r="G214">
            <v>4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7</v>
          </cell>
          <cell r="M214">
            <v>18</v>
          </cell>
          <cell r="N214">
            <v>4</v>
          </cell>
          <cell r="O214">
            <v>0</v>
          </cell>
          <cell r="P214">
            <v>0</v>
          </cell>
          <cell r="Q214">
            <v>24</v>
          </cell>
          <cell r="R214">
            <v>0</v>
          </cell>
          <cell r="S214">
            <v>0</v>
          </cell>
          <cell r="T214">
            <v>0</v>
          </cell>
          <cell r="U214">
            <v>14</v>
          </cell>
          <cell r="V214">
            <v>15</v>
          </cell>
          <cell r="W214">
            <v>54</v>
          </cell>
          <cell r="X214">
            <v>52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5</v>
          </cell>
          <cell r="AD214">
            <v>6</v>
          </cell>
          <cell r="AE214">
            <v>2</v>
          </cell>
          <cell r="AF214">
            <v>5</v>
          </cell>
          <cell r="AG214">
            <v>0</v>
          </cell>
          <cell r="AH214">
            <v>0</v>
          </cell>
          <cell r="AI214">
            <v>222</v>
          </cell>
          <cell r="AJ214">
            <v>54</v>
          </cell>
          <cell r="AK214">
            <v>15</v>
          </cell>
        </row>
        <row r="215">
          <cell r="A215">
            <v>208</v>
          </cell>
          <cell r="B215" t="str">
            <v>Pringkuku</v>
          </cell>
          <cell r="C215">
            <v>350601006</v>
          </cell>
          <cell r="D215">
            <v>3</v>
          </cell>
          <cell r="E215">
            <v>9</v>
          </cell>
          <cell r="F215">
            <v>2</v>
          </cell>
          <cell r="G215">
            <v>4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10</v>
          </cell>
          <cell r="M215">
            <v>24</v>
          </cell>
          <cell r="N215">
            <v>0</v>
          </cell>
          <cell r="O215">
            <v>7</v>
          </cell>
          <cell r="P215">
            <v>19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19</v>
          </cell>
          <cell r="V215">
            <v>27</v>
          </cell>
          <cell r="W215">
            <v>73</v>
          </cell>
          <cell r="X215">
            <v>34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12</v>
          </cell>
          <cell r="AD215">
            <v>13</v>
          </cell>
          <cell r="AE215">
            <v>6</v>
          </cell>
          <cell r="AF215">
            <v>0</v>
          </cell>
          <cell r="AG215">
            <v>3</v>
          </cell>
          <cell r="AH215">
            <v>0</v>
          </cell>
          <cell r="AI215">
            <v>265</v>
          </cell>
          <cell r="AJ215">
            <v>73</v>
          </cell>
          <cell r="AK215">
            <v>16</v>
          </cell>
        </row>
        <row r="216">
          <cell r="A216">
            <v>209</v>
          </cell>
          <cell r="B216" t="str">
            <v>Donorojo</v>
          </cell>
          <cell r="C216">
            <v>350601007</v>
          </cell>
          <cell r="D216">
            <v>0</v>
          </cell>
          <cell r="E216">
            <v>5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10</v>
          </cell>
          <cell r="M216">
            <v>5</v>
          </cell>
          <cell r="N216">
            <v>0</v>
          </cell>
          <cell r="O216">
            <v>5</v>
          </cell>
          <cell r="P216">
            <v>5</v>
          </cell>
          <cell r="Q216">
            <v>0</v>
          </cell>
          <cell r="R216">
            <v>0</v>
          </cell>
          <cell r="S216">
            <v>0</v>
          </cell>
          <cell r="T216">
            <v>10</v>
          </cell>
          <cell r="U216">
            <v>5</v>
          </cell>
          <cell r="V216">
            <v>0</v>
          </cell>
          <cell r="W216">
            <v>25</v>
          </cell>
          <cell r="X216">
            <v>30</v>
          </cell>
          <cell r="Y216">
            <v>0</v>
          </cell>
          <cell r="Z216">
            <v>5</v>
          </cell>
          <cell r="AA216">
            <v>0</v>
          </cell>
          <cell r="AB216">
            <v>5</v>
          </cell>
          <cell r="AC216">
            <v>20</v>
          </cell>
          <cell r="AD216">
            <v>0</v>
          </cell>
          <cell r="AE216">
            <v>0</v>
          </cell>
          <cell r="AF216">
            <v>5</v>
          </cell>
          <cell r="AG216">
            <v>0</v>
          </cell>
          <cell r="AH216">
            <v>0</v>
          </cell>
          <cell r="AI216">
            <v>135</v>
          </cell>
          <cell r="AJ216">
            <v>30</v>
          </cell>
          <cell r="AK216">
            <v>13</v>
          </cell>
        </row>
        <row r="217">
          <cell r="A217">
            <v>210</v>
          </cell>
          <cell r="B217" t="str">
            <v>Ngadirojo</v>
          </cell>
          <cell r="C217">
            <v>350601008</v>
          </cell>
          <cell r="D217">
            <v>13</v>
          </cell>
          <cell r="E217">
            <v>0</v>
          </cell>
          <cell r="F217">
            <v>0</v>
          </cell>
          <cell r="G217">
            <v>6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17</v>
          </cell>
          <cell r="N217">
            <v>0</v>
          </cell>
          <cell r="O217">
            <v>2</v>
          </cell>
          <cell r="P217">
            <v>23</v>
          </cell>
          <cell r="Q217">
            <v>8</v>
          </cell>
          <cell r="R217">
            <v>0</v>
          </cell>
          <cell r="S217">
            <v>39</v>
          </cell>
          <cell r="T217">
            <v>0</v>
          </cell>
          <cell r="U217">
            <v>30</v>
          </cell>
          <cell r="V217">
            <v>30</v>
          </cell>
          <cell r="W217">
            <v>22</v>
          </cell>
          <cell r="X217">
            <v>16</v>
          </cell>
          <cell r="Y217">
            <v>0</v>
          </cell>
          <cell r="Z217">
            <v>2</v>
          </cell>
          <cell r="AA217">
            <v>2</v>
          </cell>
          <cell r="AB217">
            <v>0</v>
          </cell>
          <cell r="AC217">
            <v>7</v>
          </cell>
          <cell r="AD217">
            <v>4</v>
          </cell>
          <cell r="AE217">
            <v>25</v>
          </cell>
          <cell r="AF217">
            <v>6</v>
          </cell>
          <cell r="AG217">
            <v>9</v>
          </cell>
          <cell r="AH217">
            <v>0</v>
          </cell>
          <cell r="AI217">
            <v>261</v>
          </cell>
          <cell r="AJ217">
            <v>39</v>
          </cell>
          <cell r="AK217">
            <v>18</v>
          </cell>
        </row>
        <row r="218">
          <cell r="A218">
            <v>211</v>
          </cell>
          <cell r="B218" t="str">
            <v>Tulakan</v>
          </cell>
          <cell r="C218">
            <v>350601009</v>
          </cell>
          <cell r="D218">
            <v>9</v>
          </cell>
          <cell r="E218">
            <v>11</v>
          </cell>
          <cell r="F218">
            <v>1</v>
          </cell>
          <cell r="G218">
            <v>3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10</v>
          </cell>
          <cell r="N218">
            <v>0</v>
          </cell>
          <cell r="O218">
            <v>6</v>
          </cell>
          <cell r="P218">
            <v>10</v>
          </cell>
          <cell r="Q218">
            <v>4</v>
          </cell>
          <cell r="R218">
            <v>0</v>
          </cell>
          <cell r="S218">
            <v>2</v>
          </cell>
          <cell r="T218">
            <v>0</v>
          </cell>
          <cell r="U218">
            <v>4</v>
          </cell>
          <cell r="V218">
            <v>29</v>
          </cell>
          <cell r="W218">
            <v>12</v>
          </cell>
          <cell r="X218">
            <v>11</v>
          </cell>
          <cell r="Y218">
            <v>0</v>
          </cell>
          <cell r="Z218">
            <v>7</v>
          </cell>
          <cell r="AA218">
            <v>0</v>
          </cell>
          <cell r="AB218">
            <v>0</v>
          </cell>
          <cell r="AC218">
            <v>6</v>
          </cell>
          <cell r="AD218">
            <v>0</v>
          </cell>
          <cell r="AE218">
            <v>32</v>
          </cell>
          <cell r="AF218">
            <v>15</v>
          </cell>
          <cell r="AG218">
            <v>2</v>
          </cell>
          <cell r="AH218">
            <v>0</v>
          </cell>
          <cell r="AI218">
            <v>174</v>
          </cell>
          <cell r="AJ218">
            <v>32</v>
          </cell>
          <cell r="AK218">
            <v>18</v>
          </cell>
        </row>
        <row r="219">
          <cell r="A219">
            <v>212</v>
          </cell>
          <cell r="B219" t="str">
            <v>Sudimoro</v>
          </cell>
          <cell r="C219">
            <v>350601010</v>
          </cell>
          <cell r="D219">
            <v>6</v>
          </cell>
          <cell r="E219">
            <v>11</v>
          </cell>
          <cell r="F219">
            <v>2</v>
          </cell>
          <cell r="G219">
            <v>1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27</v>
          </cell>
          <cell r="N219">
            <v>4</v>
          </cell>
          <cell r="O219">
            <v>4</v>
          </cell>
          <cell r="P219">
            <v>45</v>
          </cell>
          <cell r="Q219">
            <v>17</v>
          </cell>
          <cell r="R219">
            <v>0</v>
          </cell>
          <cell r="S219">
            <v>22</v>
          </cell>
          <cell r="T219">
            <v>0</v>
          </cell>
          <cell r="U219">
            <v>22</v>
          </cell>
          <cell r="V219">
            <v>49</v>
          </cell>
          <cell r="W219">
            <v>19</v>
          </cell>
          <cell r="X219">
            <v>34</v>
          </cell>
          <cell r="Y219">
            <v>0</v>
          </cell>
          <cell r="Z219">
            <v>2</v>
          </cell>
          <cell r="AA219">
            <v>3</v>
          </cell>
          <cell r="AB219">
            <v>0</v>
          </cell>
          <cell r="AC219">
            <v>8</v>
          </cell>
          <cell r="AD219">
            <v>1</v>
          </cell>
          <cell r="AE219">
            <v>21</v>
          </cell>
          <cell r="AF219">
            <v>13</v>
          </cell>
          <cell r="AG219">
            <v>6</v>
          </cell>
          <cell r="AH219">
            <v>0</v>
          </cell>
          <cell r="AI219">
            <v>317</v>
          </cell>
          <cell r="AJ219">
            <v>49</v>
          </cell>
          <cell r="AK219">
            <v>21</v>
          </cell>
        </row>
        <row r="220">
          <cell r="A220">
            <v>213</v>
          </cell>
          <cell r="B220" t="str">
            <v>Tegalombo</v>
          </cell>
          <cell r="C220">
            <v>350601011</v>
          </cell>
          <cell r="D220">
            <v>13</v>
          </cell>
          <cell r="E220">
            <v>7</v>
          </cell>
          <cell r="F220">
            <v>2</v>
          </cell>
          <cell r="G220">
            <v>1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7</v>
          </cell>
          <cell r="N220">
            <v>1</v>
          </cell>
          <cell r="O220">
            <v>15</v>
          </cell>
          <cell r="P220">
            <v>18</v>
          </cell>
          <cell r="Q220">
            <v>3.5</v>
          </cell>
          <cell r="R220">
            <v>0</v>
          </cell>
          <cell r="S220">
            <v>6</v>
          </cell>
          <cell r="T220">
            <v>0</v>
          </cell>
          <cell r="U220">
            <v>8</v>
          </cell>
          <cell r="V220">
            <v>2</v>
          </cell>
          <cell r="W220">
            <v>28</v>
          </cell>
          <cell r="X220">
            <v>37</v>
          </cell>
          <cell r="Y220">
            <v>1</v>
          </cell>
          <cell r="Z220">
            <v>11</v>
          </cell>
          <cell r="AA220">
            <v>2</v>
          </cell>
          <cell r="AB220">
            <v>0</v>
          </cell>
          <cell r="AC220">
            <v>5</v>
          </cell>
          <cell r="AD220">
            <v>15</v>
          </cell>
          <cell r="AE220">
            <v>9</v>
          </cell>
          <cell r="AF220">
            <v>1</v>
          </cell>
          <cell r="AG220">
            <v>1</v>
          </cell>
          <cell r="AH220">
            <v>1</v>
          </cell>
          <cell r="AI220">
            <v>194.5</v>
          </cell>
          <cell r="AJ220">
            <v>37</v>
          </cell>
          <cell r="AK220">
            <v>23</v>
          </cell>
        </row>
        <row r="221">
          <cell r="A221">
            <v>214</v>
          </cell>
          <cell r="B221" t="str">
            <v>Tahunan</v>
          </cell>
          <cell r="C221">
            <v>350601012</v>
          </cell>
          <cell r="D221">
            <v>13</v>
          </cell>
          <cell r="E221">
            <v>8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9</v>
          </cell>
          <cell r="M221">
            <v>11</v>
          </cell>
          <cell r="N221">
            <v>10</v>
          </cell>
          <cell r="O221">
            <v>13</v>
          </cell>
          <cell r="P221">
            <v>15</v>
          </cell>
          <cell r="Q221">
            <v>21</v>
          </cell>
          <cell r="R221">
            <v>0</v>
          </cell>
          <cell r="S221">
            <v>2</v>
          </cell>
          <cell r="T221">
            <v>2</v>
          </cell>
          <cell r="U221">
            <v>21</v>
          </cell>
          <cell r="V221">
            <v>5</v>
          </cell>
          <cell r="W221">
            <v>16</v>
          </cell>
          <cell r="X221">
            <v>33</v>
          </cell>
          <cell r="Y221">
            <v>0</v>
          </cell>
          <cell r="Z221">
            <v>5</v>
          </cell>
          <cell r="AA221">
            <v>3</v>
          </cell>
          <cell r="AB221">
            <v>0</v>
          </cell>
          <cell r="AC221">
            <v>1</v>
          </cell>
          <cell r="AD221">
            <v>13</v>
          </cell>
          <cell r="AE221">
            <v>3</v>
          </cell>
          <cell r="AF221">
            <v>1</v>
          </cell>
          <cell r="AG221">
            <v>0</v>
          </cell>
          <cell r="AH221">
            <v>0</v>
          </cell>
          <cell r="AI221">
            <v>205</v>
          </cell>
          <cell r="AJ221">
            <v>33</v>
          </cell>
          <cell r="AK221">
            <v>20</v>
          </cell>
        </row>
        <row r="222">
          <cell r="A222">
            <v>215</v>
          </cell>
          <cell r="B222" t="str">
            <v>Bandar</v>
          </cell>
          <cell r="C222">
            <v>350601013</v>
          </cell>
          <cell r="D222">
            <v>2</v>
          </cell>
          <cell r="E222">
            <v>4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5</v>
          </cell>
          <cell r="M222">
            <v>30</v>
          </cell>
          <cell r="N222">
            <v>40</v>
          </cell>
          <cell r="O222">
            <v>14</v>
          </cell>
          <cell r="P222">
            <v>13</v>
          </cell>
          <cell r="Q222">
            <v>17</v>
          </cell>
          <cell r="R222">
            <v>0</v>
          </cell>
          <cell r="S222">
            <v>8</v>
          </cell>
          <cell r="T222">
            <v>3</v>
          </cell>
          <cell r="U222">
            <v>16</v>
          </cell>
          <cell r="V222">
            <v>19</v>
          </cell>
          <cell r="W222">
            <v>53</v>
          </cell>
          <cell r="X222">
            <v>39</v>
          </cell>
          <cell r="Y222">
            <v>0</v>
          </cell>
          <cell r="Z222">
            <v>8</v>
          </cell>
          <cell r="AA222">
            <v>0</v>
          </cell>
          <cell r="AB222">
            <v>0</v>
          </cell>
          <cell r="AC222">
            <v>2</v>
          </cell>
          <cell r="AD222">
            <v>30</v>
          </cell>
          <cell r="AE222">
            <v>0</v>
          </cell>
          <cell r="AF222">
            <v>0</v>
          </cell>
          <cell r="AG222">
            <v>4</v>
          </cell>
          <cell r="AH222">
            <v>0</v>
          </cell>
          <cell r="AI222">
            <v>307</v>
          </cell>
          <cell r="AJ222">
            <v>53</v>
          </cell>
          <cell r="AK222">
            <v>18</v>
          </cell>
        </row>
        <row r="223">
          <cell r="A223">
            <v>216</v>
          </cell>
          <cell r="B223" t="str">
            <v>Nawangan</v>
          </cell>
          <cell r="C223">
            <v>350601014</v>
          </cell>
          <cell r="D223">
            <v>7</v>
          </cell>
          <cell r="E223">
            <v>0</v>
          </cell>
          <cell r="F223">
            <v>1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4</v>
          </cell>
          <cell r="M223">
            <v>48</v>
          </cell>
          <cell r="N223">
            <v>0</v>
          </cell>
          <cell r="O223">
            <v>10</v>
          </cell>
          <cell r="P223">
            <v>30</v>
          </cell>
          <cell r="Q223">
            <v>3</v>
          </cell>
          <cell r="R223">
            <v>0</v>
          </cell>
          <cell r="S223">
            <v>4</v>
          </cell>
          <cell r="T223">
            <v>3</v>
          </cell>
          <cell r="U223">
            <v>11</v>
          </cell>
          <cell r="V223">
            <v>3</v>
          </cell>
          <cell r="W223">
            <v>17</v>
          </cell>
          <cell r="X223">
            <v>32</v>
          </cell>
          <cell r="Y223">
            <v>2</v>
          </cell>
          <cell r="Z223">
            <v>5</v>
          </cell>
          <cell r="AA223">
            <v>2</v>
          </cell>
          <cell r="AB223">
            <v>0</v>
          </cell>
          <cell r="AC223">
            <v>2</v>
          </cell>
          <cell r="AD223">
            <v>26</v>
          </cell>
          <cell r="AE223">
            <v>6</v>
          </cell>
          <cell r="AF223">
            <v>3</v>
          </cell>
          <cell r="AG223">
            <v>0</v>
          </cell>
          <cell r="AH223">
            <v>0</v>
          </cell>
          <cell r="AI223">
            <v>219</v>
          </cell>
          <cell r="AJ223">
            <v>48</v>
          </cell>
          <cell r="AK223">
            <v>20</v>
          </cell>
        </row>
        <row r="224">
          <cell r="A224">
            <v>217</v>
          </cell>
          <cell r="B224" t="str">
            <v>Tinatar</v>
          </cell>
          <cell r="C224">
            <v>350601015</v>
          </cell>
          <cell r="D224">
            <v>6</v>
          </cell>
          <cell r="E224">
            <v>3</v>
          </cell>
          <cell r="F224">
            <v>5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11</v>
          </cell>
          <cell r="M224">
            <v>14</v>
          </cell>
          <cell r="N224">
            <v>0</v>
          </cell>
          <cell r="O224">
            <v>0</v>
          </cell>
          <cell r="P224">
            <v>14</v>
          </cell>
          <cell r="Q224">
            <v>0</v>
          </cell>
          <cell r="R224">
            <v>4</v>
          </cell>
          <cell r="S224">
            <v>0</v>
          </cell>
          <cell r="T224">
            <v>20</v>
          </cell>
          <cell r="U224">
            <v>23</v>
          </cell>
          <cell r="V224">
            <v>12</v>
          </cell>
          <cell r="W224">
            <v>9</v>
          </cell>
          <cell r="X224">
            <v>16</v>
          </cell>
          <cell r="Y224">
            <v>0</v>
          </cell>
          <cell r="Z224">
            <v>0</v>
          </cell>
          <cell r="AA224">
            <v>1</v>
          </cell>
          <cell r="AB224">
            <v>0</v>
          </cell>
          <cell r="AC224">
            <v>0</v>
          </cell>
          <cell r="AD224">
            <v>10</v>
          </cell>
          <cell r="AE224">
            <v>4</v>
          </cell>
          <cell r="AF224">
            <v>0</v>
          </cell>
          <cell r="AG224">
            <v>9</v>
          </cell>
          <cell r="AH224">
            <v>0</v>
          </cell>
          <cell r="AI224">
            <v>161</v>
          </cell>
          <cell r="AJ224">
            <v>23</v>
          </cell>
          <cell r="AK224">
            <v>16</v>
          </cell>
        </row>
        <row r="225">
          <cell r="A225">
            <v>218</v>
          </cell>
          <cell r="B225" t="str">
            <v>Lowayu</v>
          </cell>
          <cell r="C225">
            <v>350125006</v>
          </cell>
          <cell r="D225">
            <v>1</v>
          </cell>
          <cell r="E225">
            <v>3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10</v>
          </cell>
          <cell r="M225">
            <v>8</v>
          </cell>
          <cell r="N225">
            <v>1</v>
          </cell>
          <cell r="O225">
            <v>51</v>
          </cell>
          <cell r="P225">
            <v>9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92</v>
          </cell>
          <cell r="W225">
            <v>47</v>
          </cell>
          <cell r="X225">
            <v>38</v>
          </cell>
          <cell r="Y225">
            <v>0</v>
          </cell>
          <cell r="Z225">
            <v>18</v>
          </cell>
          <cell r="AA225">
            <v>6</v>
          </cell>
          <cell r="AB225">
            <v>0</v>
          </cell>
          <cell r="AC225">
            <v>0</v>
          </cell>
          <cell r="AD225">
            <v>0</v>
          </cell>
          <cell r="AE225">
            <v>9</v>
          </cell>
          <cell r="AF225">
            <v>20</v>
          </cell>
          <cell r="AG225">
            <v>4</v>
          </cell>
          <cell r="AH225">
            <v>44</v>
          </cell>
          <cell r="AI225">
            <v>361</v>
          </cell>
          <cell r="AJ225">
            <v>92</v>
          </cell>
          <cell r="AK225">
            <v>16</v>
          </cell>
        </row>
        <row r="226">
          <cell r="A226">
            <v>219</v>
          </cell>
          <cell r="B226" t="str">
            <v>Menganti</v>
          </cell>
          <cell r="C226">
            <v>350125007</v>
          </cell>
          <cell r="D226">
            <v>10</v>
          </cell>
          <cell r="E226">
            <v>5</v>
          </cell>
          <cell r="F226">
            <v>10</v>
          </cell>
          <cell r="G226">
            <v>0</v>
          </cell>
          <cell r="H226">
            <v>15</v>
          </cell>
          <cell r="I226">
            <v>0</v>
          </cell>
          <cell r="J226">
            <v>0</v>
          </cell>
          <cell r="K226">
            <v>10</v>
          </cell>
          <cell r="L226">
            <v>0</v>
          </cell>
          <cell r="M226">
            <v>7</v>
          </cell>
          <cell r="N226">
            <v>0</v>
          </cell>
          <cell r="O226">
            <v>55</v>
          </cell>
          <cell r="P226">
            <v>10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3</v>
          </cell>
          <cell r="V226">
            <v>33</v>
          </cell>
          <cell r="W226">
            <v>15</v>
          </cell>
          <cell r="X226">
            <v>55</v>
          </cell>
          <cell r="Y226">
            <v>0</v>
          </cell>
          <cell r="Z226">
            <v>70</v>
          </cell>
          <cell r="AA226">
            <v>5</v>
          </cell>
          <cell r="AB226">
            <v>0</v>
          </cell>
          <cell r="AC226">
            <v>5</v>
          </cell>
          <cell r="AD226">
            <v>0</v>
          </cell>
          <cell r="AE226">
            <v>11</v>
          </cell>
          <cell r="AF226">
            <v>55</v>
          </cell>
          <cell r="AG226">
            <v>3</v>
          </cell>
          <cell r="AH226">
            <v>3</v>
          </cell>
          <cell r="AI226">
            <v>380</v>
          </cell>
          <cell r="AJ226">
            <v>70</v>
          </cell>
          <cell r="AK226">
            <v>19</v>
          </cell>
        </row>
        <row r="227">
          <cell r="A227">
            <v>220</v>
          </cell>
          <cell r="B227" t="str">
            <v>Mentaras</v>
          </cell>
          <cell r="C227">
            <v>350125008</v>
          </cell>
          <cell r="D227">
            <v>2</v>
          </cell>
          <cell r="E227">
            <v>0</v>
          </cell>
          <cell r="F227">
            <v>1</v>
          </cell>
          <cell r="G227">
            <v>0</v>
          </cell>
          <cell r="H227">
            <v>0</v>
          </cell>
          <cell r="I227">
            <v>0</v>
          </cell>
          <cell r="J227">
            <v>54</v>
          </cell>
          <cell r="K227">
            <v>7</v>
          </cell>
          <cell r="L227">
            <v>0</v>
          </cell>
          <cell r="M227">
            <v>1</v>
          </cell>
          <cell r="N227">
            <v>2</v>
          </cell>
          <cell r="O227">
            <v>61</v>
          </cell>
          <cell r="P227">
            <v>13</v>
          </cell>
          <cell r="Q227">
            <v>0</v>
          </cell>
          <cell r="R227">
            <v>0</v>
          </cell>
          <cell r="S227">
            <v>0</v>
          </cell>
          <cell r="T227">
            <v>1</v>
          </cell>
          <cell r="U227">
            <v>0</v>
          </cell>
          <cell r="V227">
            <v>51</v>
          </cell>
          <cell r="W227">
            <v>39</v>
          </cell>
          <cell r="X227">
            <v>19</v>
          </cell>
          <cell r="Y227">
            <v>1</v>
          </cell>
          <cell r="Z227">
            <v>13</v>
          </cell>
          <cell r="AA227">
            <v>7</v>
          </cell>
          <cell r="AB227">
            <v>0</v>
          </cell>
          <cell r="AC227">
            <v>0</v>
          </cell>
          <cell r="AD227">
            <v>0</v>
          </cell>
          <cell r="AE227">
            <v>17</v>
          </cell>
          <cell r="AF227">
            <v>7</v>
          </cell>
          <cell r="AG227">
            <v>3</v>
          </cell>
          <cell r="AH227">
            <v>33</v>
          </cell>
          <cell r="AI227">
            <v>332</v>
          </cell>
          <cell r="AJ227">
            <v>61</v>
          </cell>
          <cell r="AK227">
            <v>19</v>
          </cell>
        </row>
        <row r="228">
          <cell r="A228">
            <v>221</v>
          </cell>
          <cell r="B228" t="str">
            <v>Panceng</v>
          </cell>
          <cell r="C228">
            <v>350125009</v>
          </cell>
          <cell r="D228">
            <v>2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5</v>
          </cell>
          <cell r="K228">
            <v>3</v>
          </cell>
          <cell r="L228">
            <v>0</v>
          </cell>
          <cell r="M228">
            <v>0</v>
          </cell>
          <cell r="N228">
            <v>6</v>
          </cell>
          <cell r="O228">
            <v>48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3</v>
          </cell>
          <cell r="U228">
            <v>6</v>
          </cell>
          <cell r="V228">
            <v>68</v>
          </cell>
          <cell r="W228">
            <v>47</v>
          </cell>
          <cell r="X228">
            <v>11</v>
          </cell>
          <cell r="Y228">
            <v>6</v>
          </cell>
          <cell r="Z228">
            <v>35</v>
          </cell>
          <cell r="AA228">
            <v>0</v>
          </cell>
          <cell r="AB228">
            <v>0</v>
          </cell>
          <cell r="AC228">
            <v>10</v>
          </cell>
          <cell r="AD228">
            <v>2</v>
          </cell>
          <cell r="AE228">
            <v>5</v>
          </cell>
          <cell r="AF228">
            <v>15</v>
          </cell>
          <cell r="AG228">
            <v>37</v>
          </cell>
          <cell r="AH228">
            <v>56</v>
          </cell>
          <cell r="AI228">
            <v>365</v>
          </cell>
          <cell r="AJ228">
            <v>68</v>
          </cell>
          <cell r="AK228">
            <v>18</v>
          </cell>
        </row>
        <row r="229">
          <cell r="A229">
            <v>222</v>
          </cell>
          <cell r="B229" t="str">
            <v>Sidayu</v>
          </cell>
          <cell r="C229">
            <v>350125010</v>
          </cell>
          <cell r="D229">
            <v>1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39</v>
          </cell>
          <cell r="N229">
            <v>0</v>
          </cell>
          <cell r="O229">
            <v>28</v>
          </cell>
          <cell r="P229">
            <v>9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2</v>
          </cell>
          <cell r="V229">
            <v>90</v>
          </cell>
          <cell r="W229">
            <v>24</v>
          </cell>
          <cell r="X229">
            <v>11</v>
          </cell>
          <cell r="Y229">
            <v>0</v>
          </cell>
          <cell r="Z229">
            <v>5</v>
          </cell>
          <cell r="AA229">
            <v>14</v>
          </cell>
          <cell r="AB229">
            <v>0</v>
          </cell>
          <cell r="AC229">
            <v>0</v>
          </cell>
          <cell r="AD229">
            <v>0</v>
          </cell>
          <cell r="AE229">
            <v>5</v>
          </cell>
          <cell r="AF229">
            <v>10</v>
          </cell>
          <cell r="AG229">
            <v>0</v>
          </cell>
          <cell r="AH229">
            <v>3</v>
          </cell>
          <cell r="AI229">
            <v>241</v>
          </cell>
          <cell r="AJ229">
            <v>90</v>
          </cell>
          <cell r="AK229">
            <v>13</v>
          </cell>
        </row>
        <row r="230">
          <cell r="A230">
            <v>223</v>
          </cell>
          <cell r="B230" t="str">
            <v>Suci</v>
          </cell>
          <cell r="C230">
            <v>350125011</v>
          </cell>
          <cell r="D230">
            <v>2</v>
          </cell>
          <cell r="E230">
            <v>6</v>
          </cell>
          <cell r="F230">
            <v>5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30</v>
          </cell>
          <cell r="L230">
            <v>6</v>
          </cell>
          <cell r="M230">
            <v>1</v>
          </cell>
          <cell r="N230">
            <v>0</v>
          </cell>
          <cell r="O230">
            <v>14</v>
          </cell>
          <cell r="P230">
            <v>9</v>
          </cell>
          <cell r="Q230">
            <v>0</v>
          </cell>
          <cell r="R230">
            <v>0</v>
          </cell>
          <cell r="S230">
            <v>0</v>
          </cell>
          <cell r="T230">
            <v>1</v>
          </cell>
          <cell r="U230">
            <v>16</v>
          </cell>
          <cell r="V230">
            <v>27</v>
          </cell>
          <cell r="W230">
            <v>57</v>
          </cell>
          <cell r="X230">
            <v>10</v>
          </cell>
          <cell r="Y230">
            <v>0</v>
          </cell>
          <cell r="Z230">
            <v>3</v>
          </cell>
          <cell r="AA230">
            <v>0</v>
          </cell>
          <cell r="AB230">
            <v>0</v>
          </cell>
          <cell r="AC230">
            <v>9</v>
          </cell>
          <cell r="AD230">
            <v>3</v>
          </cell>
          <cell r="AE230">
            <v>0</v>
          </cell>
          <cell r="AF230">
            <v>0</v>
          </cell>
          <cell r="AG230">
            <v>2</v>
          </cell>
          <cell r="AH230">
            <v>20</v>
          </cell>
          <cell r="AI230">
            <v>221</v>
          </cell>
          <cell r="AJ230">
            <v>57</v>
          </cell>
          <cell r="AK230">
            <v>18</v>
          </cell>
        </row>
        <row r="231">
          <cell r="A231">
            <v>224</v>
          </cell>
          <cell r="B231" t="str">
            <v>Tambakombo</v>
          </cell>
          <cell r="C231">
            <v>350125012</v>
          </cell>
          <cell r="D231">
            <v>1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10.5</v>
          </cell>
          <cell r="K231">
            <v>35</v>
          </cell>
          <cell r="L231">
            <v>15</v>
          </cell>
          <cell r="M231">
            <v>0</v>
          </cell>
          <cell r="N231">
            <v>0</v>
          </cell>
          <cell r="O231">
            <v>15.5</v>
          </cell>
          <cell r="P231">
            <v>5</v>
          </cell>
          <cell r="Q231">
            <v>0</v>
          </cell>
          <cell r="R231">
            <v>0</v>
          </cell>
          <cell r="S231">
            <v>0</v>
          </cell>
          <cell r="T231">
            <v>3</v>
          </cell>
          <cell r="U231">
            <v>1.5</v>
          </cell>
          <cell r="V231">
            <v>62.5</v>
          </cell>
          <cell r="W231">
            <v>35</v>
          </cell>
          <cell r="X231">
            <v>18</v>
          </cell>
          <cell r="Y231">
            <v>0</v>
          </cell>
          <cell r="Z231">
            <v>4</v>
          </cell>
          <cell r="AA231">
            <v>1</v>
          </cell>
          <cell r="AB231">
            <v>0</v>
          </cell>
          <cell r="AC231">
            <v>0</v>
          </cell>
          <cell r="AD231">
            <v>5</v>
          </cell>
          <cell r="AE231">
            <v>0</v>
          </cell>
          <cell r="AF231">
            <v>9</v>
          </cell>
          <cell r="AG231">
            <v>3</v>
          </cell>
          <cell r="AH231">
            <v>0</v>
          </cell>
          <cell r="AI231">
            <v>224</v>
          </cell>
          <cell r="AJ231">
            <v>62.5</v>
          </cell>
          <cell r="AK231">
            <v>16</v>
          </cell>
        </row>
        <row r="232">
          <cell r="A232">
            <v>225</v>
          </cell>
          <cell r="B232" t="str">
            <v>Ujungpangkah</v>
          </cell>
          <cell r="C232">
            <v>350125013</v>
          </cell>
          <cell r="D232">
            <v>5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5</v>
          </cell>
          <cell r="K232">
            <v>10</v>
          </cell>
          <cell r="L232">
            <v>7</v>
          </cell>
          <cell r="M232">
            <v>0</v>
          </cell>
          <cell r="N232">
            <v>15</v>
          </cell>
          <cell r="O232">
            <v>35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5</v>
          </cell>
          <cell r="U232">
            <v>3</v>
          </cell>
          <cell r="V232">
            <v>55</v>
          </cell>
          <cell r="W232">
            <v>10</v>
          </cell>
          <cell r="X232">
            <v>3</v>
          </cell>
          <cell r="Y232">
            <v>5</v>
          </cell>
          <cell r="Z232">
            <v>10</v>
          </cell>
          <cell r="AA232">
            <v>5</v>
          </cell>
          <cell r="AB232">
            <v>0</v>
          </cell>
          <cell r="AC232">
            <v>10</v>
          </cell>
          <cell r="AD232">
            <v>0</v>
          </cell>
          <cell r="AE232">
            <v>0</v>
          </cell>
          <cell r="AF232">
            <v>0</v>
          </cell>
          <cell r="AG232">
            <v>15</v>
          </cell>
          <cell r="AH232">
            <v>7</v>
          </cell>
          <cell r="AI232">
            <v>205</v>
          </cell>
          <cell r="AJ232">
            <v>55</v>
          </cell>
          <cell r="AK232">
            <v>17</v>
          </cell>
        </row>
        <row r="233">
          <cell r="A233">
            <v>226</v>
          </cell>
          <cell r="B233" t="str">
            <v>Wringinanom GRS</v>
          </cell>
          <cell r="C233">
            <v>350125014</v>
          </cell>
          <cell r="D233">
            <v>16</v>
          </cell>
          <cell r="E233">
            <v>3</v>
          </cell>
          <cell r="F233">
            <v>14</v>
          </cell>
          <cell r="G233">
            <v>9</v>
          </cell>
          <cell r="H233">
            <v>17</v>
          </cell>
          <cell r="I233">
            <v>0</v>
          </cell>
          <cell r="J233">
            <v>12</v>
          </cell>
          <cell r="K233">
            <v>2</v>
          </cell>
          <cell r="L233">
            <v>3</v>
          </cell>
          <cell r="M233">
            <v>8</v>
          </cell>
          <cell r="N233">
            <v>14</v>
          </cell>
          <cell r="O233">
            <v>29</v>
          </cell>
          <cell r="P233">
            <v>16</v>
          </cell>
          <cell r="Q233">
            <v>5</v>
          </cell>
          <cell r="R233">
            <v>0</v>
          </cell>
          <cell r="S233">
            <v>0</v>
          </cell>
          <cell r="T233">
            <v>26</v>
          </cell>
          <cell r="U233">
            <v>6</v>
          </cell>
          <cell r="V233">
            <v>9</v>
          </cell>
          <cell r="W233">
            <v>46</v>
          </cell>
          <cell r="X233">
            <v>79</v>
          </cell>
          <cell r="Y233">
            <v>7</v>
          </cell>
          <cell r="Z233">
            <v>4</v>
          </cell>
          <cell r="AA233">
            <v>0</v>
          </cell>
          <cell r="AB233">
            <v>0</v>
          </cell>
          <cell r="AC233">
            <v>2</v>
          </cell>
          <cell r="AD233">
            <v>0</v>
          </cell>
          <cell r="AE233">
            <v>43</v>
          </cell>
          <cell r="AF233">
            <v>3</v>
          </cell>
          <cell r="AG233">
            <v>5</v>
          </cell>
          <cell r="AH233">
            <v>2</v>
          </cell>
          <cell r="AI233">
            <v>380</v>
          </cell>
          <cell r="AJ233">
            <v>79</v>
          </cell>
          <cell r="AK233">
            <v>25</v>
          </cell>
        </row>
        <row r="234">
          <cell r="A234">
            <v>227</v>
          </cell>
          <cell r="B234" t="str">
            <v>Wahas/brangkal</v>
          </cell>
          <cell r="C234">
            <v>350125015</v>
          </cell>
          <cell r="D234">
            <v>12</v>
          </cell>
          <cell r="E234">
            <v>12</v>
          </cell>
          <cell r="F234">
            <v>7</v>
          </cell>
          <cell r="G234">
            <v>0</v>
          </cell>
          <cell r="H234">
            <v>0</v>
          </cell>
          <cell r="I234">
            <v>8</v>
          </cell>
          <cell r="J234">
            <v>0</v>
          </cell>
          <cell r="K234">
            <v>5</v>
          </cell>
          <cell r="L234">
            <v>25</v>
          </cell>
          <cell r="M234">
            <v>3</v>
          </cell>
          <cell r="N234">
            <v>2</v>
          </cell>
          <cell r="O234">
            <v>13</v>
          </cell>
          <cell r="P234">
            <v>33</v>
          </cell>
          <cell r="Q234">
            <v>0</v>
          </cell>
          <cell r="R234">
            <v>0</v>
          </cell>
          <cell r="S234">
            <v>0</v>
          </cell>
          <cell r="T234">
            <v>63</v>
          </cell>
          <cell r="U234">
            <v>9</v>
          </cell>
          <cell r="V234">
            <v>18</v>
          </cell>
          <cell r="W234">
            <v>1</v>
          </cell>
          <cell r="X234">
            <v>22</v>
          </cell>
          <cell r="Y234">
            <v>1</v>
          </cell>
          <cell r="Z234">
            <v>20</v>
          </cell>
          <cell r="AA234">
            <v>7</v>
          </cell>
          <cell r="AB234">
            <v>0</v>
          </cell>
          <cell r="AC234">
            <v>2</v>
          </cell>
          <cell r="AD234">
            <v>0</v>
          </cell>
          <cell r="AE234">
            <v>24</v>
          </cell>
          <cell r="AF234">
            <v>50</v>
          </cell>
          <cell r="AG234">
            <v>14</v>
          </cell>
          <cell r="AH234">
            <v>11</v>
          </cell>
          <cell r="AI234">
            <v>362</v>
          </cell>
          <cell r="AJ234">
            <v>63</v>
          </cell>
          <cell r="AK234">
            <v>23</v>
          </cell>
        </row>
        <row r="235">
          <cell r="A235">
            <v>228</v>
          </cell>
          <cell r="B235" t="str">
            <v>Padangan</v>
          </cell>
          <cell r="C235">
            <v>350122032</v>
          </cell>
          <cell r="D235">
            <v>0</v>
          </cell>
          <cell r="E235">
            <v>2</v>
          </cell>
          <cell r="F235">
            <v>27</v>
          </cell>
          <cell r="G235">
            <v>0</v>
          </cell>
          <cell r="H235">
            <v>0</v>
          </cell>
          <cell r="I235">
            <v>0</v>
          </cell>
          <cell r="J235">
            <v>12</v>
          </cell>
          <cell r="K235">
            <v>15</v>
          </cell>
          <cell r="L235">
            <v>0</v>
          </cell>
          <cell r="M235">
            <v>42</v>
          </cell>
          <cell r="N235">
            <v>0</v>
          </cell>
          <cell r="O235">
            <v>29</v>
          </cell>
          <cell r="P235">
            <v>7</v>
          </cell>
          <cell r="Q235">
            <v>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7</v>
          </cell>
          <cell r="W235">
            <v>8</v>
          </cell>
          <cell r="X235">
            <v>25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1</v>
          </cell>
          <cell r="AI235">
            <v>178</v>
          </cell>
          <cell r="AJ235">
            <v>42</v>
          </cell>
          <cell r="AK235">
            <v>12</v>
          </cell>
        </row>
      </sheetData>
      <sheetData sheetId="3">
        <row r="8">
          <cell r="C8">
            <v>350125005</v>
          </cell>
          <cell r="D8">
            <v>23</v>
          </cell>
          <cell r="E8">
            <v>6</v>
          </cell>
          <cell r="F8">
            <v>37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12</v>
          </cell>
          <cell r="L8">
            <v>47</v>
          </cell>
          <cell r="M8">
            <v>59</v>
          </cell>
          <cell r="N8">
            <v>23</v>
          </cell>
          <cell r="O8">
            <v>8</v>
          </cell>
          <cell r="P8">
            <v>23</v>
          </cell>
          <cell r="Q8">
            <v>17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19</v>
          </cell>
          <cell r="W8">
            <v>0</v>
          </cell>
          <cell r="X8">
            <v>16</v>
          </cell>
          <cell r="Y8">
            <v>0</v>
          </cell>
          <cell r="Z8">
            <v>0</v>
          </cell>
          <cell r="AA8">
            <v>7</v>
          </cell>
          <cell r="AB8">
            <v>0</v>
          </cell>
          <cell r="AC8">
            <v>6</v>
          </cell>
          <cell r="AD8">
            <v>16</v>
          </cell>
          <cell r="AE8">
            <v>0</v>
          </cell>
          <cell r="AF8"/>
          <cell r="AG8"/>
          <cell r="AH8"/>
          <cell r="AI8">
            <v>324</v>
          </cell>
          <cell r="AJ8">
            <v>59</v>
          </cell>
          <cell r="AK8">
            <v>16</v>
          </cell>
        </row>
        <row r="9">
          <cell r="C9">
            <v>350125004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12</v>
          </cell>
          <cell r="L9">
            <v>0</v>
          </cell>
          <cell r="M9">
            <v>32</v>
          </cell>
          <cell r="N9">
            <v>3</v>
          </cell>
          <cell r="O9">
            <v>6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2</v>
          </cell>
          <cell r="V9">
            <v>17</v>
          </cell>
          <cell r="W9">
            <v>0</v>
          </cell>
          <cell r="X9">
            <v>0</v>
          </cell>
          <cell r="Y9">
            <v>13</v>
          </cell>
          <cell r="Z9">
            <v>0</v>
          </cell>
          <cell r="AA9">
            <v>13</v>
          </cell>
          <cell r="AB9">
            <v>0</v>
          </cell>
          <cell r="AC9">
            <v>0</v>
          </cell>
          <cell r="AD9">
            <v>10</v>
          </cell>
          <cell r="AE9">
            <v>12</v>
          </cell>
          <cell r="AF9"/>
          <cell r="AG9"/>
          <cell r="AH9"/>
          <cell r="AI9">
            <v>124</v>
          </cell>
          <cell r="AJ9">
            <v>32</v>
          </cell>
          <cell r="AK9">
            <v>13</v>
          </cell>
        </row>
        <row r="10">
          <cell r="C10">
            <v>350125003</v>
          </cell>
          <cell r="D10">
            <v>0</v>
          </cell>
          <cell r="E10">
            <v>1.5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7.5</v>
          </cell>
          <cell r="L10">
            <v>3.5</v>
          </cell>
          <cell r="M10">
            <v>16</v>
          </cell>
          <cell r="N10">
            <v>1</v>
          </cell>
          <cell r="O10">
            <v>4.5</v>
          </cell>
          <cell r="P10">
            <v>3.5</v>
          </cell>
          <cell r="Q10">
            <v>2.5</v>
          </cell>
          <cell r="R10">
            <v>0</v>
          </cell>
          <cell r="S10">
            <v>0</v>
          </cell>
          <cell r="T10">
            <v>0</v>
          </cell>
          <cell r="U10">
            <v>13.5</v>
          </cell>
          <cell r="V10">
            <v>12</v>
          </cell>
          <cell r="W10">
            <v>0</v>
          </cell>
          <cell r="X10">
            <v>0</v>
          </cell>
          <cell r="Y10">
            <v>19.5</v>
          </cell>
          <cell r="Z10">
            <v>0</v>
          </cell>
          <cell r="AA10">
            <v>20</v>
          </cell>
          <cell r="AB10">
            <v>2</v>
          </cell>
          <cell r="AC10">
            <v>0</v>
          </cell>
          <cell r="AD10">
            <v>5</v>
          </cell>
          <cell r="AE10">
            <v>7.5</v>
          </cell>
          <cell r="AF10"/>
          <cell r="AG10"/>
          <cell r="AH10"/>
          <cell r="AI10">
            <v>121.5</v>
          </cell>
          <cell r="AJ10">
            <v>20</v>
          </cell>
          <cell r="AK10">
            <v>16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6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</v>
          </cell>
          <cell r="L11">
            <v>20</v>
          </cell>
          <cell r="M11">
            <v>13</v>
          </cell>
          <cell r="N11">
            <v>0</v>
          </cell>
          <cell r="O11">
            <v>6</v>
          </cell>
          <cell r="P11">
            <v>4</v>
          </cell>
          <cell r="Q11">
            <v>6</v>
          </cell>
          <cell r="R11">
            <v>0</v>
          </cell>
          <cell r="S11">
            <v>0</v>
          </cell>
          <cell r="T11">
            <v>2</v>
          </cell>
          <cell r="U11">
            <v>18</v>
          </cell>
          <cell r="V11">
            <v>20</v>
          </cell>
          <cell r="W11">
            <v>0</v>
          </cell>
          <cell r="X11">
            <v>0</v>
          </cell>
          <cell r="Y11">
            <v>24</v>
          </cell>
          <cell r="Z11">
            <v>0</v>
          </cell>
          <cell r="AA11">
            <v>2</v>
          </cell>
          <cell r="AB11">
            <v>0</v>
          </cell>
          <cell r="AC11">
            <v>0</v>
          </cell>
          <cell r="AD11">
            <v>9</v>
          </cell>
          <cell r="AE11">
            <v>10</v>
          </cell>
          <cell r="AF11"/>
          <cell r="AG11"/>
          <cell r="AH11"/>
          <cell r="AI11">
            <v>144</v>
          </cell>
          <cell r="AJ11">
            <v>24</v>
          </cell>
          <cell r="AK11">
            <v>14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0</v>
          </cell>
          <cell r="G12">
            <v>17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0</v>
          </cell>
          <cell r="M12">
            <v>29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13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17</v>
          </cell>
          <cell r="Z12">
            <v>0</v>
          </cell>
          <cell r="AA12">
            <v>13</v>
          </cell>
          <cell r="AB12">
            <v>7</v>
          </cell>
          <cell r="AC12">
            <v>0</v>
          </cell>
          <cell r="AD12">
            <v>0</v>
          </cell>
          <cell r="AE12">
            <v>17</v>
          </cell>
          <cell r="AF12"/>
          <cell r="AG12"/>
          <cell r="AH12"/>
          <cell r="AI12">
            <v>122</v>
          </cell>
          <cell r="AJ12">
            <v>29</v>
          </cell>
          <cell r="AK12">
            <v>8</v>
          </cell>
        </row>
        <row r="13">
          <cell r="C13">
            <v>350124024</v>
          </cell>
          <cell r="D13">
            <v>0</v>
          </cell>
          <cell r="E13">
            <v>4</v>
          </cell>
          <cell r="F13">
            <v>0</v>
          </cell>
          <cell r="G13">
            <v>2.5</v>
          </cell>
          <cell r="H13">
            <v>11</v>
          </cell>
          <cell r="I13">
            <v>0</v>
          </cell>
          <cell r="J13">
            <v>0</v>
          </cell>
          <cell r="K13">
            <v>3</v>
          </cell>
          <cell r="L13">
            <v>3</v>
          </cell>
          <cell r="M13">
            <v>38.5</v>
          </cell>
          <cell r="N13">
            <v>3.5</v>
          </cell>
          <cell r="O13">
            <v>27</v>
          </cell>
          <cell r="P13">
            <v>2.5</v>
          </cell>
          <cell r="Q13">
            <v>1.5</v>
          </cell>
          <cell r="R13">
            <v>1.5</v>
          </cell>
          <cell r="S13">
            <v>27</v>
          </cell>
          <cell r="T13">
            <v>3</v>
          </cell>
          <cell r="U13">
            <v>2</v>
          </cell>
          <cell r="V13">
            <v>18</v>
          </cell>
          <cell r="W13">
            <v>1</v>
          </cell>
          <cell r="X13">
            <v>0</v>
          </cell>
          <cell r="Y13">
            <v>1.5</v>
          </cell>
          <cell r="Z13">
            <v>0</v>
          </cell>
          <cell r="AA13">
            <v>5</v>
          </cell>
          <cell r="AB13">
            <v>1</v>
          </cell>
          <cell r="AC13">
            <v>0</v>
          </cell>
          <cell r="AD13">
            <v>4</v>
          </cell>
          <cell r="AE13">
            <v>21</v>
          </cell>
          <cell r="AF13"/>
          <cell r="AG13"/>
          <cell r="AH13"/>
          <cell r="AI13">
            <v>181.5</v>
          </cell>
          <cell r="AJ13">
            <v>38.5</v>
          </cell>
          <cell r="AK13">
            <v>21</v>
          </cell>
        </row>
        <row r="14">
          <cell r="C14">
            <v>350124023</v>
          </cell>
          <cell r="D14">
            <v>0</v>
          </cell>
          <cell r="E14">
            <v>2</v>
          </cell>
          <cell r="F14">
            <v>0</v>
          </cell>
          <cell r="G14">
            <v>3</v>
          </cell>
          <cell r="H14">
            <v>13</v>
          </cell>
          <cell r="I14">
            <v>29</v>
          </cell>
          <cell r="J14">
            <v>11</v>
          </cell>
          <cell r="K14">
            <v>32</v>
          </cell>
          <cell r="L14">
            <v>5</v>
          </cell>
          <cell r="M14">
            <v>43</v>
          </cell>
          <cell r="N14">
            <v>19</v>
          </cell>
          <cell r="O14">
            <v>15</v>
          </cell>
          <cell r="P14">
            <v>2</v>
          </cell>
          <cell r="Q14">
            <v>0</v>
          </cell>
          <cell r="R14">
            <v>0</v>
          </cell>
          <cell r="S14">
            <v>4</v>
          </cell>
          <cell r="T14">
            <v>0</v>
          </cell>
          <cell r="U14">
            <v>7</v>
          </cell>
          <cell r="V14">
            <v>15</v>
          </cell>
          <cell r="W14">
            <v>0</v>
          </cell>
          <cell r="X14">
            <v>12</v>
          </cell>
          <cell r="Y14">
            <v>37</v>
          </cell>
          <cell r="Z14">
            <v>0</v>
          </cell>
          <cell r="AA14">
            <v>9</v>
          </cell>
          <cell r="AB14">
            <v>0</v>
          </cell>
          <cell r="AC14">
            <v>0</v>
          </cell>
          <cell r="AD14">
            <v>5</v>
          </cell>
          <cell r="AE14">
            <v>4</v>
          </cell>
          <cell r="AF14"/>
          <cell r="AG14"/>
          <cell r="AH14"/>
          <cell r="AI14">
            <v>267</v>
          </cell>
          <cell r="AJ14">
            <v>43</v>
          </cell>
          <cell r="AK14">
            <v>19</v>
          </cell>
        </row>
        <row r="15">
          <cell r="C15">
            <v>350124022</v>
          </cell>
          <cell r="D15">
            <v>0</v>
          </cell>
          <cell r="E15">
            <v>1</v>
          </cell>
          <cell r="F15">
            <v>0</v>
          </cell>
          <cell r="G15">
            <v>9</v>
          </cell>
          <cell r="H15">
            <v>56</v>
          </cell>
          <cell r="I15">
            <v>1</v>
          </cell>
          <cell r="J15">
            <v>0</v>
          </cell>
          <cell r="K15">
            <v>19.5</v>
          </cell>
          <cell r="L15">
            <v>2</v>
          </cell>
          <cell r="M15">
            <v>64</v>
          </cell>
          <cell r="N15">
            <v>15</v>
          </cell>
          <cell r="O15">
            <v>6.5</v>
          </cell>
          <cell r="P15">
            <v>1</v>
          </cell>
          <cell r="Q15">
            <v>2.5</v>
          </cell>
          <cell r="R15">
            <v>0</v>
          </cell>
          <cell r="S15">
            <v>10</v>
          </cell>
          <cell r="T15">
            <v>0</v>
          </cell>
          <cell r="U15">
            <v>2.5</v>
          </cell>
          <cell r="V15">
            <v>12</v>
          </cell>
          <cell r="W15">
            <v>0</v>
          </cell>
          <cell r="X15">
            <v>0</v>
          </cell>
          <cell r="Y15">
            <v>5</v>
          </cell>
          <cell r="Z15">
            <v>0</v>
          </cell>
          <cell r="AA15">
            <v>8</v>
          </cell>
          <cell r="AB15">
            <v>2</v>
          </cell>
          <cell r="AC15">
            <v>0</v>
          </cell>
          <cell r="AD15">
            <v>0</v>
          </cell>
          <cell r="AE15">
            <v>11</v>
          </cell>
          <cell r="AF15"/>
          <cell r="AG15"/>
          <cell r="AH15"/>
          <cell r="AI15">
            <v>228</v>
          </cell>
          <cell r="AJ15">
            <v>64</v>
          </cell>
          <cell r="AK15">
            <v>18</v>
          </cell>
        </row>
        <row r="16">
          <cell r="C16">
            <v>350124021</v>
          </cell>
          <cell r="D16">
            <v>0</v>
          </cell>
          <cell r="E16">
            <v>7</v>
          </cell>
          <cell r="F16">
            <v>0</v>
          </cell>
          <cell r="G16">
            <v>2</v>
          </cell>
          <cell r="H16">
            <v>7</v>
          </cell>
          <cell r="I16">
            <v>2</v>
          </cell>
          <cell r="J16">
            <v>0</v>
          </cell>
          <cell r="K16">
            <v>1</v>
          </cell>
          <cell r="L16">
            <v>7</v>
          </cell>
          <cell r="M16">
            <v>39</v>
          </cell>
          <cell r="N16">
            <v>4</v>
          </cell>
          <cell r="O16">
            <v>25</v>
          </cell>
          <cell r="P16">
            <v>3</v>
          </cell>
          <cell r="Q16">
            <v>3</v>
          </cell>
          <cell r="R16">
            <v>0</v>
          </cell>
          <cell r="S16">
            <v>6</v>
          </cell>
          <cell r="T16">
            <v>1</v>
          </cell>
          <cell r="U16">
            <v>4</v>
          </cell>
          <cell r="V16">
            <v>39</v>
          </cell>
          <cell r="W16">
            <v>0</v>
          </cell>
          <cell r="X16">
            <v>0</v>
          </cell>
          <cell r="Y16">
            <v>1</v>
          </cell>
          <cell r="Z16">
            <v>0</v>
          </cell>
          <cell r="AA16">
            <v>2</v>
          </cell>
          <cell r="AB16">
            <v>1</v>
          </cell>
          <cell r="AC16">
            <v>0</v>
          </cell>
          <cell r="AD16">
            <v>0</v>
          </cell>
          <cell r="AE16">
            <v>28</v>
          </cell>
          <cell r="AF16"/>
          <cell r="AG16"/>
          <cell r="AH16"/>
          <cell r="AI16">
            <v>182</v>
          </cell>
          <cell r="AJ16">
            <v>39</v>
          </cell>
          <cell r="AK16">
            <v>19</v>
          </cell>
        </row>
        <row r="17">
          <cell r="C17">
            <v>350124020</v>
          </cell>
          <cell r="D17">
            <v>21</v>
          </cell>
          <cell r="E17">
            <v>25</v>
          </cell>
          <cell r="F17">
            <v>0</v>
          </cell>
          <cell r="G17">
            <v>1</v>
          </cell>
          <cell r="H17">
            <v>23</v>
          </cell>
          <cell r="I17">
            <v>20</v>
          </cell>
          <cell r="J17">
            <v>22</v>
          </cell>
          <cell r="K17">
            <v>4</v>
          </cell>
          <cell r="L17">
            <v>1</v>
          </cell>
          <cell r="M17">
            <v>26</v>
          </cell>
          <cell r="N17">
            <v>23</v>
          </cell>
          <cell r="O17">
            <v>2</v>
          </cell>
          <cell r="P17">
            <v>1</v>
          </cell>
          <cell r="Q17">
            <v>0</v>
          </cell>
          <cell r="R17">
            <v>0</v>
          </cell>
          <cell r="S17">
            <v>2</v>
          </cell>
          <cell r="T17">
            <v>0</v>
          </cell>
          <cell r="U17">
            <v>27</v>
          </cell>
          <cell r="V17">
            <v>29</v>
          </cell>
          <cell r="W17">
            <v>0</v>
          </cell>
          <cell r="X17">
            <v>7</v>
          </cell>
          <cell r="Y17">
            <v>2</v>
          </cell>
          <cell r="Z17">
            <v>0</v>
          </cell>
          <cell r="AA17">
            <v>5</v>
          </cell>
          <cell r="AB17">
            <v>0</v>
          </cell>
          <cell r="AC17">
            <v>0</v>
          </cell>
          <cell r="AD17">
            <v>13</v>
          </cell>
          <cell r="AE17">
            <v>20</v>
          </cell>
          <cell r="AF17"/>
          <cell r="AG17"/>
          <cell r="AH17"/>
          <cell r="AI17">
            <v>274</v>
          </cell>
          <cell r="AJ17">
            <v>29</v>
          </cell>
          <cell r="AK17">
            <v>20</v>
          </cell>
        </row>
        <row r="18">
          <cell r="C18">
            <v>350124019</v>
          </cell>
          <cell r="D18">
            <v>0</v>
          </cell>
          <cell r="E18">
            <v>8</v>
          </cell>
          <cell r="F18">
            <v>0</v>
          </cell>
          <cell r="G18">
            <v>16</v>
          </cell>
          <cell r="H18">
            <v>12</v>
          </cell>
          <cell r="I18">
            <v>21</v>
          </cell>
          <cell r="J18">
            <v>5</v>
          </cell>
          <cell r="K18">
            <v>10</v>
          </cell>
          <cell r="L18">
            <v>42</v>
          </cell>
          <cell r="M18">
            <v>45</v>
          </cell>
          <cell r="N18">
            <v>8</v>
          </cell>
          <cell r="O18">
            <v>5</v>
          </cell>
          <cell r="P18">
            <v>6</v>
          </cell>
          <cell r="Q18">
            <v>16</v>
          </cell>
          <cell r="R18">
            <v>0</v>
          </cell>
          <cell r="S18">
            <v>0</v>
          </cell>
          <cell r="T18">
            <v>20</v>
          </cell>
          <cell r="U18">
            <v>5</v>
          </cell>
          <cell r="V18">
            <v>20</v>
          </cell>
          <cell r="W18">
            <v>0</v>
          </cell>
          <cell r="X18">
            <v>10</v>
          </cell>
          <cell r="Y18">
            <v>21</v>
          </cell>
          <cell r="Z18">
            <v>0</v>
          </cell>
          <cell r="AA18">
            <v>5</v>
          </cell>
          <cell r="AB18">
            <v>8</v>
          </cell>
          <cell r="AC18">
            <v>5</v>
          </cell>
          <cell r="AD18">
            <v>0</v>
          </cell>
          <cell r="AE18">
            <v>6</v>
          </cell>
          <cell r="AF18"/>
          <cell r="AG18"/>
          <cell r="AH18"/>
          <cell r="AI18">
            <v>294</v>
          </cell>
          <cell r="AJ18">
            <v>45</v>
          </cell>
          <cell r="AK18">
            <v>21</v>
          </cell>
        </row>
        <row r="19">
          <cell r="C19">
            <v>350124018</v>
          </cell>
          <cell r="D19">
            <v>0</v>
          </cell>
          <cell r="E19">
            <v>2</v>
          </cell>
          <cell r="F19">
            <v>23</v>
          </cell>
          <cell r="G19">
            <v>4</v>
          </cell>
          <cell r="H19">
            <v>17</v>
          </cell>
          <cell r="I19">
            <v>0</v>
          </cell>
          <cell r="J19">
            <v>6</v>
          </cell>
          <cell r="K19">
            <v>30</v>
          </cell>
          <cell r="L19">
            <v>11</v>
          </cell>
          <cell r="M19">
            <v>36</v>
          </cell>
          <cell r="N19">
            <v>6</v>
          </cell>
          <cell r="O19">
            <v>4</v>
          </cell>
          <cell r="P19">
            <v>6</v>
          </cell>
          <cell r="Q19">
            <v>15</v>
          </cell>
          <cell r="R19">
            <v>0</v>
          </cell>
          <cell r="S19">
            <v>1</v>
          </cell>
          <cell r="T19">
            <v>15</v>
          </cell>
          <cell r="U19">
            <v>9</v>
          </cell>
          <cell r="V19">
            <v>14</v>
          </cell>
          <cell r="W19">
            <v>1</v>
          </cell>
          <cell r="X19">
            <v>15</v>
          </cell>
          <cell r="Y19">
            <v>6</v>
          </cell>
          <cell r="Z19">
            <v>0</v>
          </cell>
          <cell r="AA19">
            <v>0</v>
          </cell>
          <cell r="AB19">
            <v>2</v>
          </cell>
          <cell r="AC19">
            <v>2</v>
          </cell>
          <cell r="AD19">
            <v>0</v>
          </cell>
          <cell r="AE19">
            <v>17</v>
          </cell>
          <cell r="AF19"/>
          <cell r="AG19"/>
          <cell r="AH19"/>
          <cell r="AI19">
            <v>242</v>
          </cell>
          <cell r="AJ19">
            <v>36</v>
          </cell>
          <cell r="AK19">
            <v>22</v>
          </cell>
        </row>
        <row r="20">
          <cell r="C20">
            <v>350124017</v>
          </cell>
          <cell r="D20">
            <v>7</v>
          </cell>
          <cell r="E20">
            <v>2</v>
          </cell>
          <cell r="F20">
            <v>0</v>
          </cell>
          <cell r="G20">
            <v>0</v>
          </cell>
          <cell r="H20">
            <v>20</v>
          </cell>
          <cell r="I20">
            <v>21</v>
          </cell>
          <cell r="J20">
            <v>0</v>
          </cell>
          <cell r="K20">
            <v>11</v>
          </cell>
          <cell r="L20">
            <v>2</v>
          </cell>
          <cell r="M20">
            <v>17</v>
          </cell>
          <cell r="N20">
            <v>16</v>
          </cell>
          <cell r="O20">
            <v>2</v>
          </cell>
          <cell r="P20">
            <v>0</v>
          </cell>
          <cell r="Q20">
            <v>3</v>
          </cell>
          <cell r="R20">
            <v>0</v>
          </cell>
          <cell r="S20">
            <v>8</v>
          </cell>
          <cell r="T20">
            <v>0</v>
          </cell>
          <cell r="U20">
            <v>0</v>
          </cell>
          <cell r="V20">
            <v>18</v>
          </cell>
          <cell r="W20">
            <v>0</v>
          </cell>
          <cell r="X20">
            <v>0</v>
          </cell>
          <cell r="Y20">
            <v>23</v>
          </cell>
          <cell r="Z20">
            <v>0</v>
          </cell>
          <cell r="AA20">
            <v>16</v>
          </cell>
          <cell r="AB20">
            <v>19</v>
          </cell>
          <cell r="AC20">
            <v>0</v>
          </cell>
          <cell r="AD20">
            <v>3</v>
          </cell>
          <cell r="AE20">
            <v>22</v>
          </cell>
          <cell r="AF20"/>
          <cell r="AG20"/>
          <cell r="AH20"/>
          <cell r="AI20">
            <v>210</v>
          </cell>
          <cell r="AJ20">
            <v>23</v>
          </cell>
          <cell r="AK20">
            <v>17</v>
          </cell>
        </row>
        <row r="21">
          <cell r="C21">
            <v>350124016</v>
          </cell>
          <cell r="D21">
            <v>2</v>
          </cell>
          <cell r="E21">
            <v>46</v>
          </cell>
          <cell r="F21">
            <v>0</v>
          </cell>
          <cell r="G21">
            <v>6</v>
          </cell>
          <cell r="H21">
            <v>49</v>
          </cell>
          <cell r="I21">
            <v>20</v>
          </cell>
          <cell r="J21">
            <v>0</v>
          </cell>
          <cell r="K21">
            <v>1</v>
          </cell>
          <cell r="L21">
            <v>17</v>
          </cell>
          <cell r="M21">
            <v>77</v>
          </cell>
          <cell r="N21">
            <v>18</v>
          </cell>
          <cell r="O21">
            <v>2</v>
          </cell>
          <cell r="P21">
            <v>38</v>
          </cell>
          <cell r="Q21">
            <v>12</v>
          </cell>
          <cell r="R21">
            <v>0</v>
          </cell>
          <cell r="S21">
            <v>20</v>
          </cell>
          <cell r="T21">
            <v>2</v>
          </cell>
          <cell r="U21">
            <v>0</v>
          </cell>
          <cell r="V21">
            <v>2</v>
          </cell>
          <cell r="W21">
            <v>0</v>
          </cell>
          <cell r="X21">
            <v>0</v>
          </cell>
          <cell r="Y21">
            <v>57</v>
          </cell>
          <cell r="Z21">
            <v>0</v>
          </cell>
          <cell r="AA21">
            <v>4</v>
          </cell>
          <cell r="AB21">
            <v>0</v>
          </cell>
          <cell r="AC21">
            <v>1</v>
          </cell>
          <cell r="AD21">
            <v>0</v>
          </cell>
          <cell r="AE21">
            <v>14</v>
          </cell>
          <cell r="AF21"/>
          <cell r="AG21"/>
          <cell r="AH21"/>
          <cell r="AI21">
            <v>388</v>
          </cell>
          <cell r="AJ21">
            <v>77</v>
          </cell>
          <cell r="AK21">
            <v>19</v>
          </cell>
        </row>
        <row r="22">
          <cell r="C22">
            <v>350124015</v>
          </cell>
          <cell r="D22">
            <v>14</v>
          </cell>
          <cell r="E22">
            <v>11</v>
          </cell>
          <cell r="F22">
            <v>0</v>
          </cell>
          <cell r="G22">
            <v>1</v>
          </cell>
          <cell r="H22">
            <v>5</v>
          </cell>
          <cell r="I22">
            <v>27</v>
          </cell>
          <cell r="J22">
            <v>24</v>
          </cell>
          <cell r="K22">
            <v>5</v>
          </cell>
          <cell r="L22">
            <v>0</v>
          </cell>
          <cell r="M22">
            <v>38</v>
          </cell>
          <cell r="N22">
            <v>3</v>
          </cell>
          <cell r="O22">
            <v>21</v>
          </cell>
          <cell r="P22">
            <v>1.5</v>
          </cell>
          <cell r="Q22">
            <v>22</v>
          </cell>
          <cell r="R22">
            <v>0</v>
          </cell>
          <cell r="S22">
            <v>6</v>
          </cell>
          <cell r="T22">
            <v>1</v>
          </cell>
          <cell r="U22">
            <v>2</v>
          </cell>
          <cell r="V22">
            <v>28</v>
          </cell>
          <cell r="W22">
            <v>0</v>
          </cell>
          <cell r="X22">
            <v>13</v>
          </cell>
          <cell r="Y22">
            <v>5</v>
          </cell>
          <cell r="Z22">
            <v>0</v>
          </cell>
          <cell r="AA22">
            <v>11</v>
          </cell>
          <cell r="AB22">
            <v>0</v>
          </cell>
          <cell r="AC22">
            <v>0</v>
          </cell>
          <cell r="AD22">
            <v>14</v>
          </cell>
          <cell r="AE22">
            <v>21</v>
          </cell>
          <cell r="AF22"/>
          <cell r="AG22"/>
          <cell r="AH22"/>
          <cell r="AI22">
            <v>273.5</v>
          </cell>
          <cell r="AJ22">
            <v>38</v>
          </cell>
          <cell r="AK22">
            <v>21</v>
          </cell>
        </row>
        <row r="23">
          <cell r="C23">
            <v>350124014</v>
          </cell>
          <cell r="D23">
            <v>3</v>
          </cell>
          <cell r="E23">
            <v>2</v>
          </cell>
          <cell r="F23">
            <v>3</v>
          </cell>
          <cell r="G23">
            <v>0</v>
          </cell>
          <cell r="H23">
            <v>0</v>
          </cell>
          <cell r="I23">
            <v>3</v>
          </cell>
          <cell r="J23">
            <v>0</v>
          </cell>
          <cell r="K23">
            <v>21</v>
          </cell>
          <cell r="L23">
            <v>0</v>
          </cell>
          <cell r="M23">
            <v>13</v>
          </cell>
          <cell r="N23">
            <v>6</v>
          </cell>
          <cell r="O23">
            <v>2</v>
          </cell>
          <cell r="P23">
            <v>2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5</v>
          </cell>
          <cell r="V23">
            <v>19</v>
          </cell>
          <cell r="W23">
            <v>0</v>
          </cell>
          <cell r="X23">
            <v>13</v>
          </cell>
          <cell r="Y23">
            <v>4</v>
          </cell>
          <cell r="Z23">
            <v>0</v>
          </cell>
          <cell r="AA23">
            <v>3</v>
          </cell>
          <cell r="AB23">
            <v>0</v>
          </cell>
          <cell r="AC23">
            <v>0</v>
          </cell>
          <cell r="AD23">
            <v>4</v>
          </cell>
          <cell r="AE23">
            <v>22</v>
          </cell>
          <cell r="AF23"/>
          <cell r="AG23"/>
          <cell r="AH23"/>
          <cell r="AI23">
            <v>125</v>
          </cell>
          <cell r="AJ23">
            <v>22</v>
          </cell>
          <cell r="AK23">
            <v>16</v>
          </cell>
        </row>
        <row r="24">
          <cell r="C24">
            <v>350124013</v>
          </cell>
          <cell r="D24">
            <v>2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30</v>
          </cell>
          <cell r="L24">
            <v>0</v>
          </cell>
          <cell r="M24">
            <v>7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5</v>
          </cell>
          <cell r="V24">
            <v>28</v>
          </cell>
          <cell r="W24">
            <v>0</v>
          </cell>
          <cell r="X24">
            <v>10</v>
          </cell>
          <cell r="Y24">
            <v>7</v>
          </cell>
          <cell r="Z24">
            <v>0</v>
          </cell>
          <cell r="AA24">
            <v>4</v>
          </cell>
          <cell r="AB24">
            <v>0</v>
          </cell>
          <cell r="AC24">
            <v>0</v>
          </cell>
          <cell r="AD24">
            <v>22</v>
          </cell>
          <cell r="AE24">
            <v>5</v>
          </cell>
          <cell r="AF24"/>
          <cell r="AG24"/>
          <cell r="AH24"/>
          <cell r="AI24">
            <v>121</v>
          </cell>
          <cell r="AJ24">
            <v>30</v>
          </cell>
          <cell r="AK24">
            <v>11</v>
          </cell>
        </row>
        <row r="25">
          <cell r="C25">
            <v>350124012</v>
          </cell>
          <cell r="D25">
            <v>2</v>
          </cell>
          <cell r="E25">
            <v>2</v>
          </cell>
          <cell r="F25">
            <v>0</v>
          </cell>
          <cell r="G25">
            <v>21</v>
          </cell>
          <cell r="H25">
            <v>19</v>
          </cell>
          <cell r="I25">
            <v>7</v>
          </cell>
          <cell r="J25">
            <v>0</v>
          </cell>
          <cell r="K25">
            <v>1</v>
          </cell>
          <cell r="L25">
            <v>14</v>
          </cell>
          <cell r="M25">
            <v>29</v>
          </cell>
          <cell r="N25">
            <v>6</v>
          </cell>
          <cell r="O25">
            <v>16</v>
          </cell>
          <cell r="P25">
            <v>1</v>
          </cell>
          <cell r="Q25">
            <v>0</v>
          </cell>
          <cell r="R25">
            <v>0</v>
          </cell>
          <cell r="S25">
            <v>23</v>
          </cell>
          <cell r="T25">
            <v>2</v>
          </cell>
          <cell r="U25">
            <v>11</v>
          </cell>
          <cell r="V25">
            <v>18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3</v>
          </cell>
          <cell r="AB25">
            <v>0</v>
          </cell>
          <cell r="AC25">
            <v>0</v>
          </cell>
          <cell r="AD25">
            <v>0</v>
          </cell>
          <cell r="AE25">
            <v>12</v>
          </cell>
          <cell r="AF25"/>
          <cell r="AG25"/>
          <cell r="AH25"/>
          <cell r="AI25">
            <v>187</v>
          </cell>
          <cell r="AJ25">
            <v>29</v>
          </cell>
          <cell r="AK25">
            <v>17</v>
          </cell>
        </row>
        <row r="26">
          <cell r="C26">
            <v>350124011</v>
          </cell>
          <cell r="D26">
            <v>0</v>
          </cell>
          <cell r="E26">
            <v>0</v>
          </cell>
          <cell r="F26">
            <v>21</v>
          </cell>
          <cell r="G26">
            <v>2</v>
          </cell>
          <cell r="H26">
            <v>6</v>
          </cell>
          <cell r="I26">
            <v>0</v>
          </cell>
          <cell r="J26">
            <v>0</v>
          </cell>
          <cell r="K26">
            <v>16</v>
          </cell>
          <cell r="L26">
            <v>7</v>
          </cell>
          <cell r="M26">
            <v>41</v>
          </cell>
          <cell r="N26">
            <v>46</v>
          </cell>
          <cell r="O26">
            <v>5</v>
          </cell>
          <cell r="P26">
            <v>1</v>
          </cell>
          <cell r="Q26">
            <v>2</v>
          </cell>
          <cell r="R26">
            <v>0</v>
          </cell>
          <cell r="S26">
            <v>0</v>
          </cell>
          <cell r="T26">
            <v>9</v>
          </cell>
          <cell r="U26">
            <v>5</v>
          </cell>
          <cell r="V26">
            <v>6</v>
          </cell>
          <cell r="W26">
            <v>0</v>
          </cell>
          <cell r="X26">
            <v>2</v>
          </cell>
          <cell r="Y26">
            <v>10</v>
          </cell>
          <cell r="Z26">
            <v>0</v>
          </cell>
          <cell r="AA26">
            <v>0</v>
          </cell>
          <cell r="AB26">
            <v>0</v>
          </cell>
          <cell r="AC26">
            <v>5</v>
          </cell>
          <cell r="AD26">
            <v>0</v>
          </cell>
          <cell r="AE26">
            <v>1</v>
          </cell>
          <cell r="AF26"/>
          <cell r="AG26"/>
          <cell r="AH26"/>
          <cell r="AI26">
            <v>185</v>
          </cell>
          <cell r="AJ26">
            <v>46</v>
          </cell>
          <cell r="AK26">
            <v>17</v>
          </cell>
        </row>
        <row r="27">
          <cell r="C27">
            <v>350124010</v>
          </cell>
          <cell r="D27">
            <v>6</v>
          </cell>
          <cell r="E27">
            <v>2</v>
          </cell>
          <cell r="F27">
            <v>0</v>
          </cell>
          <cell r="G27">
            <v>1</v>
          </cell>
          <cell r="H27">
            <v>13</v>
          </cell>
          <cell r="I27">
            <v>5</v>
          </cell>
          <cell r="J27">
            <v>0</v>
          </cell>
          <cell r="K27">
            <v>30</v>
          </cell>
          <cell r="L27">
            <v>3</v>
          </cell>
          <cell r="M27">
            <v>19</v>
          </cell>
          <cell r="N27">
            <v>4</v>
          </cell>
          <cell r="O27">
            <v>2</v>
          </cell>
          <cell r="P27">
            <v>2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12</v>
          </cell>
          <cell r="V27">
            <v>23</v>
          </cell>
          <cell r="W27">
            <v>0</v>
          </cell>
          <cell r="X27">
            <v>2</v>
          </cell>
          <cell r="Y27">
            <v>12</v>
          </cell>
          <cell r="Z27">
            <v>0</v>
          </cell>
          <cell r="AA27">
            <v>1</v>
          </cell>
          <cell r="AB27">
            <v>0</v>
          </cell>
          <cell r="AC27">
            <v>0</v>
          </cell>
          <cell r="AD27">
            <v>4</v>
          </cell>
          <cell r="AE27">
            <v>7</v>
          </cell>
          <cell r="AF27"/>
          <cell r="AG27"/>
          <cell r="AH27"/>
          <cell r="AI27">
            <v>148</v>
          </cell>
          <cell r="AJ27">
            <v>30</v>
          </cell>
          <cell r="AK27">
            <v>18</v>
          </cell>
        </row>
        <row r="28">
          <cell r="C28">
            <v>350124009</v>
          </cell>
          <cell r="D28">
            <v>1</v>
          </cell>
          <cell r="E28">
            <v>12</v>
          </cell>
          <cell r="F28">
            <v>0</v>
          </cell>
          <cell r="G28">
            <v>0</v>
          </cell>
          <cell r="H28">
            <v>16</v>
          </cell>
          <cell r="I28">
            <v>21</v>
          </cell>
          <cell r="J28">
            <v>0</v>
          </cell>
          <cell r="K28">
            <v>6</v>
          </cell>
          <cell r="L28">
            <v>0</v>
          </cell>
          <cell r="M28">
            <v>12</v>
          </cell>
          <cell r="N28">
            <v>72</v>
          </cell>
          <cell r="O28">
            <v>29</v>
          </cell>
          <cell r="P28">
            <v>0</v>
          </cell>
          <cell r="Q28">
            <v>2</v>
          </cell>
          <cell r="R28">
            <v>0</v>
          </cell>
          <cell r="S28">
            <v>0</v>
          </cell>
          <cell r="T28">
            <v>0</v>
          </cell>
          <cell r="U28">
            <v>8</v>
          </cell>
          <cell r="V28">
            <v>9</v>
          </cell>
          <cell r="W28">
            <v>0</v>
          </cell>
          <cell r="X28">
            <v>0</v>
          </cell>
          <cell r="Y28">
            <v>3</v>
          </cell>
          <cell r="Z28">
            <v>0</v>
          </cell>
          <cell r="AA28">
            <v>15</v>
          </cell>
          <cell r="AB28">
            <v>2</v>
          </cell>
          <cell r="AC28">
            <v>0</v>
          </cell>
          <cell r="AD28">
            <v>4</v>
          </cell>
          <cell r="AE28">
            <v>35</v>
          </cell>
          <cell r="AF28"/>
          <cell r="AG28"/>
          <cell r="AH28"/>
          <cell r="AI28">
            <v>247</v>
          </cell>
          <cell r="AJ28">
            <v>72</v>
          </cell>
          <cell r="AK28">
            <v>16</v>
          </cell>
        </row>
        <row r="29">
          <cell r="C29">
            <v>350124008</v>
          </cell>
          <cell r="D29">
            <v>0</v>
          </cell>
          <cell r="E29">
            <v>0</v>
          </cell>
          <cell r="F29">
            <v>11</v>
          </cell>
          <cell r="G29">
            <v>13</v>
          </cell>
          <cell r="H29">
            <v>26</v>
          </cell>
          <cell r="I29">
            <v>0</v>
          </cell>
          <cell r="J29">
            <v>0</v>
          </cell>
          <cell r="K29">
            <v>13</v>
          </cell>
          <cell r="L29">
            <v>3</v>
          </cell>
          <cell r="M29">
            <v>22</v>
          </cell>
          <cell r="N29">
            <v>12</v>
          </cell>
          <cell r="O29">
            <v>6</v>
          </cell>
          <cell r="P29">
            <v>3</v>
          </cell>
          <cell r="Q29">
            <v>5</v>
          </cell>
          <cell r="R29">
            <v>0</v>
          </cell>
          <cell r="S29">
            <v>2</v>
          </cell>
          <cell r="T29">
            <v>3</v>
          </cell>
          <cell r="U29">
            <v>2</v>
          </cell>
          <cell r="V29">
            <v>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5</v>
          </cell>
          <cell r="AB29">
            <v>0</v>
          </cell>
          <cell r="AC29">
            <v>0</v>
          </cell>
          <cell r="AD29">
            <v>0</v>
          </cell>
          <cell r="AE29">
            <v>15</v>
          </cell>
          <cell r="AF29"/>
          <cell r="AG29"/>
          <cell r="AH29"/>
          <cell r="AI29">
            <v>150</v>
          </cell>
          <cell r="AJ29">
            <v>26</v>
          </cell>
          <cell r="AK29">
            <v>16</v>
          </cell>
        </row>
        <row r="30">
          <cell r="C30">
            <v>350124007</v>
          </cell>
          <cell r="D30">
            <v>0</v>
          </cell>
          <cell r="E30">
            <v>9</v>
          </cell>
          <cell r="F30">
            <v>1</v>
          </cell>
          <cell r="G30">
            <v>6</v>
          </cell>
          <cell r="H30">
            <v>17</v>
          </cell>
          <cell r="I30">
            <v>2</v>
          </cell>
          <cell r="J30">
            <v>11</v>
          </cell>
          <cell r="K30">
            <v>9</v>
          </cell>
          <cell r="L30">
            <v>22</v>
          </cell>
          <cell r="M30">
            <v>25</v>
          </cell>
          <cell r="N30">
            <v>24</v>
          </cell>
          <cell r="O30">
            <v>3</v>
          </cell>
          <cell r="P30">
            <v>2</v>
          </cell>
          <cell r="Q30">
            <v>24</v>
          </cell>
          <cell r="R30">
            <v>0</v>
          </cell>
          <cell r="S30">
            <v>2</v>
          </cell>
          <cell r="T30">
            <v>0</v>
          </cell>
          <cell r="U30">
            <v>0</v>
          </cell>
          <cell r="V30">
            <v>12</v>
          </cell>
          <cell r="W30">
            <v>0</v>
          </cell>
          <cell r="X30">
            <v>3</v>
          </cell>
          <cell r="Y30">
            <v>12</v>
          </cell>
          <cell r="Z30">
            <v>0</v>
          </cell>
          <cell r="AA30">
            <v>0</v>
          </cell>
          <cell r="AB30">
            <v>45</v>
          </cell>
          <cell r="AC30">
            <v>0</v>
          </cell>
          <cell r="AD30">
            <v>0</v>
          </cell>
          <cell r="AE30">
            <v>2</v>
          </cell>
          <cell r="AF30"/>
          <cell r="AG30"/>
          <cell r="AH30"/>
          <cell r="AI30">
            <v>231</v>
          </cell>
          <cell r="AJ30">
            <v>45</v>
          </cell>
          <cell r="AK30">
            <v>19</v>
          </cell>
        </row>
        <row r="31">
          <cell r="C31">
            <v>350124006</v>
          </cell>
          <cell r="D31">
            <v>33</v>
          </cell>
          <cell r="E31">
            <v>32</v>
          </cell>
          <cell r="F31">
            <v>0</v>
          </cell>
          <cell r="G31">
            <v>2</v>
          </cell>
          <cell r="H31">
            <v>15</v>
          </cell>
          <cell r="I31">
            <v>18</v>
          </cell>
          <cell r="J31">
            <v>23</v>
          </cell>
          <cell r="K31">
            <v>6</v>
          </cell>
          <cell r="L31">
            <v>2</v>
          </cell>
          <cell r="M31">
            <v>37</v>
          </cell>
          <cell r="N31">
            <v>35</v>
          </cell>
          <cell r="O31">
            <v>3</v>
          </cell>
          <cell r="P31">
            <v>1</v>
          </cell>
          <cell r="Q31">
            <v>1</v>
          </cell>
          <cell r="R31">
            <v>0</v>
          </cell>
          <cell r="S31">
            <v>4</v>
          </cell>
          <cell r="T31">
            <v>0</v>
          </cell>
          <cell r="U31">
            <v>15</v>
          </cell>
          <cell r="V31">
            <v>15</v>
          </cell>
          <cell r="W31">
            <v>1</v>
          </cell>
          <cell r="X31">
            <v>0</v>
          </cell>
          <cell r="Y31">
            <v>8</v>
          </cell>
          <cell r="Z31">
            <v>0</v>
          </cell>
          <cell r="AA31">
            <v>10</v>
          </cell>
          <cell r="AB31">
            <v>0</v>
          </cell>
          <cell r="AC31">
            <v>0</v>
          </cell>
          <cell r="AD31">
            <v>10</v>
          </cell>
          <cell r="AE31">
            <v>32</v>
          </cell>
          <cell r="AF31"/>
          <cell r="AG31"/>
          <cell r="AH31"/>
          <cell r="AI31">
            <v>303</v>
          </cell>
          <cell r="AJ31">
            <v>37</v>
          </cell>
          <cell r="AK31">
            <v>21</v>
          </cell>
        </row>
        <row r="32">
          <cell r="C32">
            <v>350124005</v>
          </cell>
          <cell r="D32">
            <v>5</v>
          </cell>
          <cell r="E32">
            <v>15</v>
          </cell>
          <cell r="F32">
            <v>0</v>
          </cell>
          <cell r="G32">
            <v>0</v>
          </cell>
          <cell r="H32">
            <v>6</v>
          </cell>
          <cell r="I32">
            <v>12</v>
          </cell>
          <cell r="J32">
            <v>0</v>
          </cell>
          <cell r="K32">
            <v>15</v>
          </cell>
          <cell r="L32">
            <v>0</v>
          </cell>
          <cell r="M32">
            <v>15</v>
          </cell>
          <cell r="N32">
            <v>27</v>
          </cell>
          <cell r="O32">
            <v>17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4</v>
          </cell>
          <cell r="U32">
            <v>12</v>
          </cell>
          <cell r="V32">
            <v>6</v>
          </cell>
          <cell r="W32">
            <v>0</v>
          </cell>
          <cell r="X32">
            <v>0</v>
          </cell>
          <cell r="Y32">
            <v>15</v>
          </cell>
          <cell r="Z32">
            <v>0</v>
          </cell>
          <cell r="AA32">
            <v>10</v>
          </cell>
          <cell r="AB32">
            <v>23</v>
          </cell>
          <cell r="AC32">
            <v>0</v>
          </cell>
          <cell r="AD32">
            <v>5</v>
          </cell>
          <cell r="AE32">
            <v>29</v>
          </cell>
          <cell r="AF32"/>
          <cell r="AG32"/>
          <cell r="AH32"/>
          <cell r="AI32">
            <v>216</v>
          </cell>
          <cell r="AJ32">
            <v>29</v>
          </cell>
          <cell r="AK32">
            <v>16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83</v>
          </cell>
          <cell r="L33">
            <v>0</v>
          </cell>
          <cell r="M33">
            <v>12</v>
          </cell>
          <cell r="N33">
            <v>16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  <cell r="U33">
            <v>63</v>
          </cell>
          <cell r="V33">
            <v>26</v>
          </cell>
          <cell r="W33">
            <v>2</v>
          </cell>
          <cell r="X33">
            <v>6</v>
          </cell>
          <cell r="Y33">
            <v>36</v>
          </cell>
          <cell r="Z33">
            <v>3</v>
          </cell>
          <cell r="AA33">
            <v>6</v>
          </cell>
          <cell r="AB33">
            <v>17</v>
          </cell>
          <cell r="AC33">
            <v>4</v>
          </cell>
          <cell r="AD33">
            <v>13</v>
          </cell>
          <cell r="AE33">
            <v>16</v>
          </cell>
          <cell r="AF33"/>
          <cell r="AG33"/>
          <cell r="AH33"/>
          <cell r="AI33">
            <v>309</v>
          </cell>
          <cell r="AJ33">
            <v>83</v>
          </cell>
          <cell r="AK33">
            <v>15</v>
          </cell>
        </row>
        <row r="34">
          <cell r="C34">
            <v>350124003</v>
          </cell>
          <cell r="D34">
            <v>2</v>
          </cell>
          <cell r="E34">
            <v>17</v>
          </cell>
          <cell r="F34">
            <v>0</v>
          </cell>
          <cell r="G34">
            <v>5</v>
          </cell>
          <cell r="H34">
            <v>2</v>
          </cell>
          <cell r="I34">
            <v>5</v>
          </cell>
          <cell r="J34">
            <v>4</v>
          </cell>
          <cell r="K34">
            <v>5</v>
          </cell>
          <cell r="L34">
            <v>18</v>
          </cell>
          <cell r="M34">
            <v>29</v>
          </cell>
          <cell r="N34">
            <v>19</v>
          </cell>
          <cell r="O34">
            <v>3</v>
          </cell>
          <cell r="P34">
            <v>11.5</v>
          </cell>
          <cell r="Q34">
            <v>16</v>
          </cell>
          <cell r="R34">
            <v>7</v>
          </cell>
          <cell r="S34">
            <v>13</v>
          </cell>
          <cell r="T34">
            <v>0</v>
          </cell>
          <cell r="U34">
            <v>7</v>
          </cell>
          <cell r="V34">
            <v>12</v>
          </cell>
          <cell r="W34">
            <v>0</v>
          </cell>
          <cell r="X34">
            <v>0</v>
          </cell>
          <cell r="Y34">
            <v>23</v>
          </cell>
          <cell r="Z34">
            <v>4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11</v>
          </cell>
          <cell r="AF34"/>
          <cell r="AG34"/>
          <cell r="AH34"/>
          <cell r="AI34">
            <v>213.5</v>
          </cell>
          <cell r="AJ34">
            <v>29</v>
          </cell>
          <cell r="AK34">
            <v>20</v>
          </cell>
        </row>
        <row r="35">
          <cell r="C35">
            <v>350124002</v>
          </cell>
          <cell r="D35">
            <v>7</v>
          </cell>
          <cell r="E35">
            <v>2</v>
          </cell>
          <cell r="F35">
            <v>0</v>
          </cell>
          <cell r="G35">
            <v>0</v>
          </cell>
          <cell r="H35">
            <v>8</v>
          </cell>
          <cell r="I35">
            <v>6</v>
          </cell>
          <cell r="J35">
            <v>0</v>
          </cell>
          <cell r="K35">
            <v>40</v>
          </cell>
          <cell r="L35">
            <v>6</v>
          </cell>
          <cell r="M35">
            <v>22</v>
          </cell>
          <cell r="N35">
            <v>13</v>
          </cell>
          <cell r="O35">
            <v>8</v>
          </cell>
          <cell r="P35">
            <v>5</v>
          </cell>
          <cell r="Q35">
            <v>6</v>
          </cell>
          <cell r="R35">
            <v>3</v>
          </cell>
          <cell r="S35">
            <v>0</v>
          </cell>
          <cell r="T35">
            <v>0</v>
          </cell>
          <cell r="U35">
            <v>20</v>
          </cell>
          <cell r="V35">
            <v>40</v>
          </cell>
          <cell r="W35">
            <v>0</v>
          </cell>
          <cell r="X35">
            <v>17</v>
          </cell>
          <cell r="Y35">
            <v>17</v>
          </cell>
          <cell r="Z35">
            <v>0</v>
          </cell>
          <cell r="AA35">
            <v>23</v>
          </cell>
          <cell r="AB35">
            <v>0</v>
          </cell>
          <cell r="AC35">
            <v>0</v>
          </cell>
          <cell r="AD35">
            <v>6</v>
          </cell>
          <cell r="AE35">
            <v>46</v>
          </cell>
          <cell r="AF35"/>
          <cell r="AG35"/>
          <cell r="AH35"/>
          <cell r="AI35">
            <v>295</v>
          </cell>
          <cell r="AJ35">
            <v>46</v>
          </cell>
          <cell r="AK35">
            <v>19</v>
          </cell>
        </row>
        <row r="36">
          <cell r="C36">
            <v>350124001</v>
          </cell>
          <cell r="D36">
            <v>0</v>
          </cell>
          <cell r="E36">
            <v>10</v>
          </cell>
          <cell r="F36">
            <v>22</v>
          </cell>
          <cell r="G36">
            <v>1</v>
          </cell>
          <cell r="H36">
            <v>9</v>
          </cell>
          <cell r="I36">
            <v>13</v>
          </cell>
          <cell r="J36">
            <v>11</v>
          </cell>
          <cell r="K36">
            <v>15</v>
          </cell>
          <cell r="L36">
            <v>5</v>
          </cell>
          <cell r="M36">
            <v>27</v>
          </cell>
          <cell r="N36">
            <v>23</v>
          </cell>
          <cell r="O36">
            <v>5</v>
          </cell>
          <cell r="P36">
            <v>1</v>
          </cell>
          <cell r="Q36">
            <v>12</v>
          </cell>
          <cell r="R36">
            <v>3</v>
          </cell>
          <cell r="S36">
            <v>2</v>
          </cell>
          <cell r="T36">
            <v>23</v>
          </cell>
          <cell r="U36">
            <v>14</v>
          </cell>
          <cell r="V36">
            <v>14</v>
          </cell>
          <cell r="W36">
            <v>2</v>
          </cell>
          <cell r="X36">
            <v>24</v>
          </cell>
          <cell r="Y36">
            <v>4</v>
          </cell>
          <cell r="Z36">
            <v>0</v>
          </cell>
          <cell r="AA36">
            <v>10</v>
          </cell>
          <cell r="AB36">
            <v>0</v>
          </cell>
          <cell r="AC36">
            <v>0</v>
          </cell>
          <cell r="AD36">
            <v>3</v>
          </cell>
          <cell r="AE36">
            <v>31</v>
          </cell>
          <cell r="AF36"/>
          <cell r="AG36"/>
          <cell r="AH36"/>
          <cell r="AI36">
            <v>284</v>
          </cell>
          <cell r="AJ36">
            <v>31</v>
          </cell>
          <cell r="AK36">
            <v>24</v>
          </cell>
        </row>
        <row r="37">
          <cell r="C37">
            <v>350123037</v>
          </cell>
          <cell r="D37">
            <v>0</v>
          </cell>
          <cell r="E37">
            <v>12</v>
          </cell>
          <cell r="F37">
            <v>0</v>
          </cell>
          <cell r="G37">
            <v>1</v>
          </cell>
          <cell r="H37">
            <v>49</v>
          </cell>
          <cell r="I37">
            <v>4</v>
          </cell>
          <cell r="J37">
            <v>0</v>
          </cell>
          <cell r="K37">
            <v>3</v>
          </cell>
          <cell r="L37">
            <v>0</v>
          </cell>
          <cell r="M37">
            <v>13</v>
          </cell>
          <cell r="N37">
            <v>48</v>
          </cell>
          <cell r="O37">
            <v>70</v>
          </cell>
          <cell r="P37">
            <v>1</v>
          </cell>
          <cell r="Q37">
            <v>9</v>
          </cell>
          <cell r="R37">
            <v>0</v>
          </cell>
          <cell r="S37">
            <v>0</v>
          </cell>
          <cell r="T37">
            <v>0</v>
          </cell>
          <cell r="U37">
            <v>9</v>
          </cell>
          <cell r="V37">
            <v>15</v>
          </cell>
          <cell r="W37">
            <v>0</v>
          </cell>
          <cell r="X37">
            <v>0</v>
          </cell>
          <cell r="Y37">
            <v>3</v>
          </cell>
          <cell r="Z37">
            <v>0</v>
          </cell>
          <cell r="AA37">
            <v>1</v>
          </cell>
          <cell r="AB37">
            <v>0</v>
          </cell>
          <cell r="AC37">
            <v>0</v>
          </cell>
          <cell r="AD37">
            <v>0</v>
          </cell>
          <cell r="AE37">
            <v>11</v>
          </cell>
          <cell r="AF37"/>
          <cell r="AG37"/>
          <cell r="AH37"/>
          <cell r="AI37">
            <v>249</v>
          </cell>
          <cell r="AJ37">
            <v>70</v>
          </cell>
          <cell r="AK37">
            <v>15</v>
          </cell>
        </row>
        <row r="38">
          <cell r="C38">
            <v>350123036</v>
          </cell>
          <cell r="D38">
            <v>0</v>
          </cell>
          <cell r="E38">
            <v>10</v>
          </cell>
          <cell r="F38">
            <v>0</v>
          </cell>
          <cell r="G38">
            <v>0</v>
          </cell>
          <cell r="H38">
            <v>7</v>
          </cell>
          <cell r="I38">
            <v>19</v>
          </cell>
          <cell r="J38">
            <v>0</v>
          </cell>
          <cell r="K38">
            <v>8</v>
          </cell>
          <cell r="L38">
            <v>2</v>
          </cell>
          <cell r="M38">
            <v>6</v>
          </cell>
          <cell r="N38">
            <v>6</v>
          </cell>
          <cell r="O38">
            <v>3</v>
          </cell>
          <cell r="P38">
            <v>2</v>
          </cell>
          <cell r="Q38">
            <v>3</v>
          </cell>
          <cell r="R38">
            <v>0</v>
          </cell>
          <cell r="S38">
            <v>0</v>
          </cell>
          <cell r="T38">
            <v>0</v>
          </cell>
          <cell r="U38">
            <v>2</v>
          </cell>
          <cell r="V38">
            <v>65</v>
          </cell>
          <cell r="W38">
            <v>0</v>
          </cell>
          <cell r="X38">
            <v>1</v>
          </cell>
          <cell r="Y38">
            <v>0</v>
          </cell>
          <cell r="Z38">
            <v>0</v>
          </cell>
          <cell r="AA38">
            <v>10</v>
          </cell>
          <cell r="AB38">
            <v>0</v>
          </cell>
          <cell r="AC38">
            <v>0</v>
          </cell>
          <cell r="AD38">
            <v>0</v>
          </cell>
          <cell r="AE38">
            <v>15</v>
          </cell>
          <cell r="AF38"/>
          <cell r="AG38"/>
          <cell r="AH38"/>
          <cell r="AI38">
            <v>159</v>
          </cell>
          <cell r="AJ38">
            <v>65</v>
          </cell>
          <cell r="AK38">
            <v>15</v>
          </cell>
        </row>
        <row r="39">
          <cell r="C39">
            <v>350123035</v>
          </cell>
          <cell r="D39">
            <v>1</v>
          </cell>
          <cell r="E39">
            <v>3</v>
          </cell>
          <cell r="F39">
            <v>1</v>
          </cell>
          <cell r="G39">
            <v>1</v>
          </cell>
          <cell r="H39">
            <v>18</v>
          </cell>
          <cell r="I39">
            <v>23</v>
          </cell>
          <cell r="J39">
            <v>0</v>
          </cell>
          <cell r="K39">
            <v>3</v>
          </cell>
          <cell r="L39">
            <v>3</v>
          </cell>
          <cell r="M39">
            <v>22</v>
          </cell>
          <cell r="N39">
            <v>38</v>
          </cell>
          <cell r="O39">
            <v>30</v>
          </cell>
          <cell r="P39">
            <v>1</v>
          </cell>
          <cell r="Q39">
            <v>4</v>
          </cell>
          <cell r="R39">
            <v>0</v>
          </cell>
          <cell r="S39">
            <v>148</v>
          </cell>
          <cell r="T39">
            <v>0</v>
          </cell>
          <cell r="U39">
            <v>76</v>
          </cell>
          <cell r="V39">
            <v>36</v>
          </cell>
          <cell r="W39">
            <v>1</v>
          </cell>
          <cell r="X39">
            <v>1</v>
          </cell>
          <cell r="Y39">
            <v>0</v>
          </cell>
          <cell r="Z39">
            <v>0</v>
          </cell>
          <cell r="AA39">
            <v>1</v>
          </cell>
          <cell r="AB39">
            <v>1</v>
          </cell>
          <cell r="AC39">
            <v>7</v>
          </cell>
          <cell r="AD39">
            <v>5</v>
          </cell>
          <cell r="AE39">
            <v>11</v>
          </cell>
          <cell r="AF39"/>
          <cell r="AG39"/>
          <cell r="AH39"/>
          <cell r="AI39">
            <v>435</v>
          </cell>
          <cell r="AJ39">
            <v>148</v>
          </cell>
          <cell r="AK39">
            <v>23</v>
          </cell>
        </row>
        <row r="40">
          <cell r="C40">
            <v>350123034</v>
          </cell>
          <cell r="D40">
            <v>1</v>
          </cell>
          <cell r="E40">
            <v>18</v>
          </cell>
          <cell r="F40">
            <v>0</v>
          </cell>
          <cell r="G40">
            <v>2</v>
          </cell>
          <cell r="H40">
            <v>30</v>
          </cell>
          <cell r="I40">
            <v>36</v>
          </cell>
          <cell r="J40">
            <v>1</v>
          </cell>
          <cell r="K40">
            <v>6</v>
          </cell>
          <cell r="L40">
            <v>2</v>
          </cell>
          <cell r="M40">
            <v>15</v>
          </cell>
          <cell r="N40">
            <v>18</v>
          </cell>
          <cell r="O40">
            <v>0</v>
          </cell>
          <cell r="P40">
            <v>2</v>
          </cell>
          <cell r="Q40">
            <v>4</v>
          </cell>
          <cell r="R40">
            <v>0</v>
          </cell>
          <cell r="S40">
            <v>0</v>
          </cell>
          <cell r="T40">
            <v>0</v>
          </cell>
          <cell r="U40">
            <v>5</v>
          </cell>
          <cell r="V40">
            <v>24</v>
          </cell>
          <cell r="W40">
            <v>1</v>
          </cell>
          <cell r="X40">
            <v>0</v>
          </cell>
          <cell r="Y40">
            <v>3</v>
          </cell>
          <cell r="Z40">
            <v>0</v>
          </cell>
          <cell r="AA40">
            <v>16</v>
          </cell>
          <cell r="AB40">
            <v>5</v>
          </cell>
          <cell r="AC40">
            <v>0</v>
          </cell>
          <cell r="AD40">
            <v>2</v>
          </cell>
          <cell r="AE40">
            <v>25</v>
          </cell>
          <cell r="AF40"/>
          <cell r="AG40"/>
          <cell r="AH40"/>
          <cell r="AI40">
            <v>216</v>
          </cell>
          <cell r="AJ40">
            <v>36</v>
          </cell>
          <cell r="AK40">
            <v>20</v>
          </cell>
        </row>
        <row r="41">
          <cell r="C41">
            <v>350123033</v>
          </cell>
          <cell r="D41">
            <v>0</v>
          </cell>
          <cell r="E41">
            <v>13.5</v>
          </cell>
          <cell r="F41">
            <v>0</v>
          </cell>
          <cell r="G41">
            <v>0</v>
          </cell>
          <cell r="H41">
            <v>40</v>
          </cell>
          <cell r="I41">
            <v>12</v>
          </cell>
          <cell r="J41">
            <v>0</v>
          </cell>
          <cell r="K41">
            <v>5</v>
          </cell>
          <cell r="L41">
            <v>0</v>
          </cell>
          <cell r="M41">
            <v>17</v>
          </cell>
          <cell r="N41">
            <v>20.5</v>
          </cell>
          <cell r="O41">
            <v>8</v>
          </cell>
          <cell r="P41">
            <v>0</v>
          </cell>
          <cell r="Q41">
            <v>10.5</v>
          </cell>
          <cell r="R41">
            <v>0</v>
          </cell>
          <cell r="S41">
            <v>0</v>
          </cell>
          <cell r="T41">
            <v>0</v>
          </cell>
          <cell r="U41">
            <v>17</v>
          </cell>
          <cell r="V41">
            <v>25</v>
          </cell>
          <cell r="W41">
            <v>0</v>
          </cell>
          <cell r="X41">
            <v>0</v>
          </cell>
          <cell r="Y41">
            <v>2</v>
          </cell>
          <cell r="Z41">
            <v>0</v>
          </cell>
          <cell r="AA41">
            <v>12</v>
          </cell>
          <cell r="AB41">
            <v>0</v>
          </cell>
          <cell r="AC41">
            <v>0</v>
          </cell>
          <cell r="AD41">
            <v>0</v>
          </cell>
          <cell r="AE41">
            <v>32</v>
          </cell>
          <cell r="AF41"/>
          <cell r="AG41"/>
          <cell r="AH41"/>
          <cell r="AI41">
            <v>214.5</v>
          </cell>
          <cell r="AJ41">
            <v>40</v>
          </cell>
          <cell r="AK41">
            <v>13</v>
          </cell>
        </row>
        <row r="42">
          <cell r="C42">
            <v>350123032</v>
          </cell>
          <cell r="D42">
            <v>3</v>
          </cell>
          <cell r="E42">
            <v>0</v>
          </cell>
          <cell r="F42">
            <v>0</v>
          </cell>
          <cell r="G42">
            <v>10</v>
          </cell>
          <cell r="H42">
            <v>8</v>
          </cell>
          <cell r="I42">
            <v>0</v>
          </cell>
          <cell r="J42">
            <v>0</v>
          </cell>
          <cell r="K42">
            <v>0</v>
          </cell>
          <cell r="L42">
            <v>6</v>
          </cell>
          <cell r="M42">
            <v>32</v>
          </cell>
          <cell r="N42">
            <v>12</v>
          </cell>
          <cell r="O42">
            <v>0</v>
          </cell>
          <cell r="P42">
            <v>0</v>
          </cell>
          <cell r="Q42">
            <v>14</v>
          </cell>
          <cell r="R42">
            <v>0</v>
          </cell>
          <cell r="S42">
            <v>132</v>
          </cell>
          <cell r="T42">
            <v>3</v>
          </cell>
          <cell r="U42">
            <v>8</v>
          </cell>
          <cell r="V42">
            <v>11</v>
          </cell>
          <cell r="W42">
            <v>4</v>
          </cell>
          <cell r="X42">
            <v>2</v>
          </cell>
          <cell r="Y42">
            <v>0</v>
          </cell>
          <cell r="Z42">
            <v>0</v>
          </cell>
          <cell r="AA42">
            <v>25</v>
          </cell>
          <cell r="AB42">
            <v>0</v>
          </cell>
          <cell r="AC42">
            <v>9</v>
          </cell>
          <cell r="AD42">
            <v>9</v>
          </cell>
          <cell r="AE42">
            <v>20</v>
          </cell>
          <cell r="AF42"/>
          <cell r="AG42"/>
          <cell r="AH42"/>
          <cell r="AI42">
            <v>308</v>
          </cell>
          <cell r="AJ42">
            <v>132</v>
          </cell>
          <cell r="AK42">
            <v>17</v>
          </cell>
        </row>
        <row r="43">
          <cell r="C43">
            <v>350123031</v>
          </cell>
          <cell r="D43">
            <v>0</v>
          </cell>
          <cell r="E43">
            <v>8</v>
          </cell>
          <cell r="F43">
            <v>9</v>
          </cell>
          <cell r="G43">
            <v>2</v>
          </cell>
          <cell r="H43">
            <v>9</v>
          </cell>
          <cell r="I43">
            <v>35</v>
          </cell>
          <cell r="J43">
            <v>12</v>
          </cell>
          <cell r="K43">
            <v>14</v>
          </cell>
          <cell r="L43">
            <v>3</v>
          </cell>
          <cell r="M43">
            <v>34</v>
          </cell>
          <cell r="N43">
            <v>35</v>
          </cell>
          <cell r="O43">
            <v>9</v>
          </cell>
          <cell r="P43">
            <v>3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2</v>
          </cell>
          <cell r="V43">
            <v>20</v>
          </cell>
          <cell r="W43">
            <v>0</v>
          </cell>
          <cell r="X43">
            <v>0</v>
          </cell>
          <cell r="Y43">
            <v>10</v>
          </cell>
          <cell r="Z43">
            <v>0</v>
          </cell>
          <cell r="AA43">
            <v>17</v>
          </cell>
          <cell r="AB43">
            <v>0</v>
          </cell>
          <cell r="AC43">
            <v>0</v>
          </cell>
          <cell r="AD43">
            <v>0</v>
          </cell>
          <cell r="AE43">
            <v>46</v>
          </cell>
          <cell r="AF43"/>
          <cell r="AG43"/>
          <cell r="AH43"/>
          <cell r="AI43">
            <v>268</v>
          </cell>
          <cell r="AJ43">
            <v>46</v>
          </cell>
          <cell r="AK43">
            <v>17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2</v>
          </cell>
          <cell r="I44">
            <v>0</v>
          </cell>
          <cell r="J44">
            <v>4</v>
          </cell>
          <cell r="K44">
            <v>3</v>
          </cell>
          <cell r="L44">
            <v>14</v>
          </cell>
          <cell r="M44">
            <v>19</v>
          </cell>
          <cell r="N44">
            <v>0</v>
          </cell>
          <cell r="O44">
            <v>3</v>
          </cell>
          <cell r="P44">
            <v>0</v>
          </cell>
          <cell r="Q44">
            <v>18</v>
          </cell>
          <cell r="R44">
            <v>0</v>
          </cell>
          <cell r="S44">
            <v>15</v>
          </cell>
          <cell r="T44">
            <v>2</v>
          </cell>
          <cell r="U44">
            <v>2</v>
          </cell>
          <cell r="V44">
            <v>49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11</v>
          </cell>
          <cell r="AD44">
            <v>0</v>
          </cell>
          <cell r="AE44">
            <v>23</v>
          </cell>
          <cell r="AF44"/>
          <cell r="AG44"/>
          <cell r="AH44"/>
          <cell r="AI44">
            <v>165</v>
          </cell>
          <cell r="AJ44">
            <v>49</v>
          </cell>
          <cell r="AK44">
            <v>13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1</v>
          </cell>
          <cell r="H45">
            <v>8</v>
          </cell>
          <cell r="I45">
            <v>31</v>
          </cell>
          <cell r="J45">
            <v>2</v>
          </cell>
          <cell r="K45">
            <v>14</v>
          </cell>
          <cell r="L45">
            <v>2</v>
          </cell>
          <cell r="M45">
            <v>12</v>
          </cell>
          <cell r="N45">
            <v>9</v>
          </cell>
          <cell r="O45">
            <v>0</v>
          </cell>
          <cell r="P45">
            <v>2</v>
          </cell>
          <cell r="Q45">
            <v>38</v>
          </cell>
          <cell r="R45">
            <v>0</v>
          </cell>
          <cell r="S45">
            <v>25</v>
          </cell>
          <cell r="T45">
            <v>0</v>
          </cell>
          <cell r="U45">
            <v>23</v>
          </cell>
          <cell r="V45">
            <v>39</v>
          </cell>
          <cell r="W45">
            <v>0</v>
          </cell>
          <cell r="X45">
            <v>1</v>
          </cell>
          <cell r="Y45">
            <v>1</v>
          </cell>
          <cell r="Z45">
            <v>0</v>
          </cell>
          <cell r="AA45">
            <v>3</v>
          </cell>
          <cell r="AB45">
            <v>0</v>
          </cell>
          <cell r="AC45">
            <v>0</v>
          </cell>
          <cell r="AD45">
            <v>2</v>
          </cell>
          <cell r="AE45">
            <v>33</v>
          </cell>
          <cell r="AF45"/>
          <cell r="AG45"/>
          <cell r="AH45"/>
          <cell r="AI45">
            <v>246</v>
          </cell>
          <cell r="AJ45">
            <v>39</v>
          </cell>
          <cell r="AK45">
            <v>18</v>
          </cell>
        </row>
        <row r="46">
          <cell r="C46">
            <v>350123028</v>
          </cell>
          <cell r="D46">
            <v>0</v>
          </cell>
          <cell r="E46">
            <v>2</v>
          </cell>
          <cell r="F46">
            <v>0</v>
          </cell>
          <cell r="G46">
            <v>0</v>
          </cell>
          <cell r="H46">
            <v>2</v>
          </cell>
          <cell r="I46">
            <v>43</v>
          </cell>
          <cell r="J46">
            <v>3</v>
          </cell>
          <cell r="K46">
            <v>8</v>
          </cell>
          <cell r="L46">
            <v>3</v>
          </cell>
          <cell r="M46">
            <v>4</v>
          </cell>
          <cell r="N46">
            <v>52</v>
          </cell>
          <cell r="O46">
            <v>1</v>
          </cell>
          <cell r="P46">
            <v>0</v>
          </cell>
          <cell r="Q46">
            <v>13</v>
          </cell>
          <cell r="R46">
            <v>0</v>
          </cell>
          <cell r="S46">
            <v>8</v>
          </cell>
          <cell r="T46">
            <v>8</v>
          </cell>
          <cell r="U46">
            <v>4</v>
          </cell>
          <cell r="V46">
            <v>109</v>
          </cell>
          <cell r="W46">
            <v>0</v>
          </cell>
          <cell r="X46">
            <v>3</v>
          </cell>
          <cell r="Y46">
            <v>0</v>
          </cell>
          <cell r="Z46">
            <v>0</v>
          </cell>
          <cell r="AA46">
            <v>2</v>
          </cell>
          <cell r="AB46">
            <v>0</v>
          </cell>
          <cell r="AC46">
            <v>0</v>
          </cell>
          <cell r="AD46">
            <v>2</v>
          </cell>
          <cell r="AE46">
            <v>27</v>
          </cell>
          <cell r="AF46"/>
          <cell r="AG46"/>
          <cell r="AH46"/>
          <cell r="AI46">
            <v>294</v>
          </cell>
          <cell r="AJ46">
            <v>109</v>
          </cell>
          <cell r="AK46">
            <v>18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0</v>
          </cell>
          <cell r="G47">
            <v>11</v>
          </cell>
          <cell r="H47">
            <v>16</v>
          </cell>
          <cell r="I47">
            <v>9</v>
          </cell>
          <cell r="J47">
            <v>2</v>
          </cell>
          <cell r="K47">
            <v>5</v>
          </cell>
          <cell r="L47">
            <v>2</v>
          </cell>
          <cell r="M47">
            <v>8</v>
          </cell>
          <cell r="N47">
            <v>17</v>
          </cell>
          <cell r="O47">
            <v>21</v>
          </cell>
          <cell r="P47">
            <v>5</v>
          </cell>
          <cell r="Q47">
            <v>33</v>
          </cell>
          <cell r="R47">
            <v>0</v>
          </cell>
          <cell r="S47">
            <v>6</v>
          </cell>
          <cell r="T47">
            <v>8</v>
          </cell>
          <cell r="U47">
            <v>31</v>
          </cell>
          <cell r="V47">
            <v>49</v>
          </cell>
          <cell r="W47">
            <v>0</v>
          </cell>
          <cell r="X47">
            <v>2</v>
          </cell>
          <cell r="Y47">
            <v>1</v>
          </cell>
          <cell r="Z47">
            <v>0</v>
          </cell>
          <cell r="AA47">
            <v>9</v>
          </cell>
          <cell r="AB47">
            <v>0</v>
          </cell>
          <cell r="AC47">
            <v>1</v>
          </cell>
          <cell r="AD47">
            <v>18</v>
          </cell>
          <cell r="AE47">
            <v>2</v>
          </cell>
          <cell r="AF47"/>
          <cell r="AG47"/>
          <cell r="AH47"/>
          <cell r="AI47">
            <v>256</v>
          </cell>
          <cell r="AJ47">
            <v>49</v>
          </cell>
          <cell r="AK47">
            <v>21</v>
          </cell>
        </row>
        <row r="48">
          <cell r="C48">
            <v>350123026</v>
          </cell>
          <cell r="D48">
            <v>3</v>
          </cell>
          <cell r="E48">
            <v>4</v>
          </cell>
          <cell r="F48">
            <v>2</v>
          </cell>
          <cell r="G48">
            <v>24</v>
          </cell>
          <cell r="H48">
            <v>8</v>
          </cell>
          <cell r="I48">
            <v>0</v>
          </cell>
          <cell r="J48">
            <v>1</v>
          </cell>
          <cell r="K48">
            <v>3</v>
          </cell>
          <cell r="L48">
            <v>15</v>
          </cell>
          <cell r="M48">
            <v>14</v>
          </cell>
          <cell r="N48">
            <v>10</v>
          </cell>
          <cell r="O48">
            <v>54</v>
          </cell>
          <cell r="P48">
            <v>2</v>
          </cell>
          <cell r="Q48">
            <v>6</v>
          </cell>
          <cell r="R48">
            <v>0</v>
          </cell>
          <cell r="S48">
            <v>19</v>
          </cell>
          <cell r="T48">
            <v>2</v>
          </cell>
          <cell r="U48">
            <v>11</v>
          </cell>
          <cell r="V48">
            <v>24</v>
          </cell>
          <cell r="W48">
            <v>29</v>
          </cell>
          <cell r="X48">
            <v>5</v>
          </cell>
          <cell r="Y48">
            <v>1</v>
          </cell>
          <cell r="Z48">
            <v>0</v>
          </cell>
          <cell r="AA48">
            <v>16</v>
          </cell>
          <cell r="AB48">
            <v>0</v>
          </cell>
          <cell r="AC48">
            <v>3</v>
          </cell>
          <cell r="AD48">
            <v>1</v>
          </cell>
          <cell r="AE48">
            <v>29</v>
          </cell>
          <cell r="AF48"/>
          <cell r="AG48"/>
          <cell r="AH48"/>
          <cell r="AI48">
            <v>286</v>
          </cell>
          <cell r="AJ48">
            <v>54</v>
          </cell>
          <cell r="AK48">
            <v>24</v>
          </cell>
        </row>
        <row r="49">
          <cell r="C49">
            <v>350123025</v>
          </cell>
          <cell r="D49">
            <v>12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22</v>
          </cell>
          <cell r="J49">
            <v>18</v>
          </cell>
          <cell r="K49">
            <v>18</v>
          </cell>
          <cell r="L49">
            <v>14</v>
          </cell>
          <cell r="M49">
            <v>10</v>
          </cell>
          <cell r="N49">
            <v>2</v>
          </cell>
          <cell r="O49">
            <v>2</v>
          </cell>
          <cell r="P49">
            <v>28</v>
          </cell>
          <cell r="Q49">
            <v>54</v>
          </cell>
          <cell r="R49">
            <v>0</v>
          </cell>
          <cell r="S49">
            <v>54</v>
          </cell>
          <cell r="T49">
            <v>32</v>
          </cell>
          <cell r="U49">
            <v>24</v>
          </cell>
          <cell r="V49">
            <v>76</v>
          </cell>
          <cell r="W49">
            <v>0</v>
          </cell>
          <cell r="X49">
            <v>18</v>
          </cell>
          <cell r="Y49">
            <v>0</v>
          </cell>
          <cell r="Z49">
            <v>0</v>
          </cell>
          <cell r="AA49">
            <v>0</v>
          </cell>
          <cell r="AB49">
            <v>2</v>
          </cell>
          <cell r="AC49">
            <v>10</v>
          </cell>
          <cell r="AD49">
            <v>4</v>
          </cell>
          <cell r="AE49">
            <v>72</v>
          </cell>
          <cell r="AF49"/>
          <cell r="AG49"/>
          <cell r="AH49"/>
          <cell r="AI49">
            <v>472</v>
          </cell>
          <cell r="AJ49">
            <v>76</v>
          </cell>
          <cell r="AK49">
            <v>19</v>
          </cell>
        </row>
        <row r="50">
          <cell r="C50">
            <v>350123024</v>
          </cell>
          <cell r="D50">
            <v>3</v>
          </cell>
          <cell r="E50">
            <v>2</v>
          </cell>
          <cell r="F50">
            <v>9</v>
          </cell>
          <cell r="G50">
            <v>2</v>
          </cell>
          <cell r="H50">
            <v>24.5</v>
          </cell>
          <cell r="I50">
            <v>2</v>
          </cell>
          <cell r="J50">
            <v>1.5</v>
          </cell>
          <cell r="K50">
            <v>2</v>
          </cell>
          <cell r="L50">
            <v>10</v>
          </cell>
          <cell r="M50">
            <v>38</v>
          </cell>
          <cell r="N50">
            <v>9</v>
          </cell>
          <cell r="O50">
            <v>22</v>
          </cell>
          <cell r="P50">
            <v>6</v>
          </cell>
          <cell r="Q50">
            <v>8</v>
          </cell>
          <cell r="R50">
            <v>0</v>
          </cell>
          <cell r="S50">
            <v>65</v>
          </cell>
          <cell r="T50">
            <v>5</v>
          </cell>
          <cell r="U50">
            <v>7</v>
          </cell>
          <cell r="V50">
            <v>23</v>
          </cell>
          <cell r="W50">
            <v>4</v>
          </cell>
          <cell r="X50">
            <v>0</v>
          </cell>
          <cell r="Y50">
            <v>0</v>
          </cell>
          <cell r="Z50">
            <v>0</v>
          </cell>
          <cell r="AA50">
            <v>11</v>
          </cell>
          <cell r="AB50">
            <v>0</v>
          </cell>
          <cell r="AC50">
            <v>4</v>
          </cell>
          <cell r="AD50">
            <v>22</v>
          </cell>
          <cell r="AE50">
            <v>34</v>
          </cell>
          <cell r="AF50"/>
          <cell r="AG50"/>
          <cell r="AH50"/>
          <cell r="AI50">
            <v>314</v>
          </cell>
          <cell r="AJ50">
            <v>65</v>
          </cell>
          <cell r="AK50">
            <v>23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12</v>
          </cell>
          <cell r="G51">
            <v>1</v>
          </cell>
          <cell r="H51">
            <v>0</v>
          </cell>
          <cell r="I51">
            <v>0</v>
          </cell>
          <cell r="J51">
            <v>6</v>
          </cell>
          <cell r="K51">
            <v>9</v>
          </cell>
          <cell r="L51">
            <v>12</v>
          </cell>
          <cell r="M51">
            <v>10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48</v>
          </cell>
          <cell r="T51">
            <v>15</v>
          </cell>
          <cell r="U51">
            <v>30</v>
          </cell>
          <cell r="V51">
            <v>59</v>
          </cell>
          <cell r="W51">
            <v>0</v>
          </cell>
          <cell r="X51">
            <v>0</v>
          </cell>
          <cell r="Y51">
            <v>3</v>
          </cell>
          <cell r="Z51">
            <v>0</v>
          </cell>
          <cell r="AA51">
            <v>3</v>
          </cell>
          <cell r="AB51">
            <v>0</v>
          </cell>
          <cell r="AC51">
            <v>7</v>
          </cell>
          <cell r="AD51">
            <v>7</v>
          </cell>
          <cell r="AE51">
            <v>26</v>
          </cell>
          <cell r="AF51"/>
          <cell r="AG51"/>
          <cell r="AH51"/>
          <cell r="AI51">
            <v>248</v>
          </cell>
          <cell r="AJ51">
            <v>59</v>
          </cell>
          <cell r="AK51">
            <v>15</v>
          </cell>
        </row>
        <row r="52">
          <cell r="C52">
            <v>350123022</v>
          </cell>
          <cell r="D52">
            <v>0</v>
          </cell>
          <cell r="E52">
            <v>6</v>
          </cell>
          <cell r="F52">
            <v>0</v>
          </cell>
          <cell r="G52">
            <v>6</v>
          </cell>
          <cell r="H52">
            <v>18</v>
          </cell>
          <cell r="I52">
            <v>10</v>
          </cell>
          <cell r="J52">
            <v>0</v>
          </cell>
          <cell r="K52">
            <v>2</v>
          </cell>
          <cell r="L52">
            <v>4</v>
          </cell>
          <cell r="M52">
            <v>10</v>
          </cell>
          <cell r="N52">
            <v>20</v>
          </cell>
          <cell r="O52">
            <v>70</v>
          </cell>
          <cell r="P52">
            <v>1</v>
          </cell>
          <cell r="Q52">
            <v>13</v>
          </cell>
          <cell r="R52">
            <v>0</v>
          </cell>
          <cell r="S52">
            <v>10</v>
          </cell>
          <cell r="T52">
            <v>2</v>
          </cell>
          <cell r="U52">
            <v>2</v>
          </cell>
          <cell r="V52">
            <v>13</v>
          </cell>
          <cell r="W52">
            <v>0</v>
          </cell>
          <cell r="X52">
            <v>4</v>
          </cell>
          <cell r="Y52">
            <v>0</v>
          </cell>
          <cell r="Z52">
            <v>0</v>
          </cell>
          <cell r="AA52">
            <v>4</v>
          </cell>
          <cell r="AB52">
            <v>0</v>
          </cell>
          <cell r="AC52">
            <v>0</v>
          </cell>
          <cell r="AD52">
            <v>20</v>
          </cell>
          <cell r="AE52">
            <v>11</v>
          </cell>
          <cell r="AF52"/>
          <cell r="AG52"/>
          <cell r="AH52"/>
          <cell r="AI52">
            <v>226</v>
          </cell>
          <cell r="AJ52">
            <v>70</v>
          </cell>
          <cell r="AK52">
            <v>19</v>
          </cell>
        </row>
        <row r="53">
          <cell r="C53">
            <v>350123021</v>
          </cell>
          <cell r="D53">
            <v>2</v>
          </cell>
          <cell r="E53">
            <v>0</v>
          </cell>
          <cell r="F53">
            <v>8</v>
          </cell>
          <cell r="G53">
            <v>2</v>
          </cell>
          <cell r="H53">
            <v>44</v>
          </cell>
          <cell r="I53">
            <v>0</v>
          </cell>
          <cell r="J53">
            <v>0</v>
          </cell>
          <cell r="K53">
            <v>2</v>
          </cell>
          <cell r="L53">
            <v>2</v>
          </cell>
          <cell r="M53">
            <v>36</v>
          </cell>
          <cell r="N53">
            <v>7</v>
          </cell>
          <cell r="O53">
            <v>22</v>
          </cell>
          <cell r="P53">
            <v>14</v>
          </cell>
          <cell r="Q53">
            <v>46</v>
          </cell>
          <cell r="R53">
            <v>0</v>
          </cell>
          <cell r="S53">
            <v>36</v>
          </cell>
          <cell r="T53">
            <v>16</v>
          </cell>
          <cell r="U53">
            <v>11</v>
          </cell>
          <cell r="V53">
            <v>45</v>
          </cell>
          <cell r="W53">
            <v>19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8</v>
          </cell>
          <cell r="AD53">
            <v>20</v>
          </cell>
          <cell r="AE53">
            <v>33</v>
          </cell>
          <cell r="AF53"/>
          <cell r="AG53"/>
          <cell r="AH53"/>
          <cell r="AI53">
            <v>373</v>
          </cell>
          <cell r="AJ53">
            <v>46</v>
          </cell>
          <cell r="AK53">
            <v>19</v>
          </cell>
        </row>
        <row r="54">
          <cell r="C54">
            <v>350123020</v>
          </cell>
          <cell r="D54">
            <v>23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3</v>
          </cell>
          <cell r="M54">
            <v>6</v>
          </cell>
          <cell r="N54">
            <v>0</v>
          </cell>
          <cell r="O54">
            <v>4</v>
          </cell>
          <cell r="P54">
            <v>3</v>
          </cell>
          <cell r="Q54">
            <v>23</v>
          </cell>
          <cell r="R54">
            <v>0</v>
          </cell>
          <cell r="S54">
            <v>69</v>
          </cell>
          <cell r="T54">
            <v>3</v>
          </cell>
          <cell r="U54">
            <v>23</v>
          </cell>
          <cell r="V54">
            <v>44</v>
          </cell>
          <cell r="W54">
            <v>0</v>
          </cell>
          <cell r="X54">
            <v>5</v>
          </cell>
          <cell r="Y54">
            <v>0</v>
          </cell>
          <cell r="Z54">
            <v>0</v>
          </cell>
          <cell r="AA54">
            <v>0</v>
          </cell>
          <cell r="AB54">
            <v>1</v>
          </cell>
          <cell r="AC54">
            <v>19</v>
          </cell>
          <cell r="AD54">
            <v>2</v>
          </cell>
          <cell r="AE54">
            <v>27</v>
          </cell>
          <cell r="AF54"/>
          <cell r="AG54"/>
          <cell r="AH54"/>
          <cell r="AI54">
            <v>255</v>
          </cell>
          <cell r="AJ54">
            <v>69</v>
          </cell>
          <cell r="AK54">
            <v>15</v>
          </cell>
        </row>
        <row r="55">
          <cell r="C55">
            <v>350123019</v>
          </cell>
          <cell r="D55">
            <v>3</v>
          </cell>
          <cell r="E55">
            <v>0</v>
          </cell>
          <cell r="F55">
            <v>4.5</v>
          </cell>
          <cell r="G55">
            <v>0</v>
          </cell>
          <cell r="H55">
            <v>28</v>
          </cell>
          <cell r="I55">
            <v>2.5</v>
          </cell>
          <cell r="J55">
            <v>11</v>
          </cell>
          <cell r="K55">
            <v>2</v>
          </cell>
          <cell r="L55">
            <v>3.5</v>
          </cell>
          <cell r="M55">
            <v>15.5</v>
          </cell>
          <cell r="N55">
            <v>10</v>
          </cell>
          <cell r="O55">
            <v>15</v>
          </cell>
          <cell r="P55">
            <v>3</v>
          </cell>
          <cell r="Q55">
            <v>0</v>
          </cell>
          <cell r="R55">
            <v>0</v>
          </cell>
          <cell r="S55">
            <v>18</v>
          </cell>
          <cell r="T55">
            <v>6.5</v>
          </cell>
          <cell r="U55">
            <v>2</v>
          </cell>
          <cell r="V55">
            <v>28</v>
          </cell>
          <cell r="W55">
            <v>0</v>
          </cell>
          <cell r="X55">
            <v>1.5</v>
          </cell>
          <cell r="Y55">
            <v>0</v>
          </cell>
          <cell r="Z55">
            <v>0</v>
          </cell>
          <cell r="AA55">
            <v>2.5</v>
          </cell>
          <cell r="AB55">
            <v>0</v>
          </cell>
          <cell r="AC55">
            <v>0</v>
          </cell>
          <cell r="AD55">
            <v>12</v>
          </cell>
          <cell r="AE55">
            <v>15</v>
          </cell>
          <cell r="AF55"/>
          <cell r="AG55"/>
          <cell r="AH55"/>
          <cell r="AI55">
            <v>183.5</v>
          </cell>
          <cell r="AJ55">
            <v>28</v>
          </cell>
          <cell r="AK55">
            <v>19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3</v>
          </cell>
          <cell r="G56">
            <v>0</v>
          </cell>
          <cell r="H56">
            <v>3</v>
          </cell>
          <cell r="I56">
            <v>0</v>
          </cell>
          <cell r="J56">
            <v>3</v>
          </cell>
          <cell r="K56">
            <v>0</v>
          </cell>
          <cell r="L56">
            <v>1</v>
          </cell>
          <cell r="M56">
            <v>42</v>
          </cell>
          <cell r="N56">
            <v>2</v>
          </cell>
          <cell r="O56">
            <v>3</v>
          </cell>
          <cell r="P56">
            <v>6</v>
          </cell>
          <cell r="Q56">
            <v>16</v>
          </cell>
          <cell r="R56">
            <v>0</v>
          </cell>
          <cell r="S56">
            <v>3</v>
          </cell>
          <cell r="T56">
            <v>6</v>
          </cell>
          <cell r="U56">
            <v>21</v>
          </cell>
          <cell r="V56">
            <v>30</v>
          </cell>
          <cell r="W56">
            <v>0</v>
          </cell>
          <cell r="X56">
            <v>3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</v>
          </cell>
          <cell r="AE56">
            <v>24</v>
          </cell>
          <cell r="AF56"/>
          <cell r="AG56"/>
          <cell r="AH56"/>
          <cell r="AI56">
            <v>182</v>
          </cell>
          <cell r="AJ56">
            <v>42</v>
          </cell>
          <cell r="AK56">
            <v>16</v>
          </cell>
        </row>
        <row r="57">
          <cell r="C57">
            <v>350123017</v>
          </cell>
          <cell r="D57">
            <v>0</v>
          </cell>
          <cell r="E57">
            <v>14</v>
          </cell>
          <cell r="F57">
            <v>0</v>
          </cell>
          <cell r="G57">
            <v>0</v>
          </cell>
          <cell r="H57">
            <v>8</v>
          </cell>
          <cell r="I57">
            <v>11</v>
          </cell>
          <cell r="J57">
            <v>0</v>
          </cell>
          <cell r="K57">
            <v>5</v>
          </cell>
          <cell r="L57">
            <v>4</v>
          </cell>
          <cell r="M57">
            <v>9</v>
          </cell>
          <cell r="N57">
            <v>2</v>
          </cell>
          <cell r="O57">
            <v>9</v>
          </cell>
          <cell r="P57">
            <v>0</v>
          </cell>
          <cell r="Q57">
            <v>2</v>
          </cell>
          <cell r="R57">
            <v>0</v>
          </cell>
          <cell r="S57">
            <v>0</v>
          </cell>
          <cell r="T57">
            <v>0</v>
          </cell>
          <cell r="U57">
            <v>5</v>
          </cell>
          <cell r="V57">
            <v>32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6</v>
          </cell>
          <cell r="AB57">
            <v>2</v>
          </cell>
          <cell r="AC57">
            <v>0</v>
          </cell>
          <cell r="AD57">
            <v>2</v>
          </cell>
          <cell r="AE57">
            <v>35</v>
          </cell>
          <cell r="AF57"/>
          <cell r="AG57"/>
          <cell r="AH57"/>
          <cell r="AI57">
            <v>146</v>
          </cell>
          <cell r="AJ57">
            <v>35</v>
          </cell>
          <cell r="AK57">
            <v>15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1</v>
          </cell>
          <cell r="G58">
            <v>3.5</v>
          </cell>
          <cell r="H58">
            <v>12.5</v>
          </cell>
          <cell r="I58">
            <v>14</v>
          </cell>
          <cell r="J58">
            <v>0</v>
          </cell>
          <cell r="K58">
            <v>3</v>
          </cell>
          <cell r="L58">
            <v>16</v>
          </cell>
          <cell r="M58">
            <v>17</v>
          </cell>
          <cell r="N58">
            <v>31</v>
          </cell>
          <cell r="O58">
            <v>40</v>
          </cell>
          <cell r="P58">
            <v>2</v>
          </cell>
          <cell r="Q58">
            <v>20.5</v>
          </cell>
          <cell r="R58">
            <v>0</v>
          </cell>
          <cell r="S58">
            <v>55</v>
          </cell>
          <cell r="T58">
            <v>1</v>
          </cell>
          <cell r="U58">
            <v>14</v>
          </cell>
          <cell r="V58">
            <v>58</v>
          </cell>
          <cell r="W58">
            <v>1</v>
          </cell>
          <cell r="X58">
            <v>2</v>
          </cell>
          <cell r="Y58">
            <v>0</v>
          </cell>
          <cell r="Z58">
            <v>0</v>
          </cell>
          <cell r="AA58">
            <v>24</v>
          </cell>
          <cell r="AB58">
            <v>1</v>
          </cell>
          <cell r="AC58">
            <v>15</v>
          </cell>
          <cell r="AD58">
            <v>3</v>
          </cell>
          <cell r="AE58">
            <v>14</v>
          </cell>
          <cell r="AF58"/>
          <cell r="AG58"/>
          <cell r="AH58"/>
          <cell r="AI58">
            <v>348.5</v>
          </cell>
          <cell r="AJ58">
            <v>58</v>
          </cell>
          <cell r="AK58">
            <v>22</v>
          </cell>
        </row>
        <row r="59">
          <cell r="C59">
            <v>350123015</v>
          </cell>
          <cell r="D59">
            <v>0</v>
          </cell>
          <cell r="E59">
            <v>0</v>
          </cell>
          <cell r="F59">
            <v>4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22</v>
          </cell>
          <cell r="N59">
            <v>0</v>
          </cell>
          <cell r="O59">
            <v>3</v>
          </cell>
          <cell r="P59">
            <v>0</v>
          </cell>
          <cell r="Q59">
            <v>7</v>
          </cell>
          <cell r="R59">
            <v>0</v>
          </cell>
          <cell r="S59">
            <v>3</v>
          </cell>
          <cell r="T59">
            <v>17</v>
          </cell>
          <cell r="U59">
            <v>3</v>
          </cell>
          <cell r="V59">
            <v>37</v>
          </cell>
          <cell r="W59">
            <v>0</v>
          </cell>
          <cell r="X59">
            <v>3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19</v>
          </cell>
          <cell r="AF59"/>
          <cell r="AG59"/>
          <cell r="AH59"/>
          <cell r="AI59">
            <v>118</v>
          </cell>
          <cell r="AJ59">
            <v>37</v>
          </cell>
          <cell r="AK59">
            <v>10</v>
          </cell>
        </row>
        <row r="60">
          <cell r="C60">
            <v>350123014</v>
          </cell>
          <cell r="D60">
            <v>0</v>
          </cell>
          <cell r="E60">
            <v>2</v>
          </cell>
          <cell r="F60">
            <v>4</v>
          </cell>
          <cell r="G60">
            <v>0</v>
          </cell>
          <cell r="H60">
            <v>12</v>
          </cell>
          <cell r="I60">
            <v>4</v>
          </cell>
          <cell r="J60">
            <v>6</v>
          </cell>
          <cell r="K60">
            <v>6</v>
          </cell>
          <cell r="L60">
            <v>4</v>
          </cell>
          <cell r="M60">
            <v>26</v>
          </cell>
          <cell r="N60">
            <v>38</v>
          </cell>
          <cell r="O60">
            <v>26</v>
          </cell>
          <cell r="P60">
            <v>14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4</v>
          </cell>
          <cell r="V60">
            <v>36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8</v>
          </cell>
          <cell r="AB60">
            <v>0</v>
          </cell>
          <cell r="AC60">
            <v>16</v>
          </cell>
          <cell r="AD60">
            <v>6</v>
          </cell>
          <cell r="AE60">
            <v>22</v>
          </cell>
          <cell r="AF60"/>
          <cell r="AG60"/>
          <cell r="AH60"/>
          <cell r="AI60">
            <v>234</v>
          </cell>
          <cell r="AJ60">
            <v>38</v>
          </cell>
          <cell r="AK60">
            <v>17</v>
          </cell>
        </row>
        <row r="61">
          <cell r="C61">
            <v>350123013</v>
          </cell>
          <cell r="D61">
            <v>0</v>
          </cell>
          <cell r="E61">
            <v>2</v>
          </cell>
          <cell r="F61">
            <v>2</v>
          </cell>
          <cell r="G61">
            <v>3</v>
          </cell>
          <cell r="H61">
            <v>34</v>
          </cell>
          <cell r="I61">
            <v>30</v>
          </cell>
          <cell r="J61">
            <v>44</v>
          </cell>
          <cell r="K61">
            <v>6</v>
          </cell>
          <cell r="L61">
            <v>4</v>
          </cell>
          <cell r="M61">
            <v>20</v>
          </cell>
          <cell r="N61">
            <v>23</v>
          </cell>
          <cell r="O61">
            <v>42</v>
          </cell>
          <cell r="P61">
            <v>2</v>
          </cell>
          <cell r="Q61">
            <v>3</v>
          </cell>
          <cell r="R61">
            <v>0</v>
          </cell>
          <cell r="S61">
            <v>0</v>
          </cell>
          <cell r="T61">
            <v>0</v>
          </cell>
          <cell r="U61">
            <v>2</v>
          </cell>
          <cell r="V61">
            <v>17</v>
          </cell>
          <cell r="W61">
            <v>7</v>
          </cell>
          <cell r="X61">
            <v>2</v>
          </cell>
          <cell r="Y61">
            <v>0</v>
          </cell>
          <cell r="Z61">
            <v>0</v>
          </cell>
          <cell r="AA61">
            <v>6</v>
          </cell>
          <cell r="AB61">
            <v>12</v>
          </cell>
          <cell r="AC61">
            <v>0</v>
          </cell>
          <cell r="AD61">
            <v>19</v>
          </cell>
          <cell r="AE61">
            <v>25</v>
          </cell>
          <cell r="AF61"/>
          <cell r="AG61"/>
          <cell r="AH61"/>
          <cell r="AI61">
            <v>305</v>
          </cell>
          <cell r="AJ61">
            <v>44</v>
          </cell>
          <cell r="AK61">
            <v>21</v>
          </cell>
        </row>
        <row r="62">
          <cell r="C62">
            <v>350123012</v>
          </cell>
          <cell r="D62">
            <v>0</v>
          </cell>
          <cell r="E62">
            <v>39</v>
          </cell>
          <cell r="F62">
            <v>0</v>
          </cell>
          <cell r="G62">
            <v>0</v>
          </cell>
          <cell r="H62">
            <v>0</v>
          </cell>
          <cell r="I62">
            <v>13</v>
          </cell>
          <cell r="J62">
            <v>30</v>
          </cell>
          <cell r="K62">
            <v>6</v>
          </cell>
          <cell r="L62">
            <v>1</v>
          </cell>
          <cell r="M62">
            <v>13</v>
          </cell>
          <cell r="N62">
            <v>1</v>
          </cell>
          <cell r="O62">
            <v>0</v>
          </cell>
          <cell r="P62">
            <v>0</v>
          </cell>
          <cell r="Q62">
            <v>12</v>
          </cell>
          <cell r="R62">
            <v>0</v>
          </cell>
          <cell r="S62">
            <v>52</v>
          </cell>
          <cell r="T62">
            <v>18</v>
          </cell>
          <cell r="U62">
            <v>9</v>
          </cell>
          <cell r="V62">
            <v>79</v>
          </cell>
          <cell r="W62">
            <v>0</v>
          </cell>
          <cell r="X62">
            <v>16</v>
          </cell>
          <cell r="Y62">
            <v>0</v>
          </cell>
          <cell r="Z62">
            <v>0</v>
          </cell>
          <cell r="AA62">
            <v>13</v>
          </cell>
          <cell r="AB62">
            <v>15</v>
          </cell>
          <cell r="AC62">
            <v>0</v>
          </cell>
          <cell r="AD62">
            <v>10</v>
          </cell>
          <cell r="AE62">
            <v>19</v>
          </cell>
          <cell r="AF62"/>
          <cell r="AG62"/>
          <cell r="AH62"/>
          <cell r="AI62">
            <v>346</v>
          </cell>
          <cell r="AJ62">
            <v>79</v>
          </cell>
          <cell r="AK62">
            <v>17</v>
          </cell>
        </row>
        <row r="63">
          <cell r="C63">
            <v>350123011</v>
          </cell>
          <cell r="D63">
            <v>0</v>
          </cell>
          <cell r="E63">
            <v>21</v>
          </cell>
          <cell r="F63">
            <v>0</v>
          </cell>
          <cell r="G63">
            <v>4</v>
          </cell>
          <cell r="H63">
            <v>52</v>
          </cell>
          <cell r="I63">
            <v>15</v>
          </cell>
          <cell r="J63">
            <v>0</v>
          </cell>
          <cell r="K63">
            <v>7</v>
          </cell>
          <cell r="L63">
            <v>1</v>
          </cell>
          <cell r="M63">
            <v>22</v>
          </cell>
          <cell r="N63">
            <v>3</v>
          </cell>
          <cell r="O63">
            <v>2</v>
          </cell>
          <cell r="P63">
            <v>0</v>
          </cell>
          <cell r="Q63">
            <v>24</v>
          </cell>
          <cell r="R63">
            <v>0</v>
          </cell>
          <cell r="S63">
            <v>1</v>
          </cell>
          <cell r="T63">
            <v>0</v>
          </cell>
          <cell r="U63">
            <v>14</v>
          </cell>
          <cell r="V63">
            <v>15</v>
          </cell>
          <cell r="W63">
            <v>1</v>
          </cell>
          <cell r="X63">
            <v>1</v>
          </cell>
          <cell r="Y63">
            <v>3</v>
          </cell>
          <cell r="Z63">
            <v>0</v>
          </cell>
          <cell r="AA63">
            <v>26</v>
          </cell>
          <cell r="AB63">
            <v>0</v>
          </cell>
          <cell r="AC63">
            <v>0</v>
          </cell>
          <cell r="AD63">
            <v>1</v>
          </cell>
          <cell r="AE63">
            <v>30</v>
          </cell>
          <cell r="AF63"/>
          <cell r="AG63"/>
          <cell r="AH63"/>
          <cell r="AI63">
            <v>243</v>
          </cell>
          <cell r="AJ63">
            <v>52</v>
          </cell>
          <cell r="AK63">
            <v>19</v>
          </cell>
        </row>
        <row r="64">
          <cell r="C64">
            <v>350123010</v>
          </cell>
          <cell r="D64">
            <v>0</v>
          </cell>
          <cell r="E64">
            <v>0</v>
          </cell>
          <cell r="F64">
            <v>0</v>
          </cell>
          <cell r="G64">
            <v>2</v>
          </cell>
          <cell r="H64">
            <v>1</v>
          </cell>
          <cell r="I64">
            <v>0</v>
          </cell>
          <cell r="J64">
            <v>2</v>
          </cell>
          <cell r="K64">
            <v>2</v>
          </cell>
          <cell r="L64">
            <v>1</v>
          </cell>
          <cell r="M64">
            <v>19</v>
          </cell>
          <cell r="N64">
            <v>2</v>
          </cell>
          <cell r="O64">
            <v>3</v>
          </cell>
          <cell r="P64">
            <v>0</v>
          </cell>
          <cell r="Q64">
            <v>8</v>
          </cell>
          <cell r="R64">
            <v>0</v>
          </cell>
          <cell r="S64">
            <v>7</v>
          </cell>
          <cell r="T64">
            <v>21</v>
          </cell>
          <cell r="U64">
            <v>19</v>
          </cell>
          <cell r="V64">
            <v>48</v>
          </cell>
          <cell r="W64">
            <v>0</v>
          </cell>
          <cell r="X64">
            <v>2</v>
          </cell>
          <cell r="Y64">
            <v>0</v>
          </cell>
          <cell r="Z64">
            <v>0</v>
          </cell>
          <cell r="AA64">
            <v>3</v>
          </cell>
          <cell r="AB64">
            <v>0</v>
          </cell>
          <cell r="AC64">
            <v>0</v>
          </cell>
          <cell r="AD64">
            <v>20</v>
          </cell>
          <cell r="AE64">
            <v>14</v>
          </cell>
          <cell r="AF64"/>
          <cell r="AG64"/>
          <cell r="AH64"/>
          <cell r="AI64">
            <v>174</v>
          </cell>
          <cell r="AJ64">
            <v>48</v>
          </cell>
          <cell r="AK64">
            <v>17</v>
          </cell>
        </row>
        <row r="65">
          <cell r="C65">
            <v>350123009</v>
          </cell>
          <cell r="D65">
            <v>0</v>
          </cell>
          <cell r="E65">
            <v>2</v>
          </cell>
          <cell r="F65">
            <v>0</v>
          </cell>
          <cell r="G65">
            <v>0</v>
          </cell>
          <cell r="H65">
            <v>1.5</v>
          </cell>
          <cell r="I65">
            <v>2</v>
          </cell>
          <cell r="J65">
            <v>3</v>
          </cell>
          <cell r="K65">
            <v>7</v>
          </cell>
          <cell r="L65">
            <v>1.5</v>
          </cell>
          <cell r="M65">
            <v>8</v>
          </cell>
          <cell r="N65">
            <v>0</v>
          </cell>
          <cell r="O65">
            <v>4.5</v>
          </cell>
          <cell r="P65">
            <v>4</v>
          </cell>
          <cell r="Q65">
            <v>14.5</v>
          </cell>
          <cell r="R65">
            <v>0</v>
          </cell>
          <cell r="S65">
            <v>15</v>
          </cell>
          <cell r="T65">
            <v>9</v>
          </cell>
          <cell r="U65">
            <v>16.5</v>
          </cell>
          <cell r="V65">
            <v>58</v>
          </cell>
          <cell r="W65">
            <v>0</v>
          </cell>
          <cell r="X65">
            <v>3</v>
          </cell>
          <cell r="Y65">
            <v>0</v>
          </cell>
          <cell r="Z65">
            <v>0</v>
          </cell>
          <cell r="AA65">
            <v>13.5</v>
          </cell>
          <cell r="AB65">
            <v>0</v>
          </cell>
          <cell r="AC65">
            <v>11</v>
          </cell>
          <cell r="AD65">
            <v>4</v>
          </cell>
          <cell r="AE65">
            <v>36</v>
          </cell>
          <cell r="AF65"/>
          <cell r="AG65"/>
          <cell r="AH65"/>
          <cell r="AI65">
            <v>214</v>
          </cell>
          <cell r="AJ65">
            <v>58</v>
          </cell>
          <cell r="AK65">
            <v>19</v>
          </cell>
        </row>
        <row r="66">
          <cell r="C66">
            <v>350123008</v>
          </cell>
          <cell r="D66">
            <v>0</v>
          </cell>
          <cell r="E66">
            <v>5</v>
          </cell>
          <cell r="F66">
            <v>0</v>
          </cell>
          <cell r="G66">
            <v>0</v>
          </cell>
          <cell r="H66">
            <v>10</v>
          </cell>
          <cell r="I66">
            <v>5</v>
          </cell>
          <cell r="J66">
            <v>4</v>
          </cell>
          <cell r="K66">
            <v>4</v>
          </cell>
          <cell r="L66">
            <v>0</v>
          </cell>
          <cell r="M66">
            <v>4</v>
          </cell>
          <cell r="N66">
            <v>5</v>
          </cell>
          <cell r="O66">
            <v>25</v>
          </cell>
          <cell r="P66">
            <v>0</v>
          </cell>
          <cell r="Q66">
            <v>0</v>
          </cell>
          <cell r="R66">
            <v>0</v>
          </cell>
          <cell r="S66">
            <v>3</v>
          </cell>
          <cell r="T66">
            <v>0</v>
          </cell>
          <cell r="U66">
            <v>28</v>
          </cell>
          <cell r="V66">
            <v>36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3</v>
          </cell>
          <cell r="AB66">
            <v>2</v>
          </cell>
          <cell r="AC66">
            <v>0</v>
          </cell>
          <cell r="AD66">
            <v>0</v>
          </cell>
          <cell r="AE66">
            <v>35</v>
          </cell>
          <cell r="AF66"/>
          <cell r="AG66"/>
          <cell r="AH66"/>
          <cell r="AI66">
            <v>169</v>
          </cell>
          <cell r="AJ66">
            <v>36</v>
          </cell>
          <cell r="AK66">
            <v>14</v>
          </cell>
        </row>
        <row r="67">
          <cell r="C67">
            <v>350123007</v>
          </cell>
          <cell r="D67">
            <v>10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12</v>
          </cell>
          <cell r="L67">
            <v>3</v>
          </cell>
          <cell r="M67">
            <v>4</v>
          </cell>
          <cell r="N67">
            <v>3</v>
          </cell>
          <cell r="O67">
            <v>25</v>
          </cell>
          <cell r="P67">
            <v>1</v>
          </cell>
          <cell r="Q67">
            <v>45</v>
          </cell>
          <cell r="R67">
            <v>0</v>
          </cell>
          <cell r="S67">
            <v>18</v>
          </cell>
          <cell r="T67">
            <v>14</v>
          </cell>
          <cell r="U67">
            <v>32</v>
          </cell>
          <cell r="V67">
            <v>16</v>
          </cell>
          <cell r="W67">
            <v>0</v>
          </cell>
          <cell r="X67">
            <v>4</v>
          </cell>
          <cell r="Y67">
            <v>0</v>
          </cell>
          <cell r="Z67">
            <v>0</v>
          </cell>
          <cell r="AA67">
            <v>11</v>
          </cell>
          <cell r="AB67">
            <v>0</v>
          </cell>
          <cell r="AC67">
            <v>14</v>
          </cell>
          <cell r="AD67">
            <v>3</v>
          </cell>
          <cell r="AE67">
            <v>54</v>
          </cell>
          <cell r="AF67"/>
          <cell r="AG67"/>
          <cell r="AH67"/>
          <cell r="AI67">
            <v>269</v>
          </cell>
          <cell r="AJ67">
            <v>54</v>
          </cell>
          <cell r="AK67">
            <v>17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</v>
          </cell>
          <cell r="I68">
            <v>0</v>
          </cell>
          <cell r="J68">
            <v>2</v>
          </cell>
          <cell r="K68">
            <v>2</v>
          </cell>
          <cell r="L68">
            <v>8</v>
          </cell>
          <cell r="M68">
            <v>25</v>
          </cell>
          <cell r="N68">
            <v>9</v>
          </cell>
          <cell r="O68">
            <v>1</v>
          </cell>
          <cell r="P68">
            <v>13</v>
          </cell>
          <cell r="Q68">
            <v>4</v>
          </cell>
          <cell r="R68">
            <v>0</v>
          </cell>
          <cell r="S68">
            <v>12</v>
          </cell>
          <cell r="T68">
            <v>0</v>
          </cell>
          <cell r="U68">
            <v>0</v>
          </cell>
          <cell r="V68">
            <v>52</v>
          </cell>
          <cell r="W68">
            <v>0</v>
          </cell>
          <cell r="X68">
            <v>1</v>
          </cell>
          <cell r="Y68">
            <v>0</v>
          </cell>
          <cell r="Z68">
            <v>0</v>
          </cell>
          <cell r="AA68">
            <v>12</v>
          </cell>
          <cell r="AB68">
            <v>0</v>
          </cell>
          <cell r="AC68">
            <v>16</v>
          </cell>
          <cell r="AD68">
            <v>11</v>
          </cell>
          <cell r="AE68">
            <v>0</v>
          </cell>
          <cell r="AF68"/>
          <cell r="AG68"/>
          <cell r="AH68"/>
          <cell r="AI68">
            <v>176</v>
          </cell>
          <cell r="AJ68">
            <v>52</v>
          </cell>
          <cell r="AK68">
            <v>15</v>
          </cell>
        </row>
        <row r="69">
          <cell r="C69">
            <v>350123005</v>
          </cell>
          <cell r="D69">
            <v>0</v>
          </cell>
          <cell r="E69">
            <v>10</v>
          </cell>
          <cell r="F69">
            <v>0</v>
          </cell>
          <cell r="G69">
            <v>0</v>
          </cell>
          <cell r="H69">
            <v>23</v>
          </cell>
          <cell r="I69">
            <v>7</v>
          </cell>
          <cell r="J69">
            <v>1</v>
          </cell>
          <cell r="K69">
            <v>6</v>
          </cell>
          <cell r="L69">
            <v>0</v>
          </cell>
          <cell r="M69">
            <v>16</v>
          </cell>
          <cell r="N69">
            <v>27</v>
          </cell>
          <cell r="O69">
            <v>13</v>
          </cell>
          <cell r="P69">
            <v>3</v>
          </cell>
          <cell r="Q69">
            <v>11</v>
          </cell>
          <cell r="R69">
            <v>0</v>
          </cell>
          <cell r="S69">
            <v>0</v>
          </cell>
          <cell r="T69">
            <v>0</v>
          </cell>
          <cell r="U69">
            <v>38</v>
          </cell>
          <cell r="V69">
            <v>42</v>
          </cell>
          <cell r="W69">
            <v>0</v>
          </cell>
          <cell r="X69">
            <v>0</v>
          </cell>
          <cell r="Y69">
            <v>3</v>
          </cell>
          <cell r="Z69">
            <v>0</v>
          </cell>
          <cell r="AA69">
            <v>22</v>
          </cell>
          <cell r="AB69">
            <v>0</v>
          </cell>
          <cell r="AC69">
            <v>2</v>
          </cell>
          <cell r="AD69">
            <v>0</v>
          </cell>
          <cell r="AE69">
            <v>26</v>
          </cell>
          <cell r="AF69"/>
          <cell r="AG69"/>
          <cell r="AH69"/>
          <cell r="AI69">
            <v>250</v>
          </cell>
          <cell r="AJ69">
            <v>42</v>
          </cell>
          <cell r="AK69">
            <v>16</v>
          </cell>
        </row>
        <row r="70">
          <cell r="C70">
            <v>350123004</v>
          </cell>
          <cell r="D70">
            <v>0</v>
          </cell>
          <cell r="E70">
            <v>26</v>
          </cell>
          <cell r="F70">
            <v>0</v>
          </cell>
          <cell r="G70">
            <v>0</v>
          </cell>
          <cell r="H70">
            <v>8</v>
          </cell>
          <cell r="I70">
            <v>14</v>
          </cell>
          <cell r="J70">
            <v>0</v>
          </cell>
          <cell r="K70">
            <v>0</v>
          </cell>
          <cell r="L70">
            <v>0</v>
          </cell>
          <cell r="M70">
            <v>18</v>
          </cell>
          <cell r="N70">
            <v>0</v>
          </cell>
          <cell r="O70">
            <v>10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5</v>
          </cell>
          <cell r="V70">
            <v>77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7</v>
          </cell>
          <cell r="AB70">
            <v>0</v>
          </cell>
          <cell r="AC70">
            <v>0</v>
          </cell>
          <cell r="AD70">
            <v>3</v>
          </cell>
          <cell r="AE70">
            <v>0</v>
          </cell>
          <cell r="AF70"/>
          <cell r="AG70"/>
          <cell r="AH70"/>
          <cell r="AI70">
            <v>168</v>
          </cell>
          <cell r="AJ70">
            <v>77</v>
          </cell>
          <cell r="AK70">
            <v>9</v>
          </cell>
        </row>
        <row r="71">
          <cell r="C71">
            <v>350123003</v>
          </cell>
          <cell r="D71">
            <v>0</v>
          </cell>
          <cell r="E71">
            <v>25</v>
          </cell>
          <cell r="F71">
            <v>0</v>
          </cell>
          <cell r="G71">
            <v>0</v>
          </cell>
          <cell r="H71">
            <v>5</v>
          </cell>
          <cell r="I71">
            <v>0</v>
          </cell>
          <cell r="J71">
            <v>0</v>
          </cell>
          <cell r="K71">
            <v>5</v>
          </cell>
          <cell r="L71">
            <v>0</v>
          </cell>
          <cell r="M71">
            <v>15</v>
          </cell>
          <cell r="N71">
            <v>4</v>
          </cell>
          <cell r="O71">
            <v>0</v>
          </cell>
          <cell r="P71">
            <v>0</v>
          </cell>
          <cell r="Q71">
            <v>6</v>
          </cell>
          <cell r="R71">
            <v>0</v>
          </cell>
          <cell r="S71">
            <v>0</v>
          </cell>
          <cell r="T71">
            <v>0</v>
          </cell>
          <cell r="U71">
            <v>24</v>
          </cell>
          <cell r="V71">
            <v>38</v>
          </cell>
          <cell r="W71">
            <v>0</v>
          </cell>
          <cell r="X71">
            <v>0</v>
          </cell>
          <cell r="Y71">
            <v>3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17</v>
          </cell>
          <cell r="AF71"/>
          <cell r="AG71"/>
          <cell r="AH71"/>
          <cell r="AI71">
            <v>142</v>
          </cell>
          <cell r="AJ71">
            <v>38</v>
          </cell>
          <cell r="AK71">
            <v>10</v>
          </cell>
        </row>
        <row r="72">
          <cell r="C72">
            <v>350123002</v>
          </cell>
          <cell r="D72">
            <v>2</v>
          </cell>
          <cell r="E72">
            <v>0</v>
          </cell>
          <cell r="F72">
            <v>0</v>
          </cell>
          <cell r="G72">
            <v>0</v>
          </cell>
          <cell r="H72">
            <v>3</v>
          </cell>
          <cell r="I72">
            <v>33</v>
          </cell>
          <cell r="J72">
            <v>2</v>
          </cell>
          <cell r="K72">
            <v>0</v>
          </cell>
          <cell r="L72">
            <v>0</v>
          </cell>
          <cell r="M72">
            <v>21</v>
          </cell>
          <cell r="N72">
            <v>6</v>
          </cell>
          <cell r="O72">
            <v>3</v>
          </cell>
          <cell r="P72">
            <v>5</v>
          </cell>
          <cell r="Q72">
            <v>26</v>
          </cell>
          <cell r="R72">
            <v>0</v>
          </cell>
          <cell r="S72">
            <v>42</v>
          </cell>
          <cell r="T72">
            <v>12</v>
          </cell>
          <cell r="U72">
            <v>22</v>
          </cell>
          <cell r="V72">
            <v>45</v>
          </cell>
          <cell r="W72">
            <v>0</v>
          </cell>
          <cell r="X72">
            <v>10</v>
          </cell>
          <cell r="Y72">
            <v>0</v>
          </cell>
          <cell r="Z72">
            <v>0</v>
          </cell>
          <cell r="AA72">
            <v>0</v>
          </cell>
          <cell r="AB72">
            <v>4</v>
          </cell>
          <cell r="AC72">
            <v>4</v>
          </cell>
          <cell r="AD72">
            <v>3</v>
          </cell>
          <cell r="AE72">
            <v>33</v>
          </cell>
          <cell r="AF72"/>
          <cell r="AG72"/>
          <cell r="AH72"/>
          <cell r="AI72">
            <v>276</v>
          </cell>
          <cell r="AJ72">
            <v>45</v>
          </cell>
          <cell r="AK72">
            <v>18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4</v>
          </cell>
          <cell r="J73">
            <v>9</v>
          </cell>
          <cell r="K73">
            <v>6</v>
          </cell>
          <cell r="L73">
            <v>3</v>
          </cell>
          <cell r="M73">
            <v>6</v>
          </cell>
          <cell r="N73">
            <v>10</v>
          </cell>
          <cell r="O73">
            <v>3</v>
          </cell>
          <cell r="P73">
            <v>5</v>
          </cell>
          <cell r="Q73">
            <v>17</v>
          </cell>
          <cell r="R73">
            <v>0</v>
          </cell>
          <cell r="S73">
            <v>12</v>
          </cell>
          <cell r="T73">
            <v>4</v>
          </cell>
          <cell r="U73">
            <v>12</v>
          </cell>
          <cell r="V73">
            <v>29</v>
          </cell>
          <cell r="W73">
            <v>0</v>
          </cell>
          <cell r="X73">
            <v>0</v>
          </cell>
          <cell r="Y73">
            <v>1</v>
          </cell>
          <cell r="Z73">
            <v>0</v>
          </cell>
          <cell r="AA73">
            <v>2</v>
          </cell>
          <cell r="AB73">
            <v>0</v>
          </cell>
          <cell r="AC73">
            <v>0</v>
          </cell>
          <cell r="AD73">
            <v>5</v>
          </cell>
          <cell r="AE73">
            <v>2</v>
          </cell>
          <cell r="AF73"/>
          <cell r="AG73"/>
          <cell r="AH73"/>
          <cell r="AI73">
            <v>130</v>
          </cell>
          <cell r="AJ73">
            <v>29</v>
          </cell>
          <cell r="AK73">
            <v>17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17</v>
          </cell>
          <cell r="G74">
            <v>14</v>
          </cell>
          <cell r="H74">
            <v>0</v>
          </cell>
          <cell r="I74">
            <v>0</v>
          </cell>
          <cell r="J74">
            <v>17</v>
          </cell>
          <cell r="K74">
            <v>0</v>
          </cell>
          <cell r="L74">
            <v>0</v>
          </cell>
          <cell r="M74">
            <v>18</v>
          </cell>
          <cell r="N74">
            <v>5</v>
          </cell>
          <cell r="O74">
            <v>27</v>
          </cell>
          <cell r="P74">
            <v>3</v>
          </cell>
          <cell r="Q74">
            <v>64</v>
          </cell>
          <cell r="R74">
            <v>0</v>
          </cell>
          <cell r="S74">
            <v>27</v>
          </cell>
          <cell r="T74">
            <v>8</v>
          </cell>
          <cell r="U74">
            <v>3</v>
          </cell>
          <cell r="V74">
            <v>41</v>
          </cell>
          <cell r="W74">
            <v>36</v>
          </cell>
          <cell r="X74">
            <v>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7</v>
          </cell>
          <cell r="AD74">
            <v>0</v>
          </cell>
          <cell r="AE74">
            <v>7</v>
          </cell>
          <cell r="AF74"/>
          <cell r="AG74"/>
          <cell r="AH74"/>
          <cell r="AI74">
            <v>297</v>
          </cell>
          <cell r="AJ74">
            <v>64</v>
          </cell>
          <cell r="AK74">
            <v>16</v>
          </cell>
        </row>
        <row r="75">
          <cell r="C75">
            <v>350122030</v>
          </cell>
          <cell r="D75">
            <v>0</v>
          </cell>
          <cell r="E75">
            <v>18</v>
          </cell>
          <cell r="F75">
            <v>0</v>
          </cell>
          <cell r="G75">
            <v>11</v>
          </cell>
          <cell r="H75">
            <v>0</v>
          </cell>
          <cell r="I75">
            <v>2</v>
          </cell>
          <cell r="J75">
            <v>8</v>
          </cell>
          <cell r="K75">
            <v>2</v>
          </cell>
          <cell r="L75">
            <v>25</v>
          </cell>
          <cell r="M75">
            <v>39</v>
          </cell>
          <cell r="N75">
            <v>0</v>
          </cell>
          <cell r="O75">
            <v>5</v>
          </cell>
          <cell r="P75">
            <v>0</v>
          </cell>
          <cell r="Q75">
            <v>37</v>
          </cell>
          <cell r="R75">
            <v>0</v>
          </cell>
          <cell r="S75">
            <v>0</v>
          </cell>
          <cell r="T75">
            <v>5</v>
          </cell>
          <cell r="U75">
            <v>2</v>
          </cell>
          <cell r="V75">
            <v>23</v>
          </cell>
          <cell r="W75">
            <v>10</v>
          </cell>
          <cell r="X75">
            <v>5</v>
          </cell>
          <cell r="Y75">
            <v>1</v>
          </cell>
          <cell r="Z75">
            <v>0</v>
          </cell>
          <cell r="AA75">
            <v>0</v>
          </cell>
          <cell r="AB75">
            <v>0</v>
          </cell>
          <cell r="AC75">
            <v>7</v>
          </cell>
          <cell r="AD75">
            <v>13</v>
          </cell>
          <cell r="AE75">
            <v>5</v>
          </cell>
          <cell r="AF75"/>
          <cell r="AG75"/>
          <cell r="AH75"/>
          <cell r="AI75">
            <v>218</v>
          </cell>
          <cell r="AJ75">
            <v>39</v>
          </cell>
          <cell r="AK75">
            <v>18</v>
          </cell>
        </row>
        <row r="76">
          <cell r="C76">
            <v>350122029</v>
          </cell>
          <cell r="D76">
            <v>0</v>
          </cell>
          <cell r="E76">
            <v>11</v>
          </cell>
          <cell r="F76">
            <v>6</v>
          </cell>
          <cell r="G76">
            <v>2</v>
          </cell>
          <cell r="H76">
            <v>0</v>
          </cell>
          <cell r="I76">
            <v>0</v>
          </cell>
          <cell r="J76">
            <v>3</v>
          </cell>
          <cell r="K76">
            <v>1</v>
          </cell>
          <cell r="L76">
            <v>39</v>
          </cell>
          <cell r="M76">
            <v>17</v>
          </cell>
          <cell r="N76">
            <v>1</v>
          </cell>
          <cell r="O76">
            <v>2</v>
          </cell>
          <cell r="P76">
            <v>17</v>
          </cell>
          <cell r="Q76">
            <v>23</v>
          </cell>
          <cell r="R76">
            <v>2</v>
          </cell>
          <cell r="S76">
            <v>29</v>
          </cell>
          <cell r="T76">
            <v>6</v>
          </cell>
          <cell r="U76">
            <v>2</v>
          </cell>
          <cell r="V76">
            <v>17</v>
          </cell>
          <cell r="W76">
            <v>0</v>
          </cell>
          <cell r="X76">
            <v>70</v>
          </cell>
          <cell r="Y76">
            <v>5</v>
          </cell>
          <cell r="Z76">
            <v>0</v>
          </cell>
          <cell r="AA76">
            <v>3</v>
          </cell>
          <cell r="AB76">
            <v>0</v>
          </cell>
          <cell r="AC76">
            <v>2</v>
          </cell>
          <cell r="AD76">
            <v>1</v>
          </cell>
          <cell r="AE76">
            <v>3</v>
          </cell>
          <cell r="AF76"/>
          <cell r="AG76"/>
          <cell r="AH76"/>
          <cell r="AI76">
            <v>262</v>
          </cell>
          <cell r="AJ76">
            <v>70</v>
          </cell>
          <cell r="AK76">
            <v>22</v>
          </cell>
        </row>
        <row r="77">
          <cell r="C77">
            <v>350122028</v>
          </cell>
          <cell r="D77">
            <v>0</v>
          </cell>
          <cell r="E77">
            <v>28</v>
          </cell>
          <cell r="F77">
            <v>0</v>
          </cell>
          <cell r="G77">
            <v>3</v>
          </cell>
          <cell r="H77">
            <v>4</v>
          </cell>
          <cell r="I77">
            <v>0</v>
          </cell>
          <cell r="J77">
            <v>32</v>
          </cell>
          <cell r="K77">
            <v>0</v>
          </cell>
          <cell r="L77">
            <v>20</v>
          </cell>
          <cell r="M77">
            <v>40</v>
          </cell>
          <cell r="N77">
            <v>0</v>
          </cell>
          <cell r="O77">
            <v>37</v>
          </cell>
          <cell r="P77">
            <v>5</v>
          </cell>
          <cell r="Q77">
            <v>35</v>
          </cell>
          <cell r="R77">
            <v>0</v>
          </cell>
          <cell r="S77">
            <v>28</v>
          </cell>
          <cell r="T77">
            <v>7</v>
          </cell>
          <cell r="U77">
            <v>8</v>
          </cell>
          <cell r="V77">
            <v>16</v>
          </cell>
          <cell r="W77">
            <v>9</v>
          </cell>
          <cell r="X77">
            <v>32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6</v>
          </cell>
          <cell r="AD77">
            <v>7</v>
          </cell>
          <cell r="AE77">
            <v>9</v>
          </cell>
          <cell r="AF77"/>
          <cell r="AG77"/>
          <cell r="AH77"/>
          <cell r="AI77">
            <v>326</v>
          </cell>
          <cell r="AJ77">
            <v>40</v>
          </cell>
          <cell r="AK77">
            <v>18</v>
          </cell>
        </row>
        <row r="78">
          <cell r="C78">
            <v>350122027</v>
          </cell>
          <cell r="D78">
            <v>2</v>
          </cell>
          <cell r="E78">
            <v>1.5</v>
          </cell>
          <cell r="F78">
            <v>11</v>
          </cell>
          <cell r="G78">
            <v>22</v>
          </cell>
          <cell r="H78">
            <v>35</v>
          </cell>
          <cell r="I78">
            <v>0</v>
          </cell>
          <cell r="J78">
            <v>7</v>
          </cell>
          <cell r="K78">
            <v>1</v>
          </cell>
          <cell r="L78">
            <v>3</v>
          </cell>
          <cell r="M78">
            <v>47.5</v>
          </cell>
          <cell r="N78">
            <v>9.5</v>
          </cell>
          <cell r="O78">
            <v>29</v>
          </cell>
          <cell r="P78">
            <v>4</v>
          </cell>
          <cell r="Q78">
            <v>5</v>
          </cell>
          <cell r="R78">
            <v>0</v>
          </cell>
          <cell r="S78">
            <v>50.5</v>
          </cell>
          <cell r="T78">
            <v>8</v>
          </cell>
          <cell r="U78">
            <v>4.5</v>
          </cell>
          <cell r="V78">
            <v>11</v>
          </cell>
          <cell r="W78">
            <v>30.5</v>
          </cell>
          <cell r="X78">
            <v>3</v>
          </cell>
          <cell r="Y78">
            <v>0</v>
          </cell>
          <cell r="Z78">
            <v>0</v>
          </cell>
          <cell r="AA78">
            <v>3</v>
          </cell>
          <cell r="AB78">
            <v>0</v>
          </cell>
          <cell r="AC78">
            <v>6</v>
          </cell>
          <cell r="AD78">
            <v>3</v>
          </cell>
          <cell r="AE78">
            <v>4</v>
          </cell>
          <cell r="AF78"/>
          <cell r="AG78"/>
          <cell r="AH78"/>
          <cell r="AI78">
            <v>301</v>
          </cell>
          <cell r="AJ78">
            <v>50.5</v>
          </cell>
          <cell r="AK78">
            <v>23</v>
          </cell>
        </row>
        <row r="79">
          <cell r="C79">
            <v>350122026</v>
          </cell>
          <cell r="D79">
            <v>1.5</v>
          </cell>
          <cell r="E79">
            <v>43</v>
          </cell>
          <cell r="F79">
            <v>0</v>
          </cell>
          <cell r="G79">
            <v>1</v>
          </cell>
          <cell r="H79">
            <v>3.5</v>
          </cell>
          <cell r="I79">
            <v>18.5</v>
          </cell>
          <cell r="J79">
            <v>2</v>
          </cell>
          <cell r="K79">
            <v>0.5</v>
          </cell>
          <cell r="L79">
            <v>5</v>
          </cell>
          <cell r="M79">
            <v>12</v>
          </cell>
          <cell r="N79">
            <v>0</v>
          </cell>
          <cell r="O79">
            <v>14.5</v>
          </cell>
          <cell r="P79">
            <v>13.5</v>
          </cell>
          <cell r="Q79">
            <v>25.5</v>
          </cell>
          <cell r="R79">
            <v>0</v>
          </cell>
          <cell r="S79">
            <v>0</v>
          </cell>
          <cell r="T79">
            <v>11.5</v>
          </cell>
          <cell r="U79">
            <v>14.5</v>
          </cell>
          <cell r="V79">
            <v>5</v>
          </cell>
          <cell r="W79">
            <v>0</v>
          </cell>
          <cell r="X79">
            <v>6.5</v>
          </cell>
          <cell r="Y79">
            <v>4.5</v>
          </cell>
          <cell r="Z79">
            <v>0</v>
          </cell>
          <cell r="AA79">
            <v>0</v>
          </cell>
          <cell r="AB79">
            <v>0</v>
          </cell>
          <cell r="AC79">
            <v>19</v>
          </cell>
          <cell r="AD79">
            <v>38.5</v>
          </cell>
          <cell r="AE79">
            <v>0</v>
          </cell>
          <cell r="AF79"/>
          <cell r="AG79"/>
          <cell r="AH79"/>
          <cell r="AI79">
            <v>240</v>
          </cell>
          <cell r="AJ79">
            <v>43</v>
          </cell>
          <cell r="AK79">
            <v>19</v>
          </cell>
        </row>
        <row r="80">
          <cell r="C80">
            <v>350122025</v>
          </cell>
          <cell r="D80">
            <v>0</v>
          </cell>
          <cell r="E80">
            <v>29</v>
          </cell>
          <cell r="F80">
            <v>14</v>
          </cell>
          <cell r="G80">
            <v>0</v>
          </cell>
          <cell r="H80">
            <v>5</v>
          </cell>
          <cell r="I80">
            <v>0</v>
          </cell>
          <cell r="J80">
            <v>2</v>
          </cell>
          <cell r="K80">
            <v>4</v>
          </cell>
          <cell r="L80">
            <v>27</v>
          </cell>
          <cell r="M80">
            <v>42</v>
          </cell>
          <cell r="N80">
            <v>0</v>
          </cell>
          <cell r="O80">
            <v>1</v>
          </cell>
          <cell r="P80">
            <v>17</v>
          </cell>
          <cell r="Q80">
            <v>19</v>
          </cell>
          <cell r="R80">
            <v>0</v>
          </cell>
          <cell r="S80">
            <v>10</v>
          </cell>
          <cell r="T80">
            <v>5</v>
          </cell>
          <cell r="U80">
            <v>1</v>
          </cell>
          <cell r="V80">
            <v>8</v>
          </cell>
          <cell r="W80">
            <v>0</v>
          </cell>
          <cell r="X80">
            <v>0</v>
          </cell>
          <cell r="Y80">
            <v>28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2</v>
          </cell>
          <cell r="AF80"/>
          <cell r="AG80"/>
          <cell r="AH80"/>
          <cell r="AI80">
            <v>214</v>
          </cell>
          <cell r="AJ80">
            <v>42</v>
          </cell>
          <cell r="AK80">
            <v>16</v>
          </cell>
        </row>
        <row r="81">
          <cell r="C81">
            <v>350122024</v>
          </cell>
          <cell r="D81">
            <v>11</v>
          </cell>
          <cell r="E81">
            <v>4</v>
          </cell>
          <cell r="F81">
            <v>6</v>
          </cell>
          <cell r="G81">
            <v>12</v>
          </cell>
          <cell r="H81">
            <v>0</v>
          </cell>
          <cell r="I81">
            <v>0</v>
          </cell>
          <cell r="J81">
            <v>15</v>
          </cell>
          <cell r="K81">
            <v>7</v>
          </cell>
          <cell r="L81">
            <v>15</v>
          </cell>
          <cell r="M81">
            <v>19</v>
          </cell>
          <cell r="N81">
            <v>2</v>
          </cell>
          <cell r="O81">
            <v>8</v>
          </cell>
          <cell r="P81">
            <v>14</v>
          </cell>
          <cell r="Q81">
            <v>37</v>
          </cell>
          <cell r="R81">
            <v>0</v>
          </cell>
          <cell r="S81">
            <v>61</v>
          </cell>
          <cell r="T81">
            <v>7</v>
          </cell>
          <cell r="U81">
            <v>0</v>
          </cell>
          <cell r="V81">
            <v>0</v>
          </cell>
          <cell r="W81">
            <v>42</v>
          </cell>
          <cell r="X81">
            <v>0</v>
          </cell>
          <cell r="Y81">
            <v>13</v>
          </cell>
          <cell r="Z81">
            <v>0</v>
          </cell>
          <cell r="AA81">
            <v>0</v>
          </cell>
          <cell r="AB81">
            <v>0</v>
          </cell>
          <cell r="AC81">
            <v>5</v>
          </cell>
          <cell r="AD81">
            <v>15</v>
          </cell>
          <cell r="AE81">
            <v>0</v>
          </cell>
          <cell r="AF81"/>
          <cell r="AG81"/>
          <cell r="AH81"/>
          <cell r="AI81">
            <v>293</v>
          </cell>
          <cell r="AJ81">
            <v>61</v>
          </cell>
          <cell r="AK81">
            <v>18</v>
          </cell>
        </row>
        <row r="82">
          <cell r="C82">
            <v>350122023</v>
          </cell>
          <cell r="D82">
            <v>4.8</v>
          </cell>
          <cell r="E82">
            <v>61</v>
          </cell>
          <cell r="F82">
            <v>0</v>
          </cell>
          <cell r="G82">
            <v>0</v>
          </cell>
          <cell r="H82">
            <v>0</v>
          </cell>
          <cell r="I82">
            <v>4</v>
          </cell>
          <cell r="J82">
            <v>3</v>
          </cell>
          <cell r="K82">
            <v>0</v>
          </cell>
          <cell r="L82">
            <v>17</v>
          </cell>
          <cell r="M82">
            <v>27</v>
          </cell>
          <cell r="N82">
            <v>4</v>
          </cell>
          <cell r="O82">
            <v>6</v>
          </cell>
          <cell r="P82">
            <v>10</v>
          </cell>
          <cell r="Q82">
            <v>8.5</v>
          </cell>
          <cell r="R82">
            <v>0</v>
          </cell>
          <cell r="S82">
            <v>0</v>
          </cell>
          <cell r="T82">
            <v>9.5</v>
          </cell>
          <cell r="U82">
            <v>2</v>
          </cell>
          <cell r="V82">
            <v>1.5</v>
          </cell>
          <cell r="W82">
            <v>17.5</v>
          </cell>
          <cell r="X82">
            <v>11.5</v>
          </cell>
          <cell r="Y82">
            <v>0</v>
          </cell>
          <cell r="Z82">
            <v>0</v>
          </cell>
          <cell r="AA82">
            <v>3</v>
          </cell>
          <cell r="AB82">
            <v>0</v>
          </cell>
          <cell r="AC82">
            <v>13</v>
          </cell>
          <cell r="AD82">
            <v>13.5</v>
          </cell>
          <cell r="AE82">
            <v>5.4</v>
          </cell>
          <cell r="AF82"/>
          <cell r="AG82"/>
          <cell r="AH82"/>
          <cell r="AI82">
            <v>222.20000000000002</v>
          </cell>
          <cell r="AJ82">
            <v>61</v>
          </cell>
          <cell r="AK82">
            <v>19</v>
          </cell>
        </row>
        <row r="83">
          <cell r="C83">
            <v>350122022</v>
          </cell>
          <cell r="D83">
            <v>3</v>
          </cell>
          <cell r="E83">
            <v>7</v>
          </cell>
          <cell r="F83">
            <v>3</v>
          </cell>
          <cell r="G83">
            <v>18</v>
          </cell>
          <cell r="H83">
            <v>1</v>
          </cell>
          <cell r="I83">
            <v>0</v>
          </cell>
          <cell r="J83">
            <v>2</v>
          </cell>
          <cell r="K83">
            <v>3</v>
          </cell>
          <cell r="L83">
            <v>37</v>
          </cell>
          <cell r="M83">
            <v>22</v>
          </cell>
          <cell r="N83">
            <v>0</v>
          </cell>
          <cell r="O83">
            <v>13</v>
          </cell>
          <cell r="P83">
            <v>6</v>
          </cell>
          <cell r="Q83">
            <v>18</v>
          </cell>
          <cell r="R83">
            <v>0</v>
          </cell>
          <cell r="S83">
            <v>17</v>
          </cell>
          <cell r="T83">
            <v>11</v>
          </cell>
          <cell r="U83">
            <v>23</v>
          </cell>
          <cell r="V83">
            <v>12</v>
          </cell>
          <cell r="W83">
            <v>36</v>
          </cell>
          <cell r="X83">
            <v>9</v>
          </cell>
          <cell r="Y83">
            <v>4</v>
          </cell>
          <cell r="Z83">
            <v>0</v>
          </cell>
          <cell r="AA83">
            <v>6</v>
          </cell>
          <cell r="AB83">
            <v>0</v>
          </cell>
          <cell r="AC83">
            <v>0</v>
          </cell>
          <cell r="AD83">
            <v>2</v>
          </cell>
          <cell r="AE83">
            <v>23</v>
          </cell>
          <cell r="AF83"/>
          <cell r="AG83"/>
          <cell r="AH83"/>
          <cell r="AI83">
            <v>276</v>
          </cell>
          <cell r="AJ83">
            <v>37</v>
          </cell>
          <cell r="AK83">
            <v>22</v>
          </cell>
        </row>
        <row r="84">
          <cell r="C84">
            <v>350122021</v>
          </cell>
          <cell r="D84">
            <v>73.5</v>
          </cell>
          <cell r="E84">
            <v>76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1</v>
          </cell>
          <cell r="K84">
            <v>14</v>
          </cell>
          <cell r="L84">
            <v>0.5</v>
          </cell>
          <cell r="M84">
            <v>22</v>
          </cell>
          <cell r="N84">
            <v>11</v>
          </cell>
          <cell r="O84">
            <v>23</v>
          </cell>
          <cell r="P84">
            <v>11</v>
          </cell>
          <cell r="Q84">
            <v>7.5</v>
          </cell>
          <cell r="R84">
            <v>0</v>
          </cell>
          <cell r="S84">
            <v>0</v>
          </cell>
          <cell r="T84">
            <v>12</v>
          </cell>
          <cell r="U84">
            <v>7</v>
          </cell>
          <cell r="V84">
            <v>8.5</v>
          </cell>
          <cell r="W84">
            <v>0</v>
          </cell>
          <cell r="X84">
            <v>0</v>
          </cell>
          <cell r="Y84">
            <v>1</v>
          </cell>
          <cell r="Z84">
            <v>5</v>
          </cell>
          <cell r="AA84">
            <v>0</v>
          </cell>
          <cell r="AB84">
            <v>0</v>
          </cell>
          <cell r="AC84">
            <v>21</v>
          </cell>
          <cell r="AD84">
            <v>20</v>
          </cell>
          <cell r="AE84">
            <v>0</v>
          </cell>
          <cell r="AF84"/>
          <cell r="AG84"/>
          <cell r="AH84"/>
          <cell r="AI84">
            <v>314</v>
          </cell>
          <cell r="AJ84">
            <v>76</v>
          </cell>
          <cell r="AK84">
            <v>17</v>
          </cell>
        </row>
        <row r="85">
          <cell r="C85">
            <v>350122020</v>
          </cell>
          <cell r="D85">
            <v>8</v>
          </cell>
          <cell r="E85">
            <v>0</v>
          </cell>
          <cell r="F85">
            <v>17</v>
          </cell>
          <cell r="G85">
            <v>24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19</v>
          </cell>
          <cell r="Q85">
            <v>21</v>
          </cell>
          <cell r="R85">
            <v>97</v>
          </cell>
          <cell r="S85">
            <v>0</v>
          </cell>
          <cell r="T85">
            <v>32</v>
          </cell>
          <cell r="U85">
            <v>0</v>
          </cell>
          <cell r="V85">
            <v>0</v>
          </cell>
          <cell r="W85">
            <v>27</v>
          </cell>
          <cell r="X85">
            <v>42</v>
          </cell>
          <cell r="Y85">
            <v>0</v>
          </cell>
          <cell r="Z85">
            <v>0</v>
          </cell>
          <cell r="AA85">
            <v>0</v>
          </cell>
          <cell r="AB85">
            <v>10</v>
          </cell>
          <cell r="AC85">
            <v>5</v>
          </cell>
          <cell r="AD85">
            <v>2</v>
          </cell>
          <cell r="AE85">
            <v>0</v>
          </cell>
          <cell r="AF85"/>
          <cell r="AG85"/>
          <cell r="AH85"/>
          <cell r="AI85">
            <v>304</v>
          </cell>
          <cell r="AJ85">
            <v>97</v>
          </cell>
          <cell r="AK85">
            <v>12</v>
          </cell>
        </row>
        <row r="86">
          <cell r="C86">
            <v>350122019</v>
          </cell>
          <cell r="D86">
            <v>31</v>
          </cell>
          <cell r="E86">
            <v>6</v>
          </cell>
          <cell r="F86">
            <v>10</v>
          </cell>
          <cell r="G86">
            <v>22</v>
          </cell>
          <cell r="H86">
            <v>0</v>
          </cell>
          <cell r="I86">
            <v>0</v>
          </cell>
          <cell r="J86">
            <v>44</v>
          </cell>
          <cell r="K86">
            <v>6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42</v>
          </cell>
          <cell r="R86">
            <v>10</v>
          </cell>
          <cell r="S86">
            <v>11</v>
          </cell>
          <cell r="T86">
            <v>0</v>
          </cell>
          <cell r="U86">
            <v>48</v>
          </cell>
          <cell r="V86">
            <v>0</v>
          </cell>
          <cell r="W86">
            <v>3</v>
          </cell>
          <cell r="X86">
            <v>0</v>
          </cell>
          <cell r="Y86">
            <v>12</v>
          </cell>
          <cell r="Z86">
            <v>48</v>
          </cell>
          <cell r="AA86">
            <v>0</v>
          </cell>
          <cell r="AB86">
            <v>0</v>
          </cell>
          <cell r="AC86">
            <v>11</v>
          </cell>
          <cell r="AD86">
            <v>0</v>
          </cell>
          <cell r="AE86">
            <v>8</v>
          </cell>
          <cell r="AF86"/>
          <cell r="AG86"/>
          <cell r="AH86"/>
          <cell r="AI86">
            <v>312</v>
          </cell>
          <cell r="AJ86">
            <v>48</v>
          </cell>
          <cell r="AK86">
            <v>15</v>
          </cell>
        </row>
        <row r="87">
          <cell r="C87">
            <v>350122018</v>
          </cell>
          <cell r="D87">
            <v>0</v>
          </cell>
          <cell r="E87">
            <v>27</v>
          </cell>
          <cell r="F87">
            <v>33</v>
          </cell>
          <cell r="G87">
            <v>10</v>
          </cell>
          <cell r="H87">
            <v>8</v>
          </cell>
          <cell r="I87">
            <v>0</v>
          </cell>
          <cell r="J87">
            <v>15</v>
          </cell>
          <cell r="K87">
            <v>0</v>
          </cell>
          <cell r="L87">
            <v>7</v>
          </cell>
          <cell r="M87">
            <v>65</v>
          </cell>
          <cell r="N87">
            <v>6</v>
          </cell>
          <cell r="O87">
            <v>4</v>
          </cell>
          <cell r="P87">
            <v>2</v>
          </cell>
          <cell r="Q87">
            <v>0</v>
          </cell>
          <cell r="R87">
            <v>6</v>
          </cell>
          <cell r="S87">
            <v>2</v>
          </cell>
          <cell r="T87">
            <v>0</v>
          </cell>
          <cell r="U87">
            <v>6</v>
          </cell>
          <cell r="V87">
            <v>0</v>
          </cell>
          <cell r="W87">
            <v>0</v>
          </cell>
          <cell r="X87">
            <v>0</v>
          </cell>
          <cell r="Y87">
            <v>39</v>
          </cell>
          <cell r="Z87">
            <v>0</v>
          </cell>
          <cell r="AA87">
            <v>5</v>
          </cell>
          <cell r="AB87">
            <v>0</v>
          </cell>
          <cell r="AC87">
            <v>1</v>
          </cell>
          <cell r="AD87">
            <v>18</v>
          </cell>
          <cell r="AE87">
            <v>5</v>
          </cell>
          <cell r="AF87"/>
          <cell r="AG87"/>
          <cell r="AH87"/>
          <cell r="AI87">
            <v>259</v>
          </cell>
          <cell r="AJ87">
            <v>65</v>
          </cell>
          <cell r="AK87">
            <v>18</v>
          </cell>
        </row>
        <row r="88">
          <cell r="C88">
            <v>350122017</v>
          </cell>
          <cell r="D88">
            <v>4</v>
          </cell>
          <cell r="E88">
            <v>48</v>
          </cell>
          <cell r="F88">
            <v>6</v>
          </cell>
          <cell r="G88">
            <v>17</v>
          </cell>
          <cell r="H88">
            <v>0</v>
          </cell>
          <cell r="I88">
            <v>0</v>
          </cell>
          <cell r="J88">
            <v>10</v>
          </cell>
          <cell r="K88">
            <v>3</v>
          </cell>
          <cell r="L88">
            <v>0</v>
          </cell>
          <cell r="M88">
            <v>0</v>
          </cell>
          <cell r="N88">
            <v>2</v>
          </cell>
          <cell r="O88">
            <v>3</v>
          </cell>
          <cell r="P88">
            <v>7</v>
          </cell>
          <cell r="Q88">
            <v>1</v>
          </cell>
          <cell r="R88">
            <v>7</v>
          </cell>
          <cell r="S88">
            <v>5</v>
          </cell>
          <cell r="T88">
            <v>51</v>
          </cell>
          <cell r="U88">
            <v>29</v>
          </cell>
          <cell r="V88">
            <v>0</v>
          </cell>
          <cell r="W88">
            <v>0</v>
          </cell>
          <cell r="X88">
            <v>71</v>
          </cell>
          <cell r="Y88">
            <v>21</v>
          </cell>
          <cell r="Z88">
            <v>18</v>
          </cell>
          <cell r="AA88">
            <v>0</v>
          </cell>
          <cell r="AB88">
            <v>0</v>
          </cell>
          <cell r="AC88">
            <v>13</v>
          </cell>
          <cell r="AD88">
            <v>107</v>
          </cell>
          <cell r="AE88">
            <v>6</v>
          </cell>
          <cell r="AF88"/>
          <cell r="AG88"/>
          <cell r="AH88"/>
          <cell r="AI88">
            <v>429</v>
          </cell>
          <cell r="AJ88">
            <v>107</v>
          </cell>
          <cell r="AK88">
            <v>20</v>
          </cell>
        </row>
        <row r="89">
          <cell r="C89">
            <v>350122016</v>
          </cell>
          <cell r="D89">
            <v>1</v>
          </cell>
          <cell r="E89">
            <v>4</v>
          </cell>
          <cell r="F89">
            <v>7</v>
          </cell>
          <cell r="G89">
            <v>4</v>
          </cell>
          <cell r="H89">
            <v>6</v>
          </cell>
          <cell r="I89">
            <v>1</v>
          </cell>
          <cell r="J89">
            <v>3</v>
          </cell>
          <cell r="K89">
            <v>7</v>
          </cell>
          <cell r="L89">
            <v>10</v>
          </cell>
          <cell r="M89">
            <v>51</v>
          </cell>
          <cell r="N89">
            <v>10</v>
          </cell>
          <cell r="O89">
            <v>3</v>
          </cell>
          <cell r="P89">
            <v>6</v>
          </cell>
          <cell r="Q89">
            <v>33</v>
          </cell>
          <cell r="R89">
            <v>6</v>
          </cell>
          <cell r="S89">
            <v>33</v>
          </cell>
          <cell r="T89">
            <v>48</v>
          </cell>
          <cell r="U89">
            <v>10</v>
          </cell>
          <cell r="V89">
            <v>0</v>
          </cell>
          <cell r="W89">
            <v>14</v>
          </cell>
          <cell r="X89">
            <v>28</v>
          </cell>
          <cell r="Y89">
            <v>6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8</v>
          </cell>
          <cell r="AF89"/>
          <cell r="AG89"/>
          <cell r="AH89"/>
          <cell r="AI89">
            <v>299</v>
          </cell>
          <cell r="AJ89">
            <v>51</v>
          </cell>
          <cell r="AK89">
            <v>22</v>
          </cell>
        </row>
        <row r="90">
          <cell r="C90">
            <v>350122015</v>
          </cell>
          <cell r="D90">
            <v>0</v>
          </cell>
          <cell r="E90">
            <v>9</v>
          </cell>
          <cell r="F90">
            <v>31</v>
          </cell>
          <cell r="G90">
            <v>61</v>
          </cell>
          <cell r="H90">
            <v>67</v>
          </cell>
          <cell r="I90">
            <v>0</v>
          </cell>
          <cell r="J90">
            <v>0</v>
          </cell>
          <cell r="K90">
            <v>0</v>
          </cell>
          <cell r="L90">
            <v>13</v>
          </cell>
          <cell r="M90">
            <v>59</v>
          </cell>
          <cell r="N90">
            <v>2</v>
          </cell>
          <cell r="O90">
            <v>6</v>
          </cell>
          <cell r="P90">
            <v>2</v>
          </cell>
          <cell r="Q90">
            <v>36</v>
          </cell>
          <cell r="R90">
            <v>0</v>
          </cell>
          <cell r="S90">
            <v>42</v>
          </cell>
          <cell r="T90">
            <v>3</v>
          </cell>
          <cell r="U90">
            <v>0</v>
          </cell>
          <cell r="V90">
            <v>30</v>
          </cell>
          <cell r="W90">
            <v>19</v>
          </cell>
          <cell r="X90">
            <v>9</v>
          </cell>
          <cell r="Y90">
            <v>0</v>
          </cell>
          <cell r="Z90">
            <v>0</v>
          </cell>
          <cell r="AA90">
            <v>12</v>
          </cell>
          <cell r="AB90">
            <v>0</v>
          </cell>
          <cell r="AC90">
            <v>0</v>
          </cell>
          <cell r="AD90">
            <v>0</v>
          </cell>
          <cell r="AE90">
            <v>8</v>
          </cell>
          <cell r="AF90"/>
          <cell r="AG90"/>
          <cell r="AH90"/>
          <cell r="AI90">
            <v>409</v>
          </cell>
          <cell r="AJ90">
            <v>67</v>
          </cell>
          <cell r="AK90">
            <v>17</v>
          </cell>
        </row>
        <row r="91">
          <cell r="C91">
            <v>350122014</v>
          </cell>
          <cell r="D91">
            <v>2</v>
          </cell>
          <cell r="E91">
            <v>19</v>
          </cell>
          <cell r="F91">
            <v>0</v>
          </cell>
          <cell r="G91">
            <v>43</v>
          </cell>
          <cell r="H91">
            <v>14</v>
          </cell>
          <cell r="I91">
            <v>3</v>
          </cell>
          <cell r="J91">
            <v>10</v>
          </cell>
          <cell r="K91">
            <v>2</v>
          </cell>
          <cell r="L91">
            <v>26</v>
          </cell>
          <cell r="M91">
            <v>48</v>
          </cell>
          <cell r="N91">
            <v>6</v>
          </cell>
          <cell r="O91">
            <v>12</v>
          </cell>
          <cell r="P91">
            <v>7</v>
          </cell>
          <cell r="Q91">
            <v>62</v>
          </cell>
          <cell r="R91">
            <v>0</v>
          </cell>
          <cell r="S91">
            <v>22</v>
          </cell>
          <cell r="T91">
            <v>2</v>
          </cell>
          <cell r="U91">
            <v>14</v>
          </cell>
          <cell r="V91">
            <v>5</v>
          </cell>
          <cell r="W91">
            <v>8</v>
          </cell>
          <cell r="X91">
            <v>10</v>
          </cell>
          <cell r="Y91">
            <v>6</v>
          </cell>
          <cell r="Z91">
            <v>0</v>
          </cell>
          <cell r="AA91">
            <v>18</v>
          </cell>
          <cell r="AB91">
            <v>0</v>
          </cell>
          <cell r="AC91">
            <v>0</v>
          </cell>
          <cell r="AD91">
            <v>0</v>
          </cell>
          <cell r="AE91">
            <v>16</v>
          </cell>
          <cell r="AF91"/>
          <cell r="AG91"/>
          <cell r="AH91"/>
          <cell r="AI91">
            <v>355</v>
          </cell>
          <cell r="AJ91">
            <v>62</v>
          </cell>
          <cell r="AK91">
            <v>22</v>
          </cell>
        </row>
        <row r="92">
          <cell r="C92">
            <v>350122013</v>
          </cell>
          <cell r="D92">
            <v>21</v>
          </cell>
          <cell r="E92">
            <v>10</v>
          </cell>
          <cell r="F92">
            <v>6</v>
          </cell>
          <cell r="G92">
            <v>6</v>
          </cell>
          <cell r="H92">
            <v>12</v>
          </cell>
          <cell r="I92">
            <v>0</v>
          </cell>
          <cell r="J92">
            <v>0</v>
          </cell>
          <cell r="K92">
            <v>5</v>
          </cell>
          <cell r="L92">
            <v>0</v>
          </cell>
          <cell r="M92">
            <v>8</v>
          </cell>
          <cell r="N92">
            <v>0</v>
          </cell>
          <cell r="O92">
            <v>18</v>
          </cell>
          <cell r="P92">
            <v>22</v>
          </cell>
          <cell r="Q92">
            <v>18</v>
          </cell>
          <cell r="R92">
            <v>24</v>
          </cell>
          <cell r="S92">
            <v>55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7</v>
          </cell>
          <cell r="AF92"/>
          <cell r="AG92"/>
          <cell r="AH92"/>
          <cell r="AI92">
            <v>212</v>
          </cell>
          <cell r="AJ92">
            <v>55</v>
          </cell>
          <cell r="AK92">
            <v>13</v>
          </cell>
        </row>
        <row r="93">
          <cell r="C93">
            <v>350122012</v>
          </cell>
          <cell r="D93">
            <v>13</v>
          </cell>
          <cell r="E93">
            <v>8</v>
          </cell>
          <cell r="F93">
            <v>3</v>
          </cell>
          <cell r="G93">
            <v>7</v>
          </cell>
          <cell r="H93">
            <v>0</v>
          </cell>
          <cell r="I93">
            <v>3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4</v>
          </cell>
          <cell r="P93">
            <v>15</v>
          </cell>
          <cell r="Q93">
            <v>7</v>
          </cell>
          <cell r="R93">
            <v>5</v>
          </cell>
          <cell r="S93">
            <v>16</v>
          </cell>
          <cell r="T93">
            <v>0</v>
          </cell>
          <cell r="U93">
            <v>0</v>
          </cell>
          <cell r="V93">
            <v>0</v>
          </cell>
          <cell r="W93">
            <v>10</v>
          </cell>
          <cell r="X93">
            <v>0</v>
          </cell>
          <cell r="Y93">
            <v>0</v>
          </cell>
          <cell r="Z93">
            <v>0</v>
          </cell>
          <cell r="AA93">
            <v>26</v>
          </cell>
          <cell r="AB93">
            <v>0</v>
          </cell>
          <cell r="AC93">
            <v>0</v>
          </cell>
          <cell r="AD93">
            <v>0</v>
          </cell>
          <cell r="AE93">
            <v>13</v>
          </cell>
          <cell r="AF93"/>
          <cell r="AG93"/>
          <cell r="AH93"/>
          <cell r="AI93">
            <v>130</v>
          </cell>
          <cell r="AJ93">
            <v>26</v>
          </cell>
          <cell r="AK93">
            <v>13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4</v>
          </cell>
          <cell r="G94">
            <v>2.5</v>
          </cell>
          <cell r="H94">
            <v>0</v>
          </cell>
          <cell r="I94">
            <v>8</v>
          </cell>
          <cell r="J94">
            <v>4.5</v>
          </cell>
          <cell r="K94">
            <v>7.5</v>
          </cell>
          <cell r="L94">
            <v>2.5</v>
          </cell>
          <cell r="M94">
            <v>0</v>
          </cell>
          <cell r="N94">
            <v>0</v>
          </cell>
          <cell r="O94">
            <v>20</v>
          </cell>
          <cell r="P94">
            <v>0</v>
          </cell>
          <cell r="Q94">
            <v>7.5</v>
          </cell>
          <cell r="R94">
            <v>0</v>
          </cell>
          <cell r="S94">
            <v>12</v>
          </cell>
          <cell r="T94">
            <v>0</v>
          </cell>
          <cell r="U94">
            <v>0</v>
          </cell>
          <cell r="V94">
            <v>10.5</v>
          </cell>
          <cell r="W94">
            <v>2.5</v>
          </cell>
          <cell r="X94">
            <v>0</v>
          </cell>
          <cell r="Y94">
            <v>0</v>
          </cell>
          <cell r="Z94">
            <v>13.5</v>
          </cell>
          <cell r="AA94">
            <v>1.5</v>
          </cell>
          <cell r="AB94">
            <v>0</v>
          </cell>
          <cell r="AC94">
            <v>1</v>
          </cell>
          <cell r="AD94">
            <v>0</v>
          </cell>
          <cell r="AE94">
            <v>9</v>
          </cell>
          <cell r="AF94"/>
          <cell r="AG94"/>
          <cell r="AH94"/>
          <cell r="AI94">
            <v>106.5</v>
          </cell>
          <cell r="AJ94">
            <v>20</v>
          </cell>
          <cell r="AK94">
            <v>15</v>
          </cell>
        </row>
        <row r="95">
          <cell r="C95">
            <v>350122010</v>
          </cell>
          <cell r="D95">
            <v>0</v>
          </cell>
          <cell r="E95">
            <v>14</v>
          </cell>
          <cell r="F95">
            <v>16</v>
          </cell>
          <cell r="G95">
            <v>37</v>
          </cell>
          <cell r="H95">
            <v>15</v>
          </cell>
          <cell r="I95">
            <v>0</v>
          </cell>
          <cell r="J95">
            <v>2</v>
          </cell>
          <cell r="K95">
            <v>2</v>
          </cell>
          <cell r="L95">
            <v>2</v>
          </cell>
          <cell r="M95">
            <v>35</v>
          </cell>
          <cell r="N95">
            <v>6</v>
          </cell>
          <cell r="O95">
            <v>10</v>
          </cell>
          <cell r="P95">
            <v>6</v>
          </cell>
          <cell r="Q95">
            <v>12</v>
          </cell>
          <cell r="R95">
            <v>0</v>
          </cell>
          <cell r="S95">
            <v>46</v>
          </cell>
          <cell r="T95">
            <v>9</v>
          </cell>
          <cell r="U95">
            <v>12</v>
          </cell>
          <cell r="V95">
            <v>13</v>
          </cell>
          <cell r="W95">
            <v>29</v>
          </cell>
          <cell r="X95">
            <v>16</v>
          </cell>
          <cell r="Y95">
            <v>2</v>
          </cell>
          <cell r="Z95">
            <v>0</v>
          </cell>
          <cell r="AA95">
            <v>2</v>
          </cell>
          <cell r="AB95">
            <v>0</v>
          </cell>
          <cell r="AC95">
            <v>0</v>
          </cell>
          <cell r="AD95">
            <v>0</v>
          </cell>
          <cell r="AE95">
            <v>26</v>
          </cell>
          <cell r="AF95"/>
          <cell r="AG95"/>
          <cell r="AH95"/>
          <cell r="AI95">
            <v>312</v>
          </cell>
          <cell r="AJ95">
            <v>46</v>
          </cell>
          <cell r="AK95">
            <v>21</v>
          </cell>
        </row>
        <row r="96">
          <cell r="C96">
            <v>350122009</v>
          </cell>
          <cell r="D96">
            <v>5</v>
          </cell>
          <cell r="E96">
            <v>4</v>
          </cell>
          <cell r="F96">
            <v>0</v>
          </cell>
          <cell r="G96">
            <v>7</v>
          </cell>
          <cell r="H96">
            <v>10</v>
          </cell>
          <cell r="I96">
            <v>0</v>
          </cell>
          <cell r="J96">
            <v>0</v>
          </cell>
          <cell r="K96">
            <v>2</v>
          </cell>
          <cell r="L96">
            <v>16</v>
          </cell>
          <cell r="M96">
            <v>13</v>
          </cell>
          <cell r="N96">
            <v>12</v>
          </cell>
          <cell r="O96">
            <v>0</v>
          </cell>
          <cell r="P96">
            <v>2</v>
          </cell>
          <cell r="Q96">
            <v>11</v>
          </cell>
          <cell r="R96">
            <v>0</v>
          </cell>
          <cell r="S96">
            <v>14</v>
          </cell>
          <cell r="T96">
            <v>6</v>
          </cell>
          <cell r="U96">
            <v>5</v>
          </cell>
          <cell r="V96">
            <v>18</v>
          </cell>
          <cell r="W96">
            <v>31</v>
          </cell>
          <cell r="X96">
            <v>9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6</v>
          </cell>
          <cell r="AF96"/>
          <cell r="AG96"/>
          <cell r="AH96"/>
          <cell r="AI96">
            <v>171</v>
          </cell>
          <cell r="AJ96">
            <v>31</v>
          </cell>
          <cell r="AK96">
            <v>17</v>
          </cell>
        </row>
        <row r="97">
          <cell r="C97">
            <v>350122008</v>
          </cell>
          <cell r="D97">
            <v>1</v>
          </cell>
          <cell r="E97">
            <v>10</v>
          </cell>
          <cell r="F97">
            <v>0</v>
          </cell>
          <cell r="G97">
            <v>30.5</v>
          </cell>
          <cell r="H97">
            <v>42</v>
          </cell>
          <cell r="I97">
            <v>0</v>
          </cell>
          <cell r="J97">
            <v>1</v>
          </cell>
          <cell r="K97">
            <v>1</v>
          </cell>
          <cell r="L97">
            <v>36.5</v>
          </cell>
          <cell r="M97">
            <v>45</v>
          </cell>
          <cell r="N97">
            <v>1</v>
          </cell>
          <cell r="O97">
            <v>5</v>
          </cell>
          <cell r="P97">
            <v>4.5</v>
          </cell>
          <cell r="Q97">
            <v>26.5</v>
          </cell>
          <cell r="R97">
            <v>0</v>
          </cell>
          <cell r="S97">
            <v>71</v>
          </cell>
          <cell r="T97">
            <v>2</v>
          </cell>
          <cell r="U97">
            <v>2</v>
          </cell>
          <cell r="V97">
            <v>6</v>
          </cell>
          <cell r="W97">
            <v>18</v>
          </cell>
          <cell r="X97">
            <v>12</v>
          </cell>
          <cell r="Y97">
            <v>2</v>
          </cell>
          <cell r="Z97">
            <v>0</v>
          </cell>
          <cell r="AA97">
            <v>1</v>
          </cell>
          <cell r="AB97">
            <v>0</v>
          </cell>
          <cell r="AC97">
            <v>3</v>
          </cell>
          <cell r="AD97">
            <v>0</v>
          </cell>
          <cell r="AE97">
            <v>3</v>
          </cell>
          <cell r="AF97"/>
          <cell r="AG97"/>
          <cell r="AH97"/>
          <cell r="AI97">
            <v>324</v>
          </cell>
          <cell r="AJ97">
            <v>71</v>
          </cell>
          <cell r="AK97">
            <v>22</v>
          </cell>
        </row>
        <row r="98">
          <cell r="C98">
            <v>350122007</v>
          </cell>
          <cell r="D98">
            <v>3</v>
          </cell>
          <cell r="E98">
            <v>90</v>
          </cell>
          <cell r="F98">
            <v>0</v>
          </cell>
          <cell r="G98">
            <v>0</v>
          </cell>
          <cell r="H98">
            <v>0</v>
          </cell>
          <cell r="I98">
            <v>20</v>
          </cell>
          <cell r="J98">
            <v>4</v>
          </cell>
          <cell r="K98">
            <v>0</v>
          </cell>
          <cell r="L98">
            <v>26</v>
          </cell>
          <cell r="M98">
            <v>22</v>
          </cell>
          <cell r="N98">
            <v>0</v>
          </cell>
          <cell r="O98">
            <v>16</v>
          </cell>
          <cell r="P98">
            <v>18</v>
          </cell>
          <cell r="Q98">
            <v>13</v>
          </cell>
          <cell r="R98">
            <v>0</v>
          </cell>
          <cell r="S98">
            <v>0</v>
          </cell>
          <cell r="T98">
            <v>0</v>
          </cell>
          <cell r="U98">
            <v>6</v>
          </cell>
          <cell r="V98">
            <v>0</v>
          </cell>
          <cell r="W98">
            <v>13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6</v>
          </cell>
          <cell r="AD98">
            <v>5</v>
          </cell>
          <cell r="AE98">
            <v>8</v>
          </cell>
          <cell r="AF98"/>
          <cell r="AG98"/>
          <cell r="AH98"/>
          <cell r="AI98">
            <v>250</v>
          </cell>
          <cell r="AJ98">
            <v>90</v>
          </cell>
          <cell r="AK98">
            <v>14</v>
          </cell>
        </row>
        <row r="99">
          <cell r="C99">
            <v>350122006</v>
          </cell>
          <cell r="D99">
            <v>0</v>
          </cell>
          <cell r="E99">
            <v>24</v>
          </cell>
          <cell r="F99">
            <v>0</v>
          </cell>
          <cell r="G99">
            <v>9</v>
          </cell>
          <cell r="H99">
            <v>5</v>
          </cell>
          <cell r="I99">
            <v>4</v>
          </cell>
          <cell r="J99">
            <v>7</v>
          </cell>
          <cell r="K99">
            <v>0</v>
          </cell>
          <cell r="L99">
            <v>27</v>
          </cell>
          <cell r="M99">
            <v>31</v>
          </cell>
          <cell r="N99">
            <v>5</v>
          </cell>
          <cell r="O99">
            <v>6</v>
          </cell>
          <cell r="P99">
            <v>2</v>
          </cell>
          <cell r="Q99">
            <v>9</v>
          </cell>
          <cell r="R99">
            <v>0</v>
          </cell>
          <cell r="S99">
            <v>0</v>
          </cell>
          <cell r="T99">
            <v>19</v>
          </cell>
          <cell r="U99">
            <v>0</v>
          </cell>
          <cell r="V99">
            <v>3</v>
          </cell>
          <cell r="W99">
            <v>25</v>
          </cell>
          <cell r="X99">
            <v>0</v>
          </cell>
          <cell r="Y99">
            <v>3</v>
          </cell>
          <cell r="Z99">
            <v>0</v>
          </cell>
          <cell r="AA99">
            <v>2</v>
          </cell>
          <cell r="AB99">
            <v>0</v>
          </cell>
          <cell r="AC99">
            <v>5</v>
          </cell>
          <cell r="AD99">
            <v>13</v>
          </cell>
          <cell r="AE99">
            <v>2</v>
          </cell>
          <cell r="AF99"/>
          <cell r="AG99"/>
          <cell r="AH99"/>
          <cell r="AI99">
            <v>201</v>
          </cell>
          <cell r="AJ99">
            <v>31</v>
          </cell>
          <cell r="AK99">
            <v>19</v>
          </cell>
        </row>
        <row r="100">
          <cell r="C100">
            <v>350122005</v>
          </cell>
          <cell r="D100">
            <v>1</v>
          </cell>
          <cell r="E100">
            <v>14</v>
          </cell>
          <cell r="F100">
            <v>0</v>
          </cell>
          <cell r="G100">
            <v>18</v>
          </cell>
          <cell r="H100">
            <v>18</v>
          </cell>
          <cell r="I100">
            <v>50</v>
          </cell>
          <cell r="J100">
            <v>14</v>
          </cell>
          <cell r="K100">
            <v>1</v>
          </cell>
          <cell r="L100">
            <v>58</v>
          </cell>
          <cell r="M100">
            <v>46</v>
          </cell>
          <cell r="N100">
            <v>2</v>
          </cell>
          <cell r="O100">
            <v>10</v>
          </cell>
          <cell r="P100">
            <v>9</v>
          </cell>
          <cell r="Q100">
            <v>36</v>
          </cell>
          <cell r="R100">
            <v>0</v>
          </cell>
          <cell r="S100">
            <v>97</v>
          </cell>
          <cell r="T100">
            <v>6</v>
          </cell>
          <cell r="U100">
            <v>4</v>
          </cell>
          <cell r="V100">
            <v>15</v>
          </cell>
          <cell r="W100">
            <v>18</v>
          </cell>
          <cell r="X100">
            <v>12</v>
          </cell>
          <cell r="Y100">
            <v>2</v>
          </cell>
          <cell r="Z100">
            <v>0</v>
          </cell>
          <cell r="AA100">
            <v>2</v>
          </cell>
          <cell r="AB100">
            <v>0</v>
          </cell>
          <cell r="AC100">
            <v>8</v>
          </cell>
          <cell r="AD100">
            <v>0</v>
          </cell>
          <cell r="AE100">
            <v>3</v>
          </cell>
          <cell r="AF100"/>
          <cell r="AG100"/>
          <cell r="AH100"/>
          <cell r="AI100">
            <v>444</v>
          </cell>
          <cell r="AJ100">
            <v>97</v>
          </cell>
          <cell r="AK100">
            <v>23</v>
          </cell>
        </row>
        <row r="101">
          <cell r="C101">
            <v>350122004</v>
          </cell>
          <cell r="D101">
            <v>0</v>
          </cell>
          <cell r="E101">
            <v>18</v>
          </cell>
          <cell r="F101">
            <v>5</v>
          </cell>
          <cell r="G101">
            <v>4</v>
          </cell>
          <cell r="H101">
            <v>5</v>
          </cell>
          <cell r="I101">
            <v>0</v>
          </cell>
          <cell r="J101">
            <v>0</v>
          </cell>
          <cell r="K101">
            <v>7</v>
          </cell>
          <cell r="L101">
            <v>15</v>
          </cell>
          <cell r="M101">
            <v>62</v>
          </cell>
          <cell r="N101">
            <v>11</v>
          </cell>
          <cell r="O101">
            <v>3</v>
          </cell>
          <cell r="P101">
            <v>9</v>
          </cell>
          <cell r="Q101">
            <v>3</v>
          </cell>
          <cell r="R101">
            <v>0</v>
          </cell>
          <cell r="S101">
            <v>1</v>
          </cell>
          <cell r="T101">
            <v>7</v>
          </cell>
          <cell r="U101">
            <v>19</v>
          </cell>
          <cell r="V101">
            <v>6</v>
          </cell>
          <cell r="W101">
            <v>2</v>
          </cell>
          <cell r="X101">
            <v>0</v>
          </cell>
          <cell r="Y101">
            <v>25</v>
          </cell>
          <cell r="Z101">
            <v>0</v>
          </cell>
          <cell r="AA101">
            <v>0</v>
          </cell>
          <cell r="AB101">
            <v>7</v>
          </cell>
          <cell r="AC101">
            <v>0</v>
          </cell>
          <cell r="AD101">
            <v>0</v>
          </cell>
          <cell r="AE101">
            <v>3</v>
          </cell>
          <cell r="AF101"/>
          <cell r="AG101"/>
          <cell r="AH101"/>
          <cell r="AI101">
            <v>212</v>
          </cell>
          <cell r="AJ101">
            <v>62</v>
          </cell>
          <cell r="AK101">
            <v>19</v>
          </cell>
        </row>
        <row r="102">
          <cell r="C102">
            <v>350122003</v>
          </cell>
          <cell r="D102">
            <v>0</v>
          </cell>
          <cell r="E102">
            <v>7</v>
          </cell>
          <cell r="F102">
            <v>0</v>
          </cell>
          <cell r="G102">
            <v>14</v>
          </cell>
          <cell r="H102">
            <v>21</v>
          </cell>
          <cell r="I102">
            <v>0</v>
          </cell>
          <cell r="J102">
            <v>2</v>
          </cell>
          <cell r="K102">
            <v>0</v>
          </cell>
          <cell r="L102">
            <v>1</v>
          </cell>
          <cell r="M102">
            <v>24</v>
          </cell>
          <cell r="N102">
            <v>0</v>
          </cell>
          <cell r="O102">
            <v>12</v>
          </cell>
          <cell r="P102">
            <v>2</v>
          </cell>
          <cell r="Q102">
            <v>2</v>
          </cell>
          <cell r="R102">
            <v>0</v>
          </cell>
          <cell r="S102">
            <v>103</v>
          </cell>
          <cell r="T102">
            <v>2</v>
          </cell>
          <cell r="U102">
            <v>5</v>
          </cell>
          <cell r="V102">
            <v>7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</v>
          </cell>
          <cell r="AB102">
            <v>0</v>
          </cell>
          <cell r="AC102">
            <v>1</v>
          </cell>
          <cell r="AD102">
            <v>0</v>
          </cell>
          <cell r="AE102">
            <v>24</v>
          </cell>
          <cell r="AF102"/>
          <cell r="AG102"/>
          <cell r="AH102"/>
          <cell r="AI102">
            <v>228</v>
          </cell>
          <cell r="AJ102">
            <v>103</v>
          </cell>
          <cell r="AK102">
            <v>16</v>
          </cell>
        </row>
        <row r="103">
          <cell r="C103">
            <v>350122002</v>
          </cell>
          <cell r="D103">
            <v>0</v>
          </cell>
          <cell r="E103">
            <v>8</v>
          </cell>
          <cell r="F103">
            <v>19</v>
          </cell>
          <cell r="G103">
            <v>1</v>
          </cell>
          <cell r="H103">
            <v>20</v>
          </cell>
          <cell r="I103">
            <v>0</v>
          </cell>
          <cell r="J103">
            <v>2</v>
          </cell>
          <cell r="K103">
            <v>5</v>
          </cell>
          <cell r="L103">
            <v>8</v>
          </cell>
          <cell r="M103">
            <v>38</v>
          </cell>
          <cell r="N103">
            <v>14</v>
          </cell>
          <cell r="O103">
            <v>9</v>
          </cell>
          <cell r="P103">
            <v>3</v>
          </cell>
          <cell r="Q103">
            <v>44</v>
          </cell>
          <cell r="R103">
            <v>0</v>
          </cell>
          <cell r="S103">
            <v>0</v>
          </cell>
          <cell r="T103">
            <v>13</v>
          </cell>
          <cell r="U103">
            <v>7</v>
          </cell>
          <cell r="V103">
            <v>9</v>
          </cell>
          <cell r="W103">
            <v>18</v>
          </cell>
          <cell r="X103">
            <v>9</v>
          </cell>
          <cell r="Y103">
            <v>2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8</v>
          </cell>
          <cell r="AF103"/>
          <cell r="AG103"/>
          <cell r="AH103"/>
          <cell r="AI103">
            <v>237</v>
          </cell>
          <cell r="AJ103">
            <v>44</v>
          </cell>
          <cell r="AK103">
            <v>19</v>
          </cell>
        </row>
        <row r="104">
          <cell r="C104">
            <v>350122001</v>
          </cell>
          <cell r="D104">
            <v>2</v>
          </cell>
          <cell r="E104">
            <v>9</v>
          </cell>
          <cell r="F104">
            <v>1</v>
          </cell>
          <cell r="G104">
            <v>4</v>
          </cell>
          <cell r="H104">
            <v>4</v>
          </cell>
          <cell r="I104">
            <v>0</v>
          </cell>
          <cell r="J104">
            <v>22</v>
          </cell>
          <cell r="K104">
            <v>3</v>
          </cell>
          <cell r="L104">
            <v>3</v>
          </cell>
          <cell r="M104">
            <v>40</v>
          </cell>
          <cell r="N104">
            <v>3</v>
          </cell>
          <cell r="O104">
            <v>18</v>
          </cell>
          <cell r="P104">
            <v>4</v>
          </cell>
          <cell r="Q104">
            <v>7</v>
          </cell>
          <cell r="R104">
            <v>0</v>
          </cell>
          <cell r="S104">
            <v>86</v>
          </cell>
          <cell r="T104">
            <v>13</v>
          </cell>
          <cell r="U104">
            <v>15</v>
          </cell>
          <cell r="V104">
            <v>11</v>
          </cell>
          <cell r="W104">
            <v>31</v>
          </cell>
          <cell r="X104">
            <v>6</v>
          </cell>
          <cell r="Y104">
            <v>3</v>
          </cell>
          <cell r="Z104">
            <v>0</v>
          </cell>
          <cell r="AA104">
            <v>12</v>
          </cell>
          <cell r="AB104">
            <v>0</v>
          </cell>
          <cell r="AC104">
            <v>0</v>
          </cell>
          <cell r="AD104">
            <v>2</v>
          </cell>
          <cell r="AE104">
            <v>20</v>
          </cell>
          <cell r="AF104"/>
          <cell r="AG104"/>
          <cell r="AH104"/>
          <cell r="AI104">
            <v>319</v>
          </cell>
          <cell r="AJ104">
            <v>86</v>
          </cell>
          <cell r="AK104">
            <v>23</v>
          </cell>
        </row>
        <row r="105">
          <cell r="C105">
            <v>350619001</v>
          </cell>
          <cell r="D105">
            <v>9</v>
          </cell>
          <cell r="E105">
            <v>10</v>
          </cell>
          <cell r="F105">
            <v>0</v>
          </cell>
          <cell r="G105">
            <v>1</v>
          </cell>
          <cell r="H105">
            <v>3</v>
          </cell>
          <cell r="I105">
            <v>10</v>
          </cell>
          <cell r="J105">
            <v>2</v>
          </cell>
          <cell r="K105">
            <v>0</v>
          </cell>
          <cell r="L105">
            <v>5.5</v>
          </cell>
          <cell r="M105">
            <v>10.5</v>
          </cell>
          <cell r="N105">
            <v>0</v>
          </cell>
          <cell r="O105">
            <v>0</v>
          </cell>
          <cell r="P105">
            <v>17.5</v>
          </cell>
          <cell r="Q105">
            <v>4</v>
          </cell>
          <cell r="R105">
            <v>3</v>
          </cell>
          <cell r="S105">
            <v>0</v>
          </cell>
          <cell r="T105">
            <v>0</v>
          </cell>
          <cell r="U105">
            <v>0</v>
          </cell>
          <cell r="V105">
            <v>7.5</v>
          </cell>
          <cell r="W105">
            <v>0</v>
          </cell>
          <cell r="X105">
            <v>0</v>
          </cell>
          <cell r="Y105">
            <v>1</v>
          </cell>
          <cell r="Z105">
            <v>0</v>
          </cell>
          <cell r="AA105">
            <v>0</v>
          </cell>
          <cell r="AB105">
            <v>0</v>
          </cell>
          <cell r="AC105">
            <v>7</v>
          </cell>
          <cell r="AD105">
            <v>17</v>
          </cell>
          <cell r="AE105">
            <v>0</v>
          </cell>
          <cell r="AF105"/>
          <cell r="AG105"/>
          <cell r="AH105"/>
          <cell r="AI105">
            <v>108</v>
          </cell>
          <cell r="AJ105">
            <v>17.5</v>
          </cell>
          <cell r="AK105">
            <v>15</v>
          </cell>
        </row>
        <row r="106">
          <cell r="C106">
            <v>350619002</v>
          </cell>
          <cell r="D106">
            <v>24</v>
          </cell>
          <cell r="E106">
            <v>30</v>
          </cell>
          <cell r="F106">
            <v>7</v>
          </cell>
          <cell r="G106">
            <v>5</v>
          </cell>
          <cell r="H106">
            <v>0</v>
          </cell>
          <cell r="I106">
            <v>8</v>
          </cell>
          <cell r="J106">
            <v>0</v>
          </cell>
          <cell r="K106">
            <v>0</v>
          </cell>
          <cell r="L106">
            <v>24</v>
          </cell>
          <cell r="M106">
            <v>7</v>
          </cell>
          <cell r="N106">
            <v>0</v>
          </cell>
          <cell r="O106">
            <v>67</v>
          </cell>
          <cell r="P106">
            <v>8</v>
          </cell>
          <cell r="Q106">
            <v>25</v>
          </cell>
          <cell r="R106">
            <v>0</v>
          </cell>
          <cell r="S106">
            <v>0</v>
          </cell>
          <cell r="T106">
            <v>32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51</v>
          </cell>
          <cell r="AD106">
            <v>19</v>
          </cell>
          <cell r="AE106">
            <v>7</v>
          </cell>
          <cell r="AF106"/>
          <cell r="AG106"/>
          <cell r="AH106"/>
          <cell r="AI106">
            <v>314</v>
          </cell>
          <cell r="AJ106">
            <v>67</v>
          </cell>
          <cell r="AK106">
            <v>14</v>
          </cell>
        </row>
        <row r="107">
          <cell r="C107">
            <v>350619003</v>
          </cell>
          <cell r="D107">
            <v>18</v>
          </cell>
          <cell r="E107">
            <v>24</v>
          </cell>
          <cell r="F107">
            <v>5</v>
          </cell>
          <cell r="G107">
            <v>0</v>
          </cell>
          <cell r="H107">
            <v>0</v>
          </cell>
          <cell r="I107">
            <v>8</v>
          </cell>
          <cell r="J107">
            <v>5</v>
          </cell>
          <cell r="K107">
            <v>0</v>
          </cell>
          <cell r="L107">
            <v>5</v>
          </cell>
          <cell r="M107">
            <v>0</v>
          </cell>
          <cell r="N107">
            <v>0</v>
          </cell>
          <cell r="O107">
            <v>35</v>
          </cell>
          <cell r="P107">
            <v>8</v>
          </cell>
          <cell r="Q107">
            <v>19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8</v>
          </cell>
          <cell r="Z107">
            <v>0</v>
          </cell>
          <cell r="AA107">
            <v>0</v>
          </cell>
          <cell r="AB107">
            <v>0</v>
          </cell>
          <cell r="AC107">
            <v>12</v>
          </cell>
          <cell r="AD107">
            <v>21</v>
          </cell>
          <cell r="AE107">
            <v>0</v>
          </cell>
          <cell r="AF107"/>
          <cell r="AG107"/>
          <cell r="AH107"/>
          <cell r="AI107">
            <v>168</v>
          </cell>
          <cell r="AJ107">
            <v>35</v>
          </cell>
          <cell r="AK107">
            <v>12</v>
          </cell>
        </row>
        <row r="108">
          <cell r="C108">
            <v>350619004</v>
          </cell>
          <cell r="D108">
            <v>0</v>
          </cell>
          <cell r="E108">
            <v>27</v>
          </cell>
          <cell r="F108">
            <v>5</v>
          </cell>
          <cell r="G108">
            <v>0</v>
          </cell>
          <cell r="H108">
            <v>0</v>
          </cell>
          <cell r="I108">
            <v>16</v>
          </cell>
          <cell r="J108">
            <v>10</v>
          </cell>
          <cell r="K108">
            <v>0</v>
          </cell>
          <cell r="L108">
            <v>0</v>
          </cell>
          <cell r="M108">
            <v>6</v>
          </cell>
          <cell r="N108">
            <v>0</v>
          </cell>
          <cell r="O108">
            <v>9</v>
          </cell>
          <cell r="P108">
            <v>24</v>
          </cell>
          <cell r="Q108">
            <v>18</v>
          </cell>
          <cell r="R108">
            <v>0</v>
          </cell>
          <cell r="S108">
            <v>0</v>
          </cell>
          <cell r="T108">
            <v>0</v>
          </cell>
          <cell r="U108">
            <v>9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7</v>
          </cell>
          <cell r="AE108">
            <v>0</v>
          </cell>
          <cell r="AF108"/>
          <cell r="AG108"/>
          <cell r="AH108"/>
          <cell r="AI108">
            <v>131</v>
          </cell>
          <cell r="AJ108">
            <v>27</v>
          </cell>
          <cell r="AK108">
            <v>10</v>
          </cell>
        </row>
        <row r="109">
          <cell r="C109">
            <v>350619005</v>
          </cell>
          <cell r="D109">
            <v>25</v>
          </cell>
          <cell r="E109">
            <v>65</v>
          </cell>
          <cell r="F109">
            <v>50</v>
          </cell>
          <cell r="G109">
            <v>10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20</v>
          </cell>
          <cell r="M109">
            <v>15</v>
          </cell>
          <cell r="N109">
            <v>0</v>
          </cell>
          <cell r="O109">
            <v>95</v>
          </cell>
          <cell r="P109">
            <v>0</v>
          </cell>
          <cell r="Q109">
            <v>50</v>
          </cell>
          <cell r="R109">
            <v>0</v>
          </cell>
          <cell r="S109">
            <v>0</v>
          </cell>
          <cell r="T109">
            <v>45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10</v>
          </cell>
          <cell r="Z109">
            <v>0</v>
          </cell>
          <cell r="AA109">
            <v>0</v>
          </cell>
          <cell r="AB109">
            <v>0</v>
          </cell>
          <cell r="AC109">
            <v>60</v>
          </cell>
          <cell r="AD109">
            <v>30</v>
          </cell>
          <cell r="AE109">
            <v>15</v>
          </cell>
          <cell r="AF109"/>
          <cell r="AG109"/>
          <cell r="AH109"/>
          <cell r="AI109">
            <v>490</v>
          </cell>
          <cell r="AJ109">
            <v>95</v>
          </cell>
          <cell r="AK109">
            <v>13</v>
          </cell>
        </row>
        <row r="110">
          <cell r="C110">
            <v>350619006</v>
          </cell>
          <cell r="D110">
            <v>48</v>
          </cell>
          <cell r="E110">
            <v>41</v>
          </cell>
          <cell r="F110">
            <v>4</v>
          </cell>
          <cell r="G110">
            <v>0</v>
          </cell>
          <cell r="H110">
            <v>0</v>
          </cell>
          <cell r="I110">
            <v>3</v>
          </cell>
          <cell r="J110">
            <v>4</v>
          </cell>
          <cell r="K110">
            <v>0</v>
          </cell>
          <cell r="L110">
            <v>10</v>
          </cell>
          <cell r="M110">
            <v>4</v>
          </cell>
          <cell r="N110">
            <v>0</v>
          </cell>
          <cell r="O110">
            <v>55</v>
          </cell>
          <cell r="P110">
            <v>9</v>
          </cell>
          <cell r="Q110">
            <v>29</v>
          </cell>
          <cell r="R110">
            <v>0</v>
          </cell>
          <cell r="S110">
            <v>0</v>
          </cell>
          <cell r="T110">
            <v>28</v>
          </cell>
          <cell r="U110">
            <v>0</v>
          </cell>
          <cell r="V110">
            <v>3</v>
          </cell>
          <cell r="W110">
            <v>0</v>
          </cell>
          <cell r="X110">
            <v>0</v>
          </cell>
          <cell r="Y110">
            <v>5</v>
          </cell>
          <cell r="Z110">
            <v>0</v>
          </cell>
          <cell r="AA110">
            <v>0</v>
          </cell>
          <cell r="AB110">
            <v>0</v>
          </cell>
          <cell r="AC110">
            <v>54</v>
          </cell>
          <cell r="AD110">
            <v>23</v>
          </cell>
          <cell r="AE110">
            <v>4</v>
          </cell>
          <cell r="AF110"/>
          <cell r="AG110"/>
          <cell r="AH110"/>
          <cell r="AI110">
            <v>324</v>
          </cell>
          <cell r="AJ110">
            <v>55</v>
          </cell>
          <cell r="AK110">
            <v>16</v>
          </cell>
        </row>
        <row r="111">
          <cell r="C111">
            <v>350619007</v>
          </cell>
          <cell r="D111">
            <v>14</v>
          </cell>
          <cell r="E111">
            <v>34</v>
          </cell>
          <cell r="F111">
            <v>11</v>
          </cell>
          <cell r="G111">
            <v>14</v>
          </cell>
          <cell r="H111">
            <v>0</v>
          </cell>
          <cell r="I111">
            <v>10</v>
          </cell>
          <cell r="J111">
            <v>6</v>
          </cell>
          <cell r="K111">
            <v>0</v>
          </cell>
          <cell r="L111">
            <v>0</v>
          </cell>
          <cell r="M111">
            <v>9</v>
          </cell>
          <cell r="N111">
            <v>0</v>
          </cell>
          <cell r="O111">
            <v>38</v>
          </cell>
          <cell r="P111">
            <v>8</v>
          </cell>
          <cell r="Q111">
            <v>34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8</v>
          </cell>
          <cell r="Z111">
            <v>0</v>
          </cell>
          <cell r="AA111">
            <v>0</v>
          </cell>
          <cell r="AB111">
            <v>0</v>
          </cell>
          <cell r="AC111">
            <v>10</v>
          </cell>
          <cell r="AD111">
            <v>29</v>
          </cell>
          <cell r="AE111">
            <v>5</v>
          </cell>
          <cell r="AF111"/>
          <cell r="AG111"/>
          <cell r="AH111"/>
          <cell r="AI111">
            <v>230</v>
          </cell>
          <cell r="AJ111">
            <v>38</v>
          </cell>
          <cell r="AK111">
            <v>14</v>
          </cell>
        </row>
        <row r="112">
          <cell r="C112">
            <v>350619008</v>
          </cell>
          <cell r="D112">
            <v>30</v>
          </cell>
          <cell r="E112">
            <v>20</v>
          </cell>
          <cell r="F112">
            <v>36</v>
          </cell>
          <cell r="G112">
            <v>22</v>
          </cell>
          <cell r="H112">
            <v>0</v>
          </cell>
          <cell r="I112">
            <v>15</v>
          </cell>
          <cell r="J112">
            <v>5</v>
          </cell>
          <cell r="K112">
            <v>0</v>
          </cell>
          <cell r="L112">
            <v>5</v>
          </cell>
          <cell r="M112">
            <v>9</v>
          </cell>
          <cell r="N112">
            <v>0</v>
          </cell>
          <cell r="O112">
            <v>125</v>
          </cell>
          <cell r="P112">
            <v>9</v>
          </cell>
          <cell r="Q112">
            <v>25</v>
          </cell>
          <cell r="R112">
            <v>0</v>
          </cell>
          <cell r="S112">
            <v>0</v>
          </cell>
          <cell r="T112">
            <v>10</v>
          </cell>
          <cell r="U112">
            <v>6</v>
          </cell>
          <cell r="V112">
            <v>5</v>
          </cell>
          <cell r="W112">
            <v>0</v>
          </cell>
          <cell r="X112">
            <v>0</v>
          </cell>
          <cell r="Y112">
            <v>7</v>
          </cell>
          <cell r="Z112">
            <v>0</v>
          </cell>
          <cell r="AA112">
            <v>0</v>
          </cell>
          <cell r="AB112">
            <v>0</v>
          </cell>
          <cell r="AC112">
            <v>34</v>
          </cell>
          <cell r="AD112">
            <v>35</v>
          </cell>
          <cell r="AE112">
            <v>36</v>
          </cell>
          <cell r="AF112"/>
          <cell r="AG112"/>
          <cell r="AH112"/>
          <cell r="AI112">
            <v>434</v>
          </cell>
          <cell r="AJ112">
            <v>125</v>
          </cell>
          <cell r="AK112">
            <v>18</v>
          </cell>
        </row>
        <row r="113">
          <cell r="C113">
            <v>350619009</v>
          </cell>
          <cell r="D113">
            <v>20</v>
          </cell>
          <cell r="E113">
            <v>19</v>
          </cell>
          <cell r="F113">
            <v>24</v>
          </cell>
          <cell r="G113">
            <v>13</v>
          </cell>
          <cell r="H113">
            <v>0</v>
          </cell>
          <cell r="I113">
            <v>14</v>
          </cell>
          <cell r="J113">
            <v>0</v>
          </cell>
          <cell r="K113">
            <v>0</v>
          </cell>
          <cell r="L113">
            <v>6</v>
          </cell>
          <cell r="M113">
            <v>0</v>
          </cell>
          <cell r="N113">
            <v>0</v>
          </cell>
          <cell r="O113">
            <v>100</v>
          </cell>
          <cell r="P113">
            <v>6</v>
          </cell>
          <cell r="Q113">
            <v>10</v>
          </cell>
          <cell r="R113">
            <v>0</v>
          </cell>
          <cell r="S113">
            <v>0</v>
          </cell>
          <cell r="T113">
            <v>0</v>
          </cell>
          <cell r="U113">
            <v>5</v>
          </cell>
          <cell r="V113">
            <v>5</v>
          </cell>
          <cell r="W113">
            <v>0</v>
          </cell>
          <cell r="X113">
            <v>0</v>
          </cell>
          <cell r="Y113">
            <v>5</v>
          </cell>
          <cell r="Z113">
            <v>0</v>
          </cell>
          <cell r="AA113">
            <v>0</v>
          </cell>
          <cell r="AB113">
            <v>0</v>
          </cell>
          <cell r="AC113">
            <v>30</v>
          </cell>
          <cell r="AD113">
            <v>30</v>
          </cell>
          <cell r="AE113">
            <v>24</v>
          </cell>
          <cell r="AF113"/>
          <cell r="AG113"/>
          <cell r="AH113"/>
          <cell r="AI113">
            <v>311</v>
          </cell>
          <cell r="AJ113">
            <v>100</v>
          </cell>
          <cell r="AK113">
            <v>15</v>
          </cell>
        </row>
        <row r="114">
          <cell r="C114">
            <v>350619010</v>
          </cell>
          <cell r="D114">
            <v>28</v>
          </cell>
          <cell r="E114">
            <v>29</v>
          </cell>
          <cell r="F114">
            <v>27</v>
          </cell>
          <cell r="G114">
            <v>31</v>
          </cell>
          <cell r="H114">
            <v>0</v>
          </cell>
          <cell r="I114">
            <v>11</v>
          </cell>
          <cell r="J114">
            <v>5</v>
          </cell>
          <cell r="K114">
            <v>0</v>
          </cell>
          <cell r="L114">
            <v>5</v>
          </cell>
          <cell r="M114">
            <v>0</v>
          </cell>
          <cell r="N114">
            <v>0</v>
          </cell>
          <cell r="O114">
            <v>96</v>
          </cell>
          <cell r="P114">
            <v>8</v>
          </cell>
          <cell r="Q114">
            <v>20</v>
          </cell>
          <cell r="R114">
            <v>0</v>
          </cell>
          <cell r="S114">
            <v>0</v>
          </cell>
          <cell r="T114">
            <v>0</v>
          </cell>
          <cell r="U114">
            <v>7</v>
          </cell>
          <cell r="V114">
            <v>5</v>
          </cell>
          <cell r="W114">
            <v>0</v>
          </cell>
          <cell r="X114">
            <v>0</v>
          </cell>
          <cell r="Y114">
            <v>8</v>
          </cell>
          <cell r="Z114">
            <v>0</v>
          </cell>
          <cell r="AA114">
            <v>0</v>
          </cell>
          <cell r="AB114">
            <v>0</v>
          </cell>
          <cell r="AC114">
            <v>32</v>
          </cell>
          <cell r="AD114">
            <v>37</v>
          </cell>
          <cell r="AE114">
            <v>30</v>
          </cell>
          <cell r="AF114"/>
          <cell r="AG114"/>
          <cell r="AH114"/>
          <cell r="AI114">
            <v>379</v>
          </cell>
          <cell r="AJ114">
            <v>96</v>
          </cell>
          <cell r="AK114">
            <v>16</v>
          </cell>
        </row>
        <row r="115">
          <cell r="C115">
            <v>350619011</v>
          </cell>
          <cell r="D115">
            <v>10</v>
          </cell>
          <cell r="E115">
            <v>12</v>
          </cell>
          <cell r="F115">
            <v>0</v>
          </cell>
          <cell r="G115">
            <v>13</v>
          </cell>
          <cell r="H115">
            <v>0</v>
          </cell>
          <cell r="I115">
            <v>0</v>
          </cell>
          <cell r="J115">
            <v>6</v>
          </cell>
          <cell r="K115">
            <v>0</v>
          </cell>
          <cell r="L115">
            <v>9</v>
          </cell>
          <cell r="M115">
            <v>12</v>
          </cell>
          <cell r="N115">
            <v>0</v>
          </cell>
          <cell r="O115">
            <v>29</v>
          </cell>
          <cell r="P115">
            <v>9</v>
          </cell>
          <cell r="Q115">
            <v>21</v>
          </cell>
          <cell r="R115">
            <v>0</v>
          </cell>
          <cell r="S115">
            <v>0</v>
          </cell>
          <cell r="T115">
            <v>17</v>
          </cell>
          <cell r="U115">
            <v>9</v>
          </cell>
          <cell r="V115">
            <v>11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16</v>
          </cell>
          <cell r="AD115">
            <v>11</v>
          </cell>
          <cell r="AE115">
            <v>0</v>
          </cell>
          <cell r="AF115"/>
          <cell r="AG115"/>
          <cell r="AH115"/>
          <cell r="AI115">
            <v>185</v>
          </cell>
          <cell r="AJ115">
            <v>29</v>
          </cell>
          <cell r="AK115">
            <v>14</v>
          </cell>
        </row>
        <row r="116">
          <cell r="C116">
            <v>350619012</v>
          </cell>
          <cell r="D116">
            <v>20</v>
          </cell>
          <cell r="E116">
            <v>39</v>
          </cell>
          <cell r="F116">
            <v>30</v>
          </cell>
          <cell r="G116">
            <v>30</v>
          </cell>
          <cell r="H116">
            <v>0</v>
          </cell>
          <cell r="I116">
            <v>10</v>
          </cell>
          <cell r="J116">
            <v>5</v>
          </cell>
          <cell r="K116">
            <v>0</v>
          </cell>
          <cell r="L116">
            <v>6</v>
          </cell>
          <cell r="M116">
            <v>8</v>
          </cell>
          <cell r="N116">
            <v>0</v>
          </cell>
          <cell r="O116">
            <v>61</v>
          </cell>
          <cell r="P116">
            <v>8</v>
          </cell>
          <cell r="Q116">
            <v>19</v>
          </cell>
          <cell r="R116">
            <v>0</v>
          </cell>
          <cell r="S116">
            <v>0</v>
          </cell>
          <cell r="T116">
            <v>5</v>
          </cell>
          <cell r="U116">
            <v>0</v>
          </cell>
          <cell r="V116">
            <v>10</v>
          </cell>
          <cell r="W116">
            <v>0</v>
          </cell>
          <cell r="X116">
            <v>0</v>
          </cell>
          <cell r="Y116">
            <v>10</v>
          </cell>
          <cell r="Z116">
            <v>0</v>
          </cell>
          <cell r="AA116">
            <v>0</v>
          </cell>
          <cell r="AB116">
            <v>0</v>
          </cell>
          <cell r="AC116">
            <v>11</v>
          </cell>
          <cell r="AD116">
            <v>45</v>
          </cell>
          <cell r="AE116">
            <v>18</v>
          </cell>
          <cell r="AF116"/>
          <cell r="AG116"/>
          <cell r="AH116"/>
          <cell r="AI116">
            <v>335</v>
          </cell>
          <cell r="AJ116">
            <v>61</v>
          </cell>
          <cell r="AK116">
            <v>17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8</v>
          </cell>
          <cell r="K117">
            <v>0</v>
          </cell>
          <cell r="L117">
            <v>20</v>
          </cell>
          <cell r="M117">
            <v>9</v>
          </cell>
          <cell r="N117">
            <v>0</v>
          </cell>
          <cell r="O117">
            <v>12</v>
          </cell>
          <cell r="P117">
            <v>70</v>
          </cell>
          <cell r="Q117">
            <v>0</v>
          </cell>
          <cell r="R117">
            <v>15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40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5</v>
          </cell>
          <cell r="AF117"/>
          <cell r="AG117"/>
          <cell r="AH117"/>
          <cell r="AI117">
            <v>179</v>
          </cell>
          <cell r="AJ117">
            <v>70</v>
          </cell>
          <cell r="AK117">
            <v>8</v>
          </cell>
        </row>
        <row r="118">
          <cell r="C118">
            <v>350619014</v>
          </cell>
          <cell r="D118">
            <v>19</v>
          </cell>
          <cell r="E118">
            <v>35</v>
          </cell>
          <cell r="F118">
            <v>0</v>
          </cell>
          <cell r="G118">
            <v>0</v>
          </cell>
          <cell r="H118">
            <v>0</v>
          </cell>
          <cell r="I118">
            <v>18</v>
          </cell>
          <cell r="J118">
            <v>0</v>
          </cell>
          <cell r="K118">
            <v>0</v>
          </cell>
          <cell r="L118">
            <v>5</v>
          </cell>
          <cell r="M118">
            <v>17</v>
          </cell>
          <cell r="N118">
            <v>0</v>
          </cell>
          <cell r="O118">
            <v>24</v>
          </cell>
          <cell r="P118">
            <v>5</v>
          </cell>
          <cell r="Q118">
            <v>7</v>
          </cell>
          <cell r="R118">
            <v>6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55</v>
          </cell>
          <cell r="Z118">
            <v>0</v>
          </cell>
          <cell r="AA118">
            <v>0</v>
          </cell>
          <cell r="AB118">
            <v>0</v>
          </cell>
          <cell r="AC118">
            <v>12</v>
          </cell>
          <cell r="AD118">
            <v>11</v>
          </cell>
          <cell r="AE118">
            <v>13</v>
          </cell>
          <cell r="AF118"/>
          <cell r="AG118"/>
          <cell r="AH118"/>
          <cell r="AI118">
            <v>227</v>
          </cell>
          <cell r="AJ118">
            <v>55</v>
          </cell>
          <cell r="AK118">
            <v>13</v>
          </cell>
        </row>
        <row r="119">
          <cell r="C119">
            <v>350619015</v>
          </cell>
          <cell r="D119">
            <v>6</v>
          </cell>
          <cell r="E119">
            <v>52</v>
          </cell>
          <cell r="F119">
            <v>24</v>
          </cell>
          <cell r="G119">
            <v>16</v>
          </cell>
          <cell r="H119">
            <v>0</v>
          </cell>
          <cell r="I119">
            <v>17</v>
          </cell>
          <cell r="J119">
            <v>0</v>
          </cell>
          <cell r="K119">
            <v>0</v>
          </cell>
          <cell r="L119">
            <v>0</v>
          </cell>
          <cell r="M119">
            <v>5</v>
          </cell>
          <cell r="N119">
            <v>0</v>
          </cell>
          <cell r="O119">
            <v>41</v>
          </cell>
          <cell r="P119">
            <v>7</v>
          </cell>
          <cell r="Q119">
            <v>5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23</v>
          </cell>
          <cell r="W119">
            <v>0</v>
          </cell>
          <cell r="X119">
            <v>0</v>
          </cell>
          <cell r="Y119">
            <v>17</v>
          </cell>
          <cell r="Z119">
            <v>0</v>
          </cell>
          <cell r="AA119">
            <v>5</v>
          </cell>
          <cell r="AB119">
            <v>5</v>
          </cell>
          <cell r="AC119">
            <v>0</v>
          </cell>
          <cell r="AD119">
            <v>25</v>
          </cell>
          <cell r="AE119">
            <v>31</v>
          </cell>
          <cell r="AF119"/>
          <cell r="AG119"/>
          <cell r="AH119"/>
          <cell r="AI119">
            <v>279</v>
          </cell>
          <cell r="AJ119">
            <v>52</v>
          </cell>
          <cell r="AK119">
            <v>15</v>
          </cell>
        </row>
        <row r="120">
          <cell r="C120">
            <v>350619016</v>
          </cell>
          <cell r="D120">
            <v>0</v>
          </cell>
          <cell r="E120">
            <v>6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6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9</v>
          </cell>
          <cell r="P120">
            <v>14</v>
          </cell>
          <cell r="Q120">
            <v>10</v>
          </cell>
          <cell r="R120">
            <v>5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9</v>
          </cell>
          <cell r="AE120">
            <v>24</v>
          </cell>
          <cell r="AF120"/>
          <cell r="AG120"/>
          <cell r="AH120"/>
          <cell r="AI120">
            <v>83</v>
          </cell>
          <cell r="AJ120">
            <v>24</v>
          </cell>
          <cell r="AK120">
            <v>8</v>
          </cell>
        </row>
        <row r="121">
          <cell r="C121">
            <v>350619017</v>
          </cell>
          <cell r="D121">
            <v>22</v>
          </cell>
          <cell r="E121">
            <v>40</v>
          </cell>
          <cell r="F121">
            <v>0</v>
          </cell>
          <cell r="G121">
            <v>0</v>
          </cell>
          <cell r="H121">
            <v>0</v>
          </cell>
          <cell r="I121">
            <v>20</v>
          </cell>
          <cell r="J121">
            <v>0</v>
          </cell>
          <cell r="K121">
            <v>0</v>
          </cell>
          <cell r="L121">
            <v>5</v>
          </cell>
          <cell r="M121">
            <v>19</v>
          </cell>
          <cell r="N121">
            <v>0</v>
          </cell>
          <cell r="O121">
            <v>25</v>
          </cell>
          <cell r="P121">
            <v>7</v>
          </cell>
          <cell r="Q121">
            <v>6</v>
          </cell>
          <cell r="R121">
            <v>5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57</v>
          </cell>
          <cell r="Z121">
            <v>0</v>
          </cell>
          <cell r="AA121">
            <v>0</v>
          </cell>
          <cell r="AB121">
            <v>0</v>
          </cell>
          <cell r="AC121">
            <v>15</v>
          </cell>
          <cell r="AD121">
            <v>4</v>
          </cell>
          <cell r="AE121">
            <v>10</v>
          </cell>
          <cell r="AF121"/>
          <cell r="AG121"/>
          <cell r="AH121"/>
          <cell r="AI121">
            <v>235</v>
          </cell>
          <cell r="AJ121">
            <v>57</v>
          </cell>
          <cell r="AK121">
            <v>13</v>
          </cell>
        </row>
        <row r="122">
          <cell r="C122">
            <v>350619018</v>
          </cell>
          <cell r="D122">
            <v>0</v>
          </cell>
          <cell r="E122">
            <v>6</v>
          </cell>
          <cell r="F122">
            <v>14</v>
          </cell>
          <cell r="G122">
            <v>0</v>
          </cell>
          <cell r="H122">
            <v>0</v>
          </cell>
          <cell r="I122">
            <v>0</v>
          </cell>
          <cell r="J122">
            <v>12</v>
          </cell>
          <cell r="K122">
            <v>0</v>
          </cell>
          <cell r="L122">
            <v>6</v>
          </cell>
          <cell r="M122">
            <v>8</v>
          </cell>
          <cell r="N122">
            <v>9</v>
          </cell>
          <cell r="O122">
            <v>6</v>
          </cell>
          <cell r="P122">
            <v>19</v>
          </cell>
          <cell r="Q122">
            <v>7</v>
          </cell>
          <cell r="R122">
            <v>8</v>
          </cell>
          <cell r="S122">
            <v>6</v>
          </cell>
          <cell r="T122">
            <v>10</v>
          </cell>
          <cell r="U122">
            <v>5</v>
          </cell>
          <cell r="V122">
            <v>0</v>
          </cell>
          <cell r="W122">
            <v>0</v>
          </cell>
          <cell r="X122">
            <v>0</v>
          </cell>
          <cell r="Y122">
            <v>28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/>
          <cell r="AG122"/>
          <cell r="AH122"/>
          <cell r="AI122">
            <v>144</v>
          </cell>
          <cell r="AJ122">
            <v>28</v>
          </cell>
          <cell r="AK122">
            <v>14</v>
          </cell>
        </row>
        <row r="123">
          <cell r="C123">
            <v>350619019</v>
          </cell>
          <cell r="D123">
            <v>17</v>
          </cell>
          <cell r="E123">
            <v>36</v>
          </cell>
          <cell r="F123">
            <v>0</v>
          </cell>
          <cell r="G123">
            <v>0</v>
          </cell>
          <cell r="H123">
            <v>0</v>
          </cell>
          <cell r="I123">
            <v>18</v>
          </cell>
          <cell r="J123">
            <v>2</v>
          </cell>
          <cell r="K123">
            <v>0</v>
          </cell>
          <cell r="L123">
            <v>4</v>
          </cell>
          <cell r="M123">
            <v>16</v>
          </cell>
          <cell r="N123">
            <v>0</v>
          </cell>
          <cell r="O123">
            <v>23</v>
          </cell>
          <cell r="P123">
            <v>6</v>
          </cell>
          <cell r="Q123">
            <v>8</v>
          </cell>
          <cell r="R123">
            <v>5</v>
          </cell>
          <cell r="S123">
            <v>0</v>
          </cell>
          <cell r="T123">
            <v>0</v>
          </cell>
          <cell r="U123">
            <v>3</v>
          </cell>
          <cell r="V123">
            <v>0</v>
          </cell>
          <cell r="W123">
            <v>0</v>
          </cell>
          <cell r="X123">
            <v>0</v>
          </cell>
          <cell r="Y123">
            <v>54</v>
          </cell>
          <cell r="Z123">
            <v>0</v>
          </cell>
          <cell r="AA123">
            <v>0</v>
          </cell>
          <cell r="AB123">
            <v>0</v>
          </cell>
          <cell r="AC123">
            <v>10</v>
          </cell>
          <cell r="AD123">
            <v>12</v>
          </cell>
          <cell r="AE123">
            <v>12</v>
          </cell>
          <cell r="AF123"/>
          <cell r="AG123"/>
          <cell r="AH123"/>
          <cell r="AI123">
            <v>226</v>
          </cell>
          <cell r="AJ123">
            <v>54</v>
          </cell>
          <cell r="AK123">
            <v>15</v>
          </cell>
        </row>
        <row r="124">
          <cell r="C124">
            <v>350619020</v>
          </cell>
          <cell r="D124">
            <v>5</v>
          </cell>
          <cell r="E124">
            <v>28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10</v>
          </cell>
          <cell r="K124">
            <v>0</v>
          </cell>
          <cell r="L124">
            <v>26</v>
          </cell>
          <cell r="M124">
            <v>18</v>
          </cell>
          <cell r="N124">
            <v>0</v>
          </cell>
          <cell r="O124">
            <v>8</v>
          </cell>
          <cell r="P124">
            <v>25</v>
          </cell>
          <cell r="Q124">
            <v>13</v>
          </cell>
          <cell r="R124">
            <v>10</v>
          </cell>
          <cell r="S124">
            <v>0</v>
          </cell>
          <cell r="T124">
            <v>0</v>
          </cell>
          <cell r="U124">
            <v>7</v>
          </cell>
          <cell r="V124">
            <v>11</v>
          </cell>
          <cell r="W124">
            <v>0</v>
          </cell>
          <cell r="X124">
            <v>0</v>
          </cell>
          <cell r="Y124">
            <v>12</v>
          </cell>
          <cell r="Z124">
            <v>0</v>
          </cell>
          <cell r="AA124">
            <v>0</v>
          </cell>
          <cell r="AB124">
            <v>0</v>
          </cell>
          <cell r="AC124">
            <v>13</v>
          </cell>
          <cell r="AD124">
            <v>16</v>
          </cell>
          <cell r="AE124">
            <v>18</v>
          </cell>
          <cell r="AF124"/>
          <cell r="AG124"/>
          <cell r="AH124"/>
          <cell r="AI124">
            <v>220</v>
          </cell>
          <cell r="AJ124">
            <v>28</v>
          </cell>
          <cell r="AK124">
            <v>15</v>
          </cell>
        </row>
        <row r="125">
          <cell r="C125">
            <v>350619021</v>
          </cell>
          <cell r="D125">
            <v>30</v>
          </cell>
          <cell r="E125">
            <v>0</v>
          </cell>
          <cell r="F125">
            <v>10</v>
          </cell>
          <cell r="G125">
            <v>2</v>
          </cell>
          <cell r="H125">
            <v>0</v>
          </cell>
          <cell r="I125">
            <v>0</v>
          </cell>
          <cell r="J125">
            <v>13</v>
          </cell>
          <cell r="K125">
            <v>1</v>
          </cell>
          <cell r="L125">
            <v>36</v>
          </cell>
          <cell r="M125">
            <v>7</v>
          </cell>
          <cell r="N125">
            <v>1</v>
          </cell>
          <cell r="O125">
            <v>3</v>
          </cell>
          <cell r="P125">
            <v>19</v>
          </cell>
          <cell r="Q125">
            <v>15</v>
          </cell>
          <cell r="R125">
            <v>10</v>
          </cell>
          <cell r="S125">
            <v>5</v>
          </cell>
          <cell r="T125">
            <v>2</v>
          </cell>
          <cell r="U125">
            <v>23</v>
          </cell>
          <cell r="V125">
            <v>3</v>
          </cell>
          <cell r="W125">
            <v>0</v>
          </cell>
          <cell r="X125">
            <v>0</v>
          </cell>
          <cell r="Y125">
            <v>15</v>
          </cell>
          <cell r="Z125">
            <v>2</v>
          </cell>
          <cell r="AA125">
            <v>0</v>
          </cell>
          <cell r="AB125">
            <v>0</v>
          </cell>
          <cell r="AC125">
            <v>0</v>
          </cell>
          <cell r="AD125">
            <v>16</v>
          </cell>
          <cell r="AE125">
            <v>25</v>
          </cell>
          <cell r="AF125"/>
          <cell r="AG125"/>
          <cell r="AH125"/>
          <cell r="AI125">
            <v>238</v>
          </cell>
          <cell r="AJ125">
            <v>36</v>
          </cell>
          <cell r="AK125">
            <v>20</v>
          </cell>
        </row>
        <row r="126">
          <cell r="C126">
            <v>350619022</v>
          </cell>
          <cell r="D126">
            <v>4</v>
          </cell>
          <cell r="E126">
            <v>0</v>
          </cell>
          <cell r="F126">
            <v>0</v>
          </cell>
          <cell r="G126">
            <v>6</v>
          </cell>
          <cell r="H126">
            <v>0</v>
          </cell>
          <cell r="I126">
            <v>0</v>
          </cell>
          <cell r="J126">
            <v>71</v>
          </cell>
          <cell r="K126">
            <v>3</v>
          </cell>
          <cell r="L126">
            <v>8</v>
          </cell>
          <cell r="M126">
            <v>13</v>
          </cell>
          <cell r="N126">
            <v>13</v>
          </cell>
          <cell r="O126">
            <v>10</v>
          </cell>
          <cell r="P126">
            <v>117</v>
          </cell>
          <cell r="Q126">
            <v>4</v>
          </cell>
          <cell r="R126">
            <v>14</v>
          </cell>
          <cell r="S126">
            <v>72</v>
          </cell>
          <cell r="T126">
            <v>9</v>
          </cell>
          <cell r="U126">
            <v>0</v>
          </cell>
          <cell r="V126">
            <v>12</v>
          </cell>
          <cell r="W126">
            <v>0</v>
          </cell>
          <cell r="X126">
            <v>0</v>
          </cell>
          <cell r="Y126">
            <v>11</v>
          </cell>
          <cell r="Z126">
            <v>0</v>
          </cell>
          <cell r="AA126">
            <v>0</v>
          </cell>
          <cell r="AB126">
            <v>0</v>
          </cell>
          <cell r="AC126">
            <v>32</v>
          </cell>
          <cell r="AD126">
            <v>16</v>
          </cell>
          <cell r="AE126">
            <v>5</v>
          </cell>
          <cell r="AF126"/>
          <cell r="AG126"/>
          <cell r="AH126"/>
          <cell r="AI126">
            <v>420</v>
          </cell>
          <cell r="AJ126">
            <v>117</v>
          </cell>
          <cell r="AK126">
            <v>18</v>
          </cell>
        </row>
        <row r="127">
          <cell r="C127">
            <v>350619023</v>
          </cell>
          <cell r="D127">
            <v>8</v>
          </cell>
          <cell r="E127">
            <v>0</v>
          </cell>
          <cell r="F127">
            <v>4</v>
          </cell>
          <cell r="G127">
            <v>7</v>
          </cell>
          <cell r="H127">
            <v>0</v>
          </cell>
          <cell r="I127">
            <v>0</v>
          </cell>
          <cell r="J127">
            <v>9</v>
          </cell>
          <cell r="K127">
            <v>14</v>
          </cell>
          <cell r="L127">
            <v>27</v>
          </cell>
          <cell r="M127">
            <v>30</v>
          </cell>
          <cell r="N127">
            <v>10</v>
          </cell>
          <cell r="O127">
            <v>10</v>
          </cell>
          <cell r="P127">
            <v>65</v>
          </cell>
          <cell r="Q127">
            <v>3</v>
          </cell>
          <cell r="R127">
            <v>9</v>
          </cell>
          <cell r="S127">
            <v>39</v>
          </cell>
          <cell r="T127">
            <v>29</v>
          </cell>
          <cell r="U127">
            <v>12</v>
          </cell>
          <cell r="V127">
            <v>8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25</v>
          </cell>
          <cell r="AD127">
            <v>14</v>
          </cell>
          <cell r="AE127">
            <v>7</v>
          </cell>
          <cell r="AF127"/>
          <cell r="AG127"/>
          <cell r="AH127"/>
          <cell r="AI127">
            <v>330</v>
          </cell>
          <cell r="AJ127">
            <v>65</v>
          </cell>
          <cell r="AK127">
            <v>19</v>
          </cell>
        </row>
        <row r="128">
          <cell r="C128">
            <v>350619024</v>
          </cell>
          <cell r="D128">
            <v>26</v>
          </cell>
          <cell r="E128">
            <v>0</v>
          </cell>
          <cell r="F128">
            <v>7</v>
          </cell>
          <cell r="G128">
            <v>5</v>
          </cell>
          <cell r="H128">
            <v>0</v>
          </cell>
          <cell r="I128">
            <v>0</v>
          </cell>
          <cell r="J128">
            <v>18</v>
          </cell>
          <cell r="K128">
            <v>3</v>
          </cell>
          <cell r="L128">
            <v>31</v>
          </cell>
          <cell r="M128">
            <v>10</v>
          </cell>
          <cell r="N128">
            <v>6</v>
          </cell>
          <cell r="O128">
            <v>2</v>
          </cell>
          <cell r="P128">
            <v>24</v>
          </cell>
          <cell r="Q128">
            <v>13</v>
          </cell>
          <cell r="R128">
            <v>7</v>
          </cell>
          <cell r="S128">
            <v>8</v>
          </cell>
          <cell r="T128">
            <v>1</v>
          </cell>
          <cell r="U128">
            <v>29</v>
          </cell>
          <cell r="V128">
            <v>5</v>
          </cell>
          <cell r="W128">
            <v>0</v>
          </cell>
          <cell r="X128">
            <v>0</v>
          </cell>
          <cell r="Y128">
            <v>20</v>
          </cell>
          <cell r="Z128">
            <v>3</v>
          </cell>
          <cell r="AA128">
            <v>0</v>
          </cell>
          <cell r="AB128">
            <v>0</v>
          </cell>
          <cell r="AC128">
            <v>0</v>
          </cell>
          <cell r="AD128">
            <v>13</v>
          </cell>
          <cell r="AE128">
            <v>29</v>
          </cell>
          <cell r="AF128"/>
          <cell r="AG128"/>
          <cell r="AH128"/>
          <cell r="AI128">
            <v>260</v>
          </cell>
          <cell r="AJ128">
            <v>31</v>
          </cell>
          <cell r="AK128">
            <v>20</v>
          </cell>
        </row>
        <row r="129">
          <cell r="C129">
            <v>350619025</v>
          </cell>
          <cell r="D129">
            <v>37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2</v>
          </cell>
          <cell r="L129">
            <v>29</v>
          </cell>
          <cell r="M129">
            <v>5</v>
          </cell>
          <cell r="N129">
            <v>3</v>
          </cell>
          <cell r="O129">
            <v>5</v>
          </cell>
          <cell r="P129">
            <v>15</v>
          </cell>
          <cell r="Q129">
            <v>8</v>
          </cell>
          <cell r="R129">
            <v>2</v>
          </cell>
          <cell r="S129">
            <v>5</v>
          </cell>
          <cell r="T129">
            <v>18</v>
          </cell>
          <cell r="U129">
            <v>11</v>
          </cell>
          <cell r="V129">
            <v>0</v>
          </cell>
          <cell r="W129">
            <v>0</v>
          </cell>
          <cell r="X129">
            <v>0</v>
          </cell>
          <cell r="Y129">
            <v>10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27</v>
          </cell>
          <cell r="AE129">
            <v>25</v>
          </cell>
          <cell r="AF129"/>
          <cell r="AG129"/>
          <cell r="AH129"/>
          <cell r="AI129">
            <v>204</v>
          </cell>
          <cell r="AJ129">
            <v>37</v>
          </cell>
          <cell r="AK129">
            <v>16</v>
          </cell>
        </row>
        <row r="130">
          <cell r="C130">
            <v>350619026</v>
          </cell>
          <cell r="D130">
            <v>7</v>
          </cell>
          <cell r="E130">
            <v>0</v>
          </cell>
          <cell r="F130">
            <v>9</v>
          </cell>
          <cell r="G130">
            <v>0</v>
          </cell>
          <cell r="H130">
            <v>0</v>
          </cell>
          <cell r="I130">
            <v>15</v>
          </cell>
          <cell r="J130">
            <v>19</v>
          </cell>
          <cell r="K130">
            <v>12</v>
          </cell>
          <cell r="L130">
            <v>24</v>
          </cell>
          <cell r="M130">
            <v>35</v>
          </cell>
          <cell r="N130">
            <v>9</v>
          </cell>
          <cell r="O130">
            <v>10</v>
          </cell>
          <cell r="P130">
            <v>24</v>
          </cell>
          <cell r="Q130">
            <v>10</v>
          </cell>
          <cell r="R130">
            <v>8</v>
          </cell>
          <cell r="S130">
            <v>21</v>
          </cell>
          <cell r="T130">
            <v>15</v>
          </cell>
          <cell r="U130">
            <v>8</v>
          </cell>
          <cell r="V130">
            <v>0</v>
          </cell>
          <cell r="W130">
            <v>0</v>
          </cell>
          <cell r="X130">
            <v>0</v>
          </cell>
          <cell r="Y130">
            <v>60</v>
          </cell>
          <cell r="Z130">
            <v>7</v>
          </cell>
          <cell r="AA130">
            <v>12</v>
          </cell>
          <cell r="AB130">
            <v>7</v>
          </cell>
          <cell r="AC130">
            <v>19</v>
          </cell>
          <cell r="AD130">
            <v>25</v>
          </cell>
          <cell r="AE130">
            <v>40</v>
          </cell>
          <cell r="AF130"/>
          <cell r="AG130"/>
          <cell r="AH130"/>
          <cell r="AI130">
            <v>396</v>
          </cell>
          <cell r="AJ130">
            <v>60</v>
          </cell>
          <cell r="AK130">
            <v>22</v>
          </cell>
        </row>
        <row r="131">
          <cell r="C131">
            <v>350619027</v>
          </cell>
          <cell r="D131">
            <v>5</v>
          </cell>
          <cell r="E131">
            <v>42</v>
          </cell>
          <cell r="F131">
            <v>0</v>
          </cell>
          <cell r="G131">
            <v>0</v>
          </cell>
          <cell r="H131">
            <v>2</v>
          </cell>
          <cell r="I131">
            <v>41</v>
          </cell>
          <cell r="J131">
            <v>0</v>
          </cell>
          <cell r="K131">
            <v>0</v>
          </cell>
          <cell r="L131">
            <v>3</v>
          </cell>
          <cell r="M131">
            <v>7</v>
          </cell>
          <cell r="N131">
            <v>0</v>
          </cell>
          <cell r="O131">
            <v>15</v>
          </cell>
          <cell r="P131">
            <v>8</v>
          </cell>
          <cell r="Q131">
            <v>3</v>
          </cell>
          <cell r="R131">
            <v>4</v>
          </cell>
          <cell r="S131">
            <v>1</v>
          </cell>
          <cell r="T131">
            <v>0</v>
          </cell>
          <cell r="U131">
            <v>1</v>
          </cell>
          <cell r="V131">
            <v>7</v>
          </cell>
          <cell r="W131">
            <v>0</v>
          </cell>
          <cell r="X131">
            <v>0</v>
          </cell>
          <cell r="Y131">
            <v>1</v>
          </cell>
          <cell r="Z131">
            <v>0</v>
          </cell>
          <cell r="AA131">
            <v>0</v>
          </cell>
          <cell r="AB131">
            <v>0</v>
          </cell>
          <cell r="AC131">
            <v>5</v>
          </cell>
          <cell r="AD131">
            <v>15</v>
          </cell>
          <cell r="AE131">
            <v>0</v>
          </cell>
          <cell r="AF131"/>
          <cell r="AG131"/>
          <cell r="AH131"/>
          <cell r="AI131">
            <v>160</v>
          </cell>
          <cell r="AJ131">
            <v>42</v>
          </cell>
          <cell r="AK131">
            <v>16</v>
          </cell>
        </row>
        <row r="132">
          <cell r="C132">
            <v>350619028</v>
          </cell>
          <cell r="D132">
            <v>21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43</v>
          </cell>
          <cell r="N132">
            <v>0</v>
          </cell>
          <cell r="O132">
            <v>0</v>
          </cell>
          <cell r="P132">
            <v>15</v>
          </cell>
          <cell r="Q132">
            <v>12</v>
          </cell>
          <cell r="R132">
            <v>8</v>
          </cell>
          <cell r="S132">
            <v>5</v>
          </cell>
          <cell r="T132">
            <v>32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28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20</v>
          </cell>
          <cell r="AE132">
            <v>0</v>
          </cell>
          <cell r="AF132"/>
          <cell r="AG132"/>
          <cell r="AH132"/>
          <cell r="AI132">
            <v>184</v>
          </cell>
          <cell r="AJ132">
            <v>43</v>
          </cell>
          <cell r="AK132">
            <v>9</v>
          </cell>
        </row>
        <row r="133">
          <cell r="C133">
            <v>350619029</v>
          </cell>
          <cell r="D133">
            <v>30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20</v>
          </cell>
          <cell r="N133">
            <v>0</v>
          </cell>
          <cell r="O133">
            <v>2</v>
          </cell>
          <cell r="P133">
            <v>8</v>
          </cell>
          <cell r="Q133">
            <v>5</v>
          </cell>
          <cell r="R133">
            <v>3</v>
          </cell>
          <cell r="S133">
            <v>0</v>
          </cell>
          <cell r="T133">
            <v>36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6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17</v>
          </cell>
          <cell r="AE133">
            <v>0</v>
          </cell>
          <cell r="AF133"/>
          <cell r="AG133"/>
          <cell r="AH133"/>
          <cell r="AI133">
            <v>127</v>
          </cell>
          <cell r="AJ133">
            <v>36</v>
          </cell>
          <cell r="AK133">
            <v>9</v>
          </cell>
        </row>
        <row r="134">
          <cell r="C134">
            <v>350619030</v>
          </cell>
          <cell r="D134">
            <v>0</v>
          </cell>
          <cell r="E134">
            <v>7</v>
          </cell>
          <cell r="F134">
            <v>0</v>
          </cell>
          <cell r="G134">
            <v>0</v>
          </cell>
          <cell r="H134">
            <v>3</v>
          </cell>
          <cell r="I134">
            <v>10</v>
          </cell>
          <cell r="J134">
            <v>0</v>
          </cell>
          <cell r="K134">
            <v>0</v>
          </cell>
          <cell r="L134">
            <v>5</v>
          </cell>
          <cell r="M134">
            <v>10</v>
          </cell>
          <cell r="N134">
            <v>0</v>
          </cell>
          <cell r="O134">
            <v>0</v>
          </cell>
          <cell r="P134">
            <v>15</v>
          </cell>
          <cell r="Q134">
            <v>7</v>
          </cell>
          <cell r="R134">
            <v>3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5</v>
          </cell>
          <cell r="AD134">
            <v>14</v>
          </cell>
          <cell r="AE134">
            <v>0</v>
          </cell>
          <cell r="AF134"/>
          <cell r="AG134"/>
          <cell r="AH134"/>
          <cell r="AI134">
            <v>79</v>
          </cell>
          <cell r="AJ134">
            <v>15</v>
          </cell>
          <cell r="AK134">
            <v>10</v>
          </cell>
        </row>
        <row r="135">
          <cell r="C135">
            <v>350619031</v>
          </cell>
          <cell r="D135">
            <v>19</v>
          </cell>
          <cell r="E135">
            <v>0</v>
          </cell>
          <cell r="F135">
            <v>0</v>
          </cell>
          <cell r="G135">
            <v>0</v>
          </cell>
          <cell r="H135">
            <v>2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11</v>
          </cell>
          <cell r="N135">
            <v>0</v>
          </cell>
          <cell r="O135">
            <v>4</v>
          </cell>
          <cell r="P135">
            <v>18</v>
          </cell>
          <cell r="Q135">
            <v>15</v>
          </cell>
          <cell r="R135">
            <v>5</v>
          </cell>
          <cell r="S135">
            <v>5</v>
          </cell>
          <cell r="T135">
            <v>17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24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22</v>
          </cell>
          <cell r="AE135">
            <v>0</v>
          </cell>
          <cell r="AF135"/>
          <cell r="AG135"/>
          <cell r="AH135"/>
          <cell r="AI135">
            <v>142</v>
          </cell>
          <cell r="AJ135">
            <v>24</v>
          </cell>
          <cell r="AK135">
            <v>11</v>
          </cell>
        </row>
        <row r="136">
          <cell r="C136">
            <v>350619032</v>
          </cell>
          <cell r="D136">
            <v>1</v>
          </cell>
          <cell r="E136">
            <v>4</v>
          </cell>
          <cell r="F136">
            <v>5</v>
          </cell>
          <cell r="G136">
            <v>4</v>
          </cell>
          <cell r="H136">
            <v>1</v>
          </cell>
          <cell r="I136">
            <v>0</v>
          </cell>
          <cell r="J136">
            <v>2</v>
          </cell>
          <cell r="K136">
            <v>0</v>
          </cell>
          <cell r="L136">
            <v>1</v>
          </cell>
          <cell r="M136">
            <v>1</v>
          </cell>
          <cell r="N136">
            <v>0</v>
          </cell>
          <cell r="O136">
            <v>2</v>
          </cell>
          <cell r="P136">
            <v>15</v>
          </cell>
          <cell r="Q136">
            <v>2</v>
          </cell>
          <cell r="R136">
            <v>9</v>
          </cell>
          <cell r="S136">
            <v>0</v>
          </cell>
          <cell r="T136">
            <v>24</v>
          </cell>
          <cell r="U136">
            <v>2</v>
          </cell>
          <cell r="V136">
            <v>0</v>
          </cell>
          <cell r="W136">
            <v>0</v>
          </cell>
          <cell r="X136">
            <v>0</v>
          </cell>
          <cell r="Y136">
            <v>4</v>
          </cell>
          <cell r="Z136">
            <v>2</v>
          </cell>
          <cell r="AA136">
            <v>0</v>
          </cell>
          <cell r="AB136">
            <v>0</v>
          </cell>
          <cell r="AC136">
            <v>0</v>
          </cell>
          <cell r="AD136">
            <v>25</v>
          </cell>
          <cell r="AE136">
            <v>0</v>
          </cell>
          <cell r="AF136"/>
          <cell r="AG136"/>
          <cell r="AH136"/>
          <cell r="AI136">
            <v>104</v>
          </cell>
          <cell r="AJ136">
            <v>25</v>
          </cell>
          <cell r="AK136">
            <v>17</v>
          </cell>
        </row>
        <row r="137">
          <cell r="C137">
            <v>350619033</v>
          </cell>
          <cell r="D137">
            <v>6</v>
          </cell>
          <cell r="E137">
            <v>3</v>
          </cell>
          <cell r="F137">
            <v>0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3</v>
          </cell>
          <cell r="N137">
            <v>9</v>
          </cell>
          <cell r="O137">
            <v>12</v>
          </cell>
          <cell r="P137">
            <v>21</v>
          </cell>
          <cell r="Q137">
            <v>24</v>
          </cell>
          <cell r="R137">
            <v>6</v>
          </cell>
          <cell r="S137">
            <v>12</v>
          </cell>
          <cell r="T137">
            <v>3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19</v>
          </cell>
          <cell r="Z137">
            <v>0</v>
          </cell>
          <cell r="AA137">
            <v>0</v>
          </cell>
          <cell r="AB137">
            <v>0</v>
          </cell>
          <cell r="AC137">
            <v>10</v>
          </cell>
          <cell r="AD137">
            <v>21</v>
          </cell>
          <cell r="AE137">
            <v>45</v>
          </cell>
          <cell r="AF137"/>
          <cell r="AG137"/>
          <cell r="AH137"/>
          <cell r="AI137">
            <v>198</v>
          </cell>
          <cell r="AJ137">
            <v>45</v>
          </cell>
          <cell r="AK137">
            <v>15</v>
          </cell>
        </row>
        <row r="138">
          <cell r="C138">
            <v>350619034</v>
          </cell>
          <cell r="D138">
            <v>4</v>
          </cell>
          <cell r="E138">
            <v>2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2</v>
          </cell>
          <cell r="N138">
            <v>3</v>
          </cell>
          <cell r="O138">
            <v>0</v>
          </cell>
          <cell r="P138">
            <v>35</v>
          </cell>
          <cell r="Q138">
            <v>44</v>
          </cell>
          <cell r="R138">
            <v>20</v>
          </cell>
          <cell r="S138">
            <v>3</v>
          </cell>
          <cell r="T138">
            <v>13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25</v>
          </cell>
          <cell r="Z138">
            <v>2</v>
          </cell>
          <cell r="AA138">
            <v>0</v>
          </cell>
          <cell r="AB138">
            <v>0</v>
          </cell>
          <cell r="AC138">
            <v>8</v>
          </cell>
          <cell r="AD138">
            <v>35</v>
          </cell>
          <cell r="AE138">
            <v>4</v>
          </cell>
          <cell r="AF138"/>
          <cell r="AG138"/>
          <cell r="AH138"/>
          <cell r="AI138">
            <v>200</v>
          </cell>
          <cell r="AJ138">
            <v>44</v>
          </cell>
          <cell r="AK138">
            <v>14</v>
          </cell>
        </row>
        <row r="139">
          <cell r="C139">
            <v>350619035</v>
          </cell>
          <cell r="D139">
            <v>12</v>
          </cell>
          <cell r="E139">
            <v>10</v>
          </cell>
          <cell r="F139">
            <v>0</v>
          </cell>
          <cell r="G139">
            <v>2</v>
          </cell>
          <cell r="H139">
            <v>0</v>
          </cell>
          <cell r="I139">
            <v>8</v>
          </cell>
          <cell r="J139">
            <v>0</v>
          </cell>
          <cell r="K139">
            <v>3</v>
          </cell>
          <cell r="L139">
            <v>5</v>
          </cell>
          <cell r="M139">
            <v>16</v>
          </cell>
          <cell r="N139">
            <v>0</v>
          </cell>
          <cell r="O139">
            <v>4</v>
          </cell>
          <cell r="P139">
            <v>24</v>
          </cell>
          <cell r="Q139">
            <v>15</v>
          </cell>
          <cell r="R139">
            <v>0</v>
          </cell>
          <cell r="S139">
            <v>18</v>
          </cell>
          <cell r="T139">
            <v>0</v>
          </cell>
          <cell r="U139">
            <v>0</v>
          </cell>
          <cell r="V139">
            <v>15</v>
          </cell>
          <cell r="W139">
            <v>0</v>
          </cell>
          <cell r="X139">
            <v>0</v>
          </cell>
          <cell r="Y139">
            <v>14</v>
          </cell>
          <cell r="Z139">
            <v>10</v>
          </cell>
          <cell r="AA139">
            <v>0</v>
          </cell>
          <cell r="AB139">
            <v>0</v>
          </cell>
          <cell r="AC139">
            <v>25</v>
          </cell>
          <cell r="AD139">
            <v>18</v>
          </cell>
          <cell r="AE139">
            <v>0</v>
          </cell>
          <cell r="AF139"/>
          <cell r="AG139"/>
          <cell r="AH139"/>
          <cell r="AI139">
            <v>199</v>
          </cell>
          <cell r="AJ139">
            <v>25</v>
          </cell>
          <cell r="AK139">
            <v>16</v>
          </cell>
        </row>
        <row r="140">
          <cell r="C140">
            <v>350619036</v>
          </cell>
          <cell r="D140">
            <v>23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22</v>
          </cell>
          <cell r="N140">
            <v>0</v>
          </cell>
          <cell r="O140">
            <v>0</v>
          </cell>
          <cell r="P140">
            <v>17</v>
          </cell>
          <cell r="Q140">
            <v>10</v>
          </cell>
          <cell r="R140">
            <v>9</v>
          </cell>
          <cell r="S140">
            <v>5</v>
          </cell>
          <cell r="T140">
            <v>14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32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15</v>
          </cell>
          <cell r="AE140">
            <v>0</v>
          </cell>
          <cell r="AF140"/>
          <cell r="AG140"/>
          <cell r="AH140"/>
          <cell r="AI140">
            <v>147</v>
          </cell>
          <cell r="AJ140">
            <v>32</v>
          </cell>
          <cell r="AK140">
            <v>9</v>
          </cell>
        </row>
        <row r="141">
          <cell r="C141">
            <v>350620001</v>
          </cell>
          <cell r="D141">
            <v>0</v>
          </cell>
          <cell r="E141">
            <v>11</v>
          </cell>
          <cell r="F141">
            <v>0</v>
          </cell>
          <cell r="G141">
            <v>0</v>
          </cell>
          <cell r="H141">
            <v>1</v>
          </cell>
          <cell r="I141">
            <v>4</v>
          </cell>
          <cell r="J141">
            <v>0</v>
          </cell>
          <cell r="K141">
            <v>0</v>
          </cell>
          <cell r="L141">
            <v>0</v>
          </cell>
          <cell r="M141">
            <v>3</v>
          </cell>
          <cell r="N141">
            <v>0</v>
          </cell>
          <cell r="O141">
            <v>28</v>
          </cell>
          <cell r="P141">
            <v>9</v>
          </cell>
          <cell r="Q141">
            <v>3</v>
          </cell>
          <cell r="R141">
            <v>2</v>
          </cell>
          <cell r="S141">
            <v>0</v>
          </cell>
          <cell r="T141">
            <v>2</v>
          </cell>
          <cell r="U141">
            <v>5</v>
          </cell>
          <cell r="V141">
            <v>6</v>
          </cell>
          <cell r="W141">
            <v>0</v>
          </cell>
          <cell r="X141">
            <v>14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6</v>
          </cell>
          <cell r="AD141">
            <v>17</v>
          </cell>
          <cell r="AE141">
            <v>1</v>
          </cell>
          <cell r="AF141"/>
          <cell r="AG141"/>
          <cell r="AH141"/>
          <cell r="AI141">
            <v>112</v>
          </cell>
          <cell r="AJ141">
            <v>28</v>
          </cell>
          <cell r="AK141">
            <v>15</v>
          </cell>
        </row>
        <row r="142">
          <cell r="C142">
            <v>350620002</v>
          </cell>
          <cell r="D142">
            <v>0</v>
          </cell>
          <cell r="E142">
            <v>15</v>
          </cell>
          <cell r="F142">
            <v>0</v>
          </cell>
          <cell r="G142">
            <v>0</v>
          </cell>
          <cell r="H142">
            <v>0</v>
          </cell>
          <cell r="I142">
            <v>10</v>
          </cell>
          <cell r="J142">
            <v>0</v>
          </cell>
          <cell r="K142">
            <v>0</v>
          </cell>
          <cell r="L142">
            <v>4</v>
          </cell>
          <cell r="M142">
            <v>2</v>
          </cell>
          <cell r="N142">
            <v>0</v>
          </cell>
          <cell r="O142">
            <v>40</v>
          </cell>
          <cell r="P142">
            <v>13</v>
          </cell>
          <cell r="Q142">
            <v>5</v>
          </cell>
          <cell r="R142">
            <v>0</v>
          </cell>
          <cell r="S142">
            <v>0</v>
          </cell>
          <cell r="T142">
            <v>10</v>
          </cell>
          <cell r="U142">
            <v>4</v>
          </cell>
          <cell r="V142">
            <v>12</v>
          </cell>
          <cell r="W142">
            <v>3</v>
          </cell>
          <cell r="X142">
            <v>12</v>
          </cell>
          <cell r="Y142">
            <v>7</v>
          </cell>
          <cell r="Z142">
            <v>0</v>
          </cell>
          <cell r="AA142">
            <v>0</v>
          </cell>
          <cell r="AB142">
            <v>0</v>
          </cell>
          <cell r="AC142">
            <v>33</v>
          </cell>
          <cell r="AD142">
            <v>46</v>
          </cell>
          <cell r="AE142">
            <v>0</v>
          </cell>
          <cell r="AF142"/>
          <cell r="AG142"/>
          <cell r="AH142"/>
          <cell r="AI142">
            <v>216</v>
          </cell>
          <cell r="AJ142">
            <v>46</v>
          </cell>
          <cell r="AK142">
            <v>15</v>
          </cell>
        </row>
        <row r="143">
          <cell r="C143">
            <v>350620003</v>
          </cell>
          <cell r="D143">
            <v>17</v>
          </cell>
          <cell r="E143">
            <v>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3</v>
          </cell>
          <cell r="M143">
            <v>5</v>
          </cell>
          <cell r="N143">
            <v>0</v>
          </cell>
          <cell r="O143">
            <v>47</v>
          </cell>
          <cell r="P143">
            <v>8</v>
          </cell>
          <cell r="Q143">
            <v>3</v>
          </cell>
          <cell r="R143">
            <v>0</v>
          </cell>
          <cell r="S143">
            <v>0</v>
          </cell>
          <cell r="T143">
            <v>7</v>
          </cell>
          <cell r="U143">
            <v>26</v>
          </cell>
          <cell r="V143">
            <v>4</v>
          </cell>
          <cell r="W143">
            <v>0</v>
          </cell>
          <cell r="X143">
            <v>5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64</v>
          </cell>
          <cell r="AE143">
            <v>0</v>
          </cell>
          <cell r="AF143"/>
          <cell r="AG143"/>
          <cell r="AH143"/>
          <cell r="AI143">
            <v>198</v>
          </cell>
          <cell r="AJ143">
            <v>64</v>
          </cell>
          <cell r="AK143">
            <v>12</v>
          </cell>
        </row>
        <row r="144">
          <cell r="C144">
            <v>350620004</v>
          </cell>
          <cell r="D144">
            <v>2</v>
          </cell>
          <cell r="E144">
            <v>38</v>
          </cell>
          <cell r="F144">
            <v>0</v>
          </cell>
          <cell r="G144">
            <v>1</v>
          </cell>
          <cell r="H144">
            <v>2</v>
          </cell>
          <cell r="I144">
            <v>2</v>
          </cell>
          <cell r="J144">
            <v>0</v>
          </cell>
          <cell r="K144">
            <v>1</v>
          </cell>
          <cell r="L144">
            <v>2</v>
          </cell>
          <cell r="M144">
            <v>3</v>
          </cell>
          <cell r="N144">
            <v>0</v>
          </cell>
          <cell r="O144">
            <v>22</v>
          </cell>
          <cell r="P144">
            <v>10</v>
          </cell>
          <cell r="Q144">
            <v>4</v>
          </cell>
          <cell r="R144">
            <v>3</v>
          </cell>
          <cell r="S144">
            <v>0</v>
          </cell>
          <cell r="T144">
            <v>4</v>
          </cell>
          <cell r="U144">
            <v>32</v>
          </cell>
          <cell r="V144">
            <v>8</v>
          </cell>
          <cell r="W144">
            <v>0</v>
          </cell>
          <cell r="X144">
            <v>32</v>
          </cell>
          <cell r="Y144">
            <v>0</v>
          </cell>
          <cell r="Z144">
            <v>1</v>
          </cell>
          <cell r="AA144">
            <v>0</v>
          </cell>
          <cell r="AB144">
            <v>0</v>
          </cell>
          <cell r="AC144">
            <v>2</v>
          </cell>
          <cell r="AD144">
            <v>50</v>
          </cell>
          <cell r="AE144">
            <v>0</v>
          </cell>
          <cell r="AF144"/>
          <cell r="AG144"/>
          <cell r="AH144"/>
          <cell r="AI144">
            <v>219</v>
          </cell>
          <cell r="AJ144">
            <v>50</v>
          </cell>
          <cell r="AK144">
            <v>19</v>
          </cell>
        </row>
        <row r="145">
          <cell r="C145">
            <v>350620005</v>
          </cell>
          <cell r="D145">
            <v>3</v>
          </cell>
          <cell r="E145">
            <v>54</v>
          </cell>
          <cell r="F145">
            <v>0</v>
          </cell>
          <cell r="G145">
            <v>0</v>
          </cell>
          <cell r="H145">
            <v>2</v>
          </cell>
          <cell r="I145">
            <v>3</v>
          </cell>
          <cell r="J145">
            <v>0</v>
          </cell>
          <cell r="K145">
            <v>2</v>
          </cell>
          <cell r="L145">
            <v>2</v>
          </cell>
          <cell r="M145">
            <v>4</v>
          </cell>
          <cell r="N145">
            <v>0</v>
          </cell>
          <cell r="O145">
            <v>25</v>
          </cell>
          <cell r="P145">
            <v>10</v>
          </cell>
          <cell r="Q145">
            <v>3</v>
          </cell>
          <cell r="R145">
            <v>4</v>
          </cell>
          <cell r="S145">
            <v>0</v>
          </cell>
          <cell r="T145">
            <v>5</v>
          </cell>
          <cell r="U145">
            <v>36</v>
          </cell>
          <cell r="V145">
            <v>5</v>
          </cell>
          <cell r="W145">
            <v>0</v>
          </cell>
          <cell r="X145">
            <v>27</v>
          </cell>
          <cell r="Y145">
            <v>0</v>
          </cell>
          <cell r="Z145">
            <v>2</v>
          </cell>
          <cell r="AA145">
            <v>0</v>
          </cell>
          <cell r="AB145">
            <v>0</v>
          </cell>
          <cell r="AC145">
            <v>2</v>
          </cell>
          <cell r="AD145">
            <v>63</v>
          </cell>
          <cell r="AE145">
            <v>0</v>
          </cell>
          <cell r="AF145"/>
          <cell r="AG145"/>
          <cell r="AH145"/>
          <cell r="AI145">
            <v>252</v>
          </cell>
          <cell r="AJ145">
            <v>63</v>
          </cell>
          <cell r="AK145">
            <v>18</v>
          </cell>
        </row>
        <row r="146">
          <cell r="C146">
            <v>350620006</v>
          </cell>
          <cell r="D146">
            <v>3</v>
          </cell>
          <cell r="E146">
            <v>14</v>
          </cell>
          <cell r="F146">
            <v>0</v>
          </cell>
          <cell r="G146">
            <v>1</v>
          </cell>
          <cell r="H146">
            <v>1</v>
          </cell>
          <cell r="I146">
            <v>1</v>
          </cell>
          <cell r="J146">
            <v>0</v>
          </cell>
          <cell r="K146">
            <v>1</v>
          </cell>
          <cell r="L146">
            <v>0</v>
          </cell>
          <cell r="M146">
            <v>3</v>
          </cell>
          <cell r="N146">
            <v>0</v>
          </cell>
          <cell r="O146">
            <v>14</v>
          </cell>
          <cell r="P146">
            <v>6</v>
          </cell>
          <cell r="Q146">
            <v>6</v>
          </cell>
          <cell r="R146">
            <v>3</v>
          </cell>
          <cell r="S146">
            <v>0</v>
          </cell>
          <cell r="T146">
            <v>1</v>
          </cell>
          <cell r="U146">
            <v>3</v>
          </cell>
          <cell r="V146">
            <v>3</v>
          </cell>
          <cell r="W146">
            <v>0</v>
          </cell>
          <cell r="X146">
            <v>9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2</v>
          </cell>
          <cell r="AD146">
            <v>25</v>
          </cell>
          <cell r="AE146">
            <v>0</v>
          </cell>
          <cell r="AF146"/>
          <cell r="AG146"/>
          <cell r="AH146"/>
          <cell r="AI146">
            <v>96</v>
          </cell>
          <cell r="AJ146">
            <v>25</v>
          </cell>
          <cell r="AK146">
            <v>17</v>
          </cell>
        </row>
        <row r="147">
          <cell r="C147">
            <v>350620007</v>
          </cell>
          <cell r="D147">
            <v>3</v>
          </cell>
          <cell r="E147">
            <v>7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2</v>
          </cell>
          <cell r="O147">
            <v>4</v>
          </cell>
          <cell r="P147">
            <v>0</v>
          </cell>
          <cell r="Q147">
            <v>19</v>
          </cell>
          <cell r="R147">
            <v>4</v>
          </cell>
          <cell r="S147">
            <v>0</v>
          </cell>
          <cell r="T147">
            <v>2</v>
          </cell>
          <cell r="U147">
            <v>2</v>
          </cell>
          <cell r="V147">
            <v>6</v>
          </cell>
          <cell r="W147">
            <v>3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5</v>
          </cell>
          <cell r="AD147">
            <v>14</v>
          </cell>
          <cell r="AE147">
            <v>6</v>
          </cell>
          <cell r="AF147"/>
          <cell r="AG147"/>
          <cell r="AH147"/>
          <cell r="AI147">
            <v>77</v>
          </cell>
          <cell r="AJ147">
            <v>19</v>
          </cell>
          <cell r="AK147">
            <v>13</v>
          </cell>
        </row>
        <row r="148">
          <cell r="C148">
            <v>350620008</v>
          </cell>
          <cell r="D148">
            <v>0</v>
          </cell>
          <cell r="E148">
            <v>3</v>
          </cell>
          <cell r="F148">
            <v>0</v>
          </cell>
          <cell r="G148">
            <v>0</v>
          </cell>
          <cell r="H148">
            <v>5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29</v>
          </cell>
          <cell r="N148">
            <v>0</v>
          </cell>
          <cell r="O148">
            <v>5</v>
          </cell>
          <cell r="P148">
            <v>7</v>
          </cell>
          <cell r="Q148">
            <v>6</v>
          </cell>
          <cell r="R148">
            <v>8</v>
          </cell>
          <cell r="S148">
            <v>0</v>
          </cell>
          <cell r="T148">
            <v>12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48</v>
          </cell>
          <cell r="AD148">
            <v>23</v>
          </cell>
          <cell r="AE148">
            <v>0</v>
          </cell>
          <cell r="AF148"/>
          <cell r="AG148"/>
          <cell r="AH148"/>
          <cell r="AI148">
            <v>146</v>
          </cell>
          <cell r="AJ148">
            <v>48</v>
          </cell>
          <cell r="AK148">
            <v>10</v>
          </cell>
        </row>
        <row r="149">
          <cell r="C149">
            <v>350620009</v>
          </cell>
          <cell r="D149">
            <v>5</v>
          </cell>
          <cell r="E149">
            <v>4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10</v>
          </cell>
          <cell r="N149">
            <v>0</v>
          </cell>
          <cell r="O149">
            <v>1</v>
          </cell>
          <cell r="P149">
            <v>8</v>
          </cell>
          <cell r="Q149">
            <v>80</v>
          </cell>
          <cell r="R149">
            <v>2</v>
          </cell>
          <cell r="S149">
            <v>0</v>
          </cell>
          <cell r="T149">
            <v>9</v>
          </cell>
          <cell r="U149">
            <v>21</v>
          </cell>
          <cell r="V149">
            <v>4</v>
          </cell>
          <cell r="W149">
            <v>82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2</v>
          </cell>
          <cell r="AD149">
            <v>18</v>
          </cell>
          <cell r="AE149">
            <v>3</v>
          </cell>
          <cell r="AF149"/>
          <cell r="AG149"/>
          <cell r="AH149"/>
          <cell r="AI149">
            <v>249</v>
          </cell>
          <cell r="AJ149">
            <v>82</v>
          </cell>
          <cell r="AK149">
            <v>14</v>
          </cell>
        </row>
        <row r="150">
          <cell r="C150">
            <v>350620010</v>
          </cell>
          <cell r="D150">
            <v>5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0</v>
          </cell>
          <cell r="J150">
            <v>11</v>
          </cell>
          <cell r="K150">
            <v>4</v>
          </cell>
          <cell r="L150">
            <v>0</v>
          </cell>
          <cell r="M150">
            <v>27</v>
          </cell>
          <cell r="N150">
            <v>0</v>
          </cell>
          <cell r="O150">
            <v>2</v>
          </cell>
          <cell r="P150">
            <v>31</v>
          </cell>
          <cell r="Q150">
            <v>59</v>
          </cell>
          <cell r="R150">
            <v>0</v>
          </cell>
          <cell r="S150">
            <v>6</v>
          </cell>
          <cell r="T150">
            <v>0</v>
          </cell>
          <cell r="U150">
            <v>33</v>
          </cell>
          <cell r="V150">
            <v>0</v>
          </cell>
          <cell r="W150">
            <v>14</v>
          </cell>
          <cell r="X150">
            <v>0</v>
          </cell>
          <cell r="Y150">
            <v>0</v>
          </cell>
          <cell r="Z150">
            <v>0</v>
          </cell>
          <cell r="AA150">
            <v>8</v>
          </cell>
          <cell r="AB150">
            <v>0</v>
          </cell>
          <cell r="AC150">
            <v>3</v>
          </cell>
          <cell r="AD150">
            <v>43</v>
          </cell>
          <cell r="AE150">
            <v>0</v>
          </cell>
          <cell r="AF150"/>
          <cell r="AG150"/>
          <cell r="AH150"/>
          <cell r="AI150">
            <v>248</v>
          </cell>
          <cell r="AJ150">
            <v>59</v>
          </cell>
          <cell r="AK150">
            <v>14</v>
          </cell>
        </row>
        <row r="151">
          <cell r="C151">
            <v>350620011</v>
          </cell>
          <cell r="D151">
            <v>0</v>
          </cell>
          <cell r="E151">
            <v>0</v>
          </cell>
          <cell r="F151">
            <v>14</v>
          </cell>
          <cell r="G151">
            <v>16</v>
          </cell>
          <cell r="H151">
            <v>2</v>
          </cell>
          <cell r="I151">
            <v>3</v>
          </cell>
          <cell r="J151">
            <v>94</v>
          </cell>
          <cell r="K151">
            <v>2</v>
          </cell>
          <cell r="L151">
            <v>4</v>
          </cell>
          <cell r="M151">
            <v>10</v>
          </cell>
          <cell r="N151">
            <v>6</v>
          </cell>
          <cell r="O151">
            <v>0</v>
          </cell>
          <cell r="P151">
            <v>10</v>
          </cell>
          <cell r="Q151">
            <v>31</v>
          </cell>
          <cell r="R151">
            <v>6</v>
          </cell>
          <cell r="S151">
            <v>0</v>
          </cell>
          <cell r="T151">
            <v>9</v>
          </cell>
          <cell r="U151">
            <v>7</v>
          </cell>
          <cell r="V151">
            <v>4</v>
          </cell>
          <cell r="W151">
            <v>0</v>
          </cell>
          <cell r="X151">
            <v>0</v>
          </cell>
          <cell r="Y151">
            <v>3</v>
          </cell>
          <cell r="Z151">
            <v>0</v>
          </cell>
          <cell r="AA151">
            <v>0</v>
          </cell>
          <cell r="AB151">
            <v>0</v>
          </cell>
          <cell r="AC151">
            <v>10</v>
          </cell>
          <cell r="AD151">
            <v>44</v>
          </cell>
          <cell r="AE151">
            <v>3</v>
          </cell>
          <cell r="AF151"/>
          <cell r="AG151"/>
          <cell r="AH151"/>
          <cell r="AI151">
            <v>278</v>
          </cell>
          <cell r="AJ151">
            <v>94</v>
          </cell>
          <cell r="AK151">
            <v>19</v>
          </cell>
        </row>
        <row r="152">
          <cell r="C152">
            <v>350620012</v>
          </cell>
          <cell r="D152">
            <v>8</v>
          </cell>
          <cell r="E152">
            <v>9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2</v>
          </cell>
          <cell r="K152">
            <v>0</v>
          </cell>
          <cell r="L152">
            <v>0</v>
          </cell>
          <cell r="M152">
            <v>13</v>
          </cell>
          <cell r="N152">
            <v>0</v>
          </cell>
          <cell r="O152">
            <v>0</v>
          </cell>
          <cell r="P152">
            <v>0</v>
          </cell>
          <cell r="Q152">
            <v>45</v>
          </cell>
          <cell r="R152">
            <v>2</v>
          </cell>
          <cell r="S152">
            <v>0</v>
          </cell>
          <cell r="T152">
            <v>9</v>
          </cell>
          <cell r="U152">
            <v>8</v>
          </cell>
          <cell r="V152">
            <v>0</v>
          </cell>
          <cell r="W152">
            <v>2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2</v>
          </cell>
          <cell r="AD152">
            <v>24</v>
          </cell>
          <cell r="AE152">
            <v>4</v>
          </cell>
          <cell r="AF152"/>
          <cell r="AG152"/>
          <cell r="AH152"/>
          <cell r="AI152">
            <v>128</v>
          </cell>
          <cell r="AJ152">
            <v>45</v>
          </cell>
          <cell r="AK152">
            <v>12</v>
          </cell>
        </row>
        <row r="153">
          <cell r="C153">
            <v>350620013</v>
          </cell>
          <cell r="D153">
            <v>12</v>
          </cell>
          <cell r="E153">
            <v>8</v>
          </cell>
          <cell r="F153">
            <v>0</v>
          </cell>
          <cell r="G153">
            <v>2</v>
          </cell>
          <cell r="H153">
            <v>5</v>
          </cell>
          <cell r="I153">
            <v>0</v>
          </cell>
          <cell r="J153">
            <v>17</v>
          </cell>
          <cell r="K153">
            <v>6</v>
          </cell>
          <cell r="L153">
            <v>14</v>
          </cell>
          <cell r="M153">
            <v>6</v>
          </cell>
          <cell r="N153">
            <v>0</v>
          </cell>
          <cell r="O153">
            <v>5</v>
          </cell>
          <cell r="P153">
            <v>16</v>
          </cell>
          <cell r="Q153">
            <v>63</v>
          </cell>
          <cell r="R153">
            <v>0</v>
          </cell>
          <cell r="S153">
            <v>0</v>
          </cell>
          <cell r="T153">
            <v>5</v>
          </cell>
          <cell r="U153">
            <v>12</v>
          </cell>
          <cell r="V153">
            <v>9</v>
          </cell>
          <cell r="W153">
            <v>3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16</v>
          </cell>
          <cell r="AD153">
            <v>47</v>
          </cell>
          <cell r="AE153">
            <v>3</v>
          </cell>
          <cell r="AF153"/>
          <cell r="AG153"/>
          <cell r="AH153"/>
          <cell r="AI153">
            <v>249</v>
          </cell>
          <cell r="AJ153">
            <v>63</v>
          </cell>
          <cell r="AK153">
            <v>18</v>
          </cell>
        </row>
        <row r="154">
          <cell r="C154">
            <v>350620014</v>
          </cell>
          <cell r="D154">
            <v>7</v>
          </cell>
          <cell r="E154">
            <v>4</v>
          </cell>
          <cell r="F154">
            <v>10</v>
          </cell>
          <cell r="G154">
            <v>0</v>
          </cell>
          <cell r="H154">
            <v>6</v>
          </cell>
          <cell r="I154">
            <v>0</v>
          </cell>
          <cell r="J154">
            <v>2</v>
          </cell>
          <cell r="K154">
            <v>1</v>
          </cell>
          <cell r="L154">
            <v>0</v>
          </cell>
          <cell r="M154">
            <v>2</v>
          </cell>
          <cell r="N154">
            <v>0</v>
          </cell>
          <cell r="O154">
            <v>0</v>
          </cell>
          <cell r="P154">
            <v>37</v>
          </cell>
          <cell r="Q154">
            <v>33</v>
          </cell>
          <cell r="R154">
            <v>0</v>
          </cell>
          <cell r="S154">
            <v>4</v>
          </cell>
          <cell r="T154">
            <v>8</v>
          </cell>
          <cell r="U154">
            <v>0</v>
          </cell>
          <cell r="V154">
            <v>3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6</v>
          </cell>
          <cell r="AD154">
            <v>15</v>
          </cell>
          <cell r="AE154">
            <v>8</v>
          </cell>
          <cell r="AF154"/>
          <cell r="AG154"/>
          <cell r="AH154"/>
          <cell r="AI154">
            <v>146</v>
          </cell>
          <cell r="AJ154">
            <v>37</v>
          </cell>
          <cell r="AK154">
            <v>15</v>
          </cell>
        </row>
        <row r="155">
          <cell r="C155">
            <v>350620015</v>
          </cell>
          <cell r="D155">
            <v>3</v>
          </cell>
          <cell r="E155">
            <v>5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19</v>
          </cell>
          <cell r="N155">
            <v>0</v>
          </cell>
          <cell r="O155">
            <v>10</v>
          </cell>
          <cell r="P155">
            <v>6</v>
          </cell>
          <cell r="Q155">
            <v>16</v>
          </cell>
          <cell r="R155">
            <v>2</v>
          </cell>
          <cell r="S155">
            <v>0</v>
          </cell>
          <cell r="T155">
            <v>54</v>
          </cell>
          <cell r="U155">
            <v>0</v>
          </cell>
          <cell r="V155">
            <v>10</v>
          </cell>
          <cell r="W155">
            <v>0</v>
          </cell>
          <cell r="X155">
            <v>0</v>
          </cell>
          <cell r="Y155">
            <v>1</v>
          </cell>
          <cell r="Z155">
            <v>0</v>
          </cell>
          <cell r="AA155">
            <v>0</v>
          </cell>
          <cell r="AB155">
            <v>0</v>
          </cell>
          <cell r="AC155">
            <v>4</v>
          </cell>
          <cell r="AD155">
            <v>71</v>
          </cell>
          <cell r="AE155">
            <v>4</v>
          </cell>
          <cell r="AF155"/>
          <cell r="AG155"/>
          <cell r="AH155"/>
          <cell r="AI155">
            <v>205</v>
          </cell>
          <cell r="AJ155">
            <v>71</v>
          </cell>
          <cell r="AK155">
            <v>13</v>
          </cell>
        </row>
        <row r="156">
          <cell r="C156">
            <v>350620016</v>
          </cell>
          <cell r="D156">
            <v>4</v>
          </cell>
          <cell r="E156">
            <v>10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20</v>
          </cell>
          <cell r="N156">
            <v>0</v>
          </cell>
          <cell r="O156">
            <v>0</v>
          </cell>
          <cell r="P156">
            <v>6</v>
          </cell>
          <cell r="Q156">
            <v>5</v>
          </cell>
          <cell r="R156">
            <v>3</v>
          </cell>
          <cell r="S156">
            <v>0</v>
          </cell>
          <cell r="T156">
            <v>25</v>
          </cell>
          <cell r="U156">
            <v>0</v>
          </cell>
          <cell r="V156">
            <v>9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4</v>
          </cell>
          <cell r="AD156">
            <v>68</v>
          </cell>
          <cell r="AE156">
            <v>3</v>
          </cell>
          <cell r="AF156"/>
          <cell r="AG156"/>
          <cell r="AH156"/>
          <cell r="AI156">
            <v>157</v>
          </cell>
          <cell r="AJ156">
            <v>68</v>
          </cell>
          <cell r="AK156">
            <v>11</v>
          </cell>
        </row>
        <row r="157">
          <cell r="C157">
            <v>350620017</v>
          </cell>
          <cell r="D157">
            <v>1</v>
          </cell>
          <cell r="E157">
            <v>12</v>
          </cell>
          <cell r="F157">
            <v>0</v>
          </cell>
          <cell r="G157">
            <v>0</v>
          </cell>
          <cell r="H157">
            <v>2</v>
          </cell>
          <cell r="I157">
            <v>0</v>
          </cell>
          <cell r="J157">
            <v>6</v>
          </cell>
          <cell r="K157">
            <v>0</v>
          </cell>
          <cell r="L157">
            <v>0</v>
          </cell>
          <cell r="M157">
            <v>13</v>
          </cell>
          <cell r="N157">
            <v>0</v>
          </cell>
          <cell r="O157">
            <v>7</v>
          </cell>
          <cell r="P157">
            <v>26</v>
          </cell>
          <cell r="Q157">
            <v>88</v>
          </cell>
          <cell r="R157">
            <v>0</v>
          </cell>
          <cell r="S157">
            <v>0</v>
          </cell>
          <cell r="T157">
            <v>7</v>
          </cell>
          <cell r="U157">
            <v>0</v>
          </cell>
          <cell r="V157">
            <v>1</v>
          </cell>
          <cell r="W157">
            <v>2</v>
          </cell>
          <cell r="X157">
            <v>0</v>
          </cell>
          <cell r="Y157">
            <v>3</v>
          </cell>
          <cell r="Z157">
            <v>0</v>
          </cell>
          <cell r="AA157">
            <v>0</v>
          </cell>
          <cell r="AB157">
            <v>0</v>
          </cell>
          <cell r="AC157">
            <v>6</v>
          </cell>
          <cell r="AD157">
            <v>60</v>
          </cell>
          <cell r="AE157">
            <v>2</v>
          </cell>
          <cell r="AF157"/>
          <cell r="AG157"/>
          <cell r="AH157"/>
          <cell r="AI157">
            <v>236</v>
          </cell>
          <cell r="AJ157">
            <v>88</v>
          </cell>
          <cell r="AK157">
            <v>15</v>
          </cell>
        </row>
        <row r="158">
          <cell r="C158">
            <v>350620018</v>
          </cell>
          <cell r="D158">
            <v>27</v>
          </cell>
          <cell r="E158">
            <v>47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7</v>
          </cell>
          <cell r="K158">
            <v>0</v>
          </cell>
          <cell r="L158">
            <v>0</v>
          </cell>
          <cell r="M158">
            <v>8</v>
          </cell>
          <cell r="N158">
            <v>0</v>
          </cell>
          <cell r="O158">
            <v>26</v>
          </cell>
          <cell r="P158">
            <v>45</v>
          </cell>
          <cell r="Q158">
            <v>96</v>
          </cell>
          <cell r="R158">
            <v>2</v>
          </cell>
          <cell r="S158">
            <v>0</v>
          </cell>
          <cell r="T158">
            <v>5</v>
          </cell>
          <cell r="U158">
            <v>10</v>
          </cell>
          <cell r="V158">
            <v>0</v>
          </cell>
          <cell r="W158">
            <v>5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85</v>
          </cell>
          <cell r="AE158">
            <v>30</v>
          </cell>
          <cell r="AF158"/>
          <cell r="AG158"/>
          <cell r="AH158"/>
          <cell r="AI158">
            <v>393</v>
          </cell>
          <cell r="AJ158">
            <v>96</v>
          </cell>
          <cell r="AK158">
            <v>13</v>
          </cell>
        </row>
        <row r="159"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18</v>
          </cell>
          <cell r="H159">
            <v>0</v>
          </cell>
          <cell r="I159">
            <v>0</v>
          </cell>
          <cell r="J159">
            <v>0</v>
          </cell>
          <cell r="K159">
            <v>8</v>
          </cell>
          <cell r="L159">
            <v>0</v>
          </cell>
          <cell r="M159">
            <v>6</v>
          </cell>
          <cell r="N159">
            <v>0</v>
          </cell>
          <cell r="O159">
            <v>13</v>
          </cell>
          <cell r="P159">
            <v>38</v>
          </cell>
          <cell r="Q159">
            <v>22</v>
          </cell>
          <cell r="R159">
            <v>0</v>
          </cell>
          <cell r="S159">
            <v>13</v>
          </cell>
          <cell r="T159">
            <v>45</v>
          </cell>
          <cell r="U159">
            <v>16</v>
          </cell>
          <cell r="V159">
            <v>0</v>
          </cell>
          <cell r="W159">
            <v>32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10</v>
          </cell>
          <cell r="AD159">
            <v>25</v>
          </cell>
          <cell r="AE159">
            <v>21</v>
          </cell>
          <cell r="AF159"/>
          <cell r="AG159"/>
          <cell r="AH159"/>
          <cell r="AI159">
            <v>267</v>
          </cell>
          <cell r="AJ159">
            <v>45</v>
          </cell>
          <cell r="AK159">
            <v>13</v>
          </cell>
        </row>
        <row r="160">
          <cell r="C160">
            <v>350620020</v>
          </cell>
          <cell r="D160">
            <v>5</v>
          </cell>
          <cell r="E160">
            <v>14</v>
          </cell>
          <cell r="F160">
            <v>0</v>
          </cell>
          <cell r="G160">
            <v>0</v>
          </cell>
          <cell r="H160">
            <v>0</v>
          </cell>
          <cell r="I160">
            <v>3</v>
          </cell>
          <cell r="J160">
            <v>0</v>
          </cell>
          <cell r="K160">
            <v>0</v>
          </cell>
          <cell r="L160">
            <v>0</v>
          </cell>
          <cell r="M160">
            <v>2</v>
          </cell>
          <cell r="N160">
            <v>0</v>
          </cell>
          <cell r="O160">
            <v>31</v>
          </cell>
          <cell r="P160">
            <v>7</v>
          </cell>
          <cell r="Q160">
            <v>4</v>
          </cell>
          <cell r="R160">
            <v>2</v>
          </cell>
          <cell r="S160">
            <v>0</v>
          </cell>
          <cell r="T160">
            <v>0</v>
          </cell>
          <cell r="U160">
            <v>0</v>
          </cell>
          <cell r="V160">
            <v>5</v>
          </cell>
          <cell r="W160">
            <v>0</v>
          </cell>
          <cell r="X160">
            <v>9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43</v>
          </cell>
          <cell r="AD160">
            <v>12</v>
          </cell>
          <cell r="AE160">
            <v>0</v>
          </cell>
          <cell r="AF160"/>
          <cell r="AG160"/>
          <cell r="AH160"/>
          <cell r="AI160">
            <v>137</v>
          </cell>
          <cell r="AJ160">
            <v>43</v>
          </cell>
          <cell r="AK160">
            <v>12</v>
          </cell>
        </row>
        <row r="161">
          <cell r="C161">
            <v>350621001</v>
          </cell>
          <cell r="D161">
            <v>0</v>
          </cell>
          <cell r="E161">
            <v>19</v>
          </cell>
          <cell r="F161">
            <v>0</v>
          </cell>
          <cell r="G161">
            <v>0</v>
          </cell>
          <cell r="H161">
            <v>7</v>
          </cell>
          <cell r="I161">
            <v>0</v>
          </cell>
          <cell r="J161">
            <v>0</v>
          </cell>
          <cell r="K161">
            <v>0</v>
          </cell>
          <cell r="L161">
            <v>6</v>
          </cell>
          <cell r="M161">
            <v>18</v>
          </cell>
          <cell r="N161">
            <v>0</v>
          </cell>
          <cell r="O161">
            <v>4</v>
          </cell>
          <cell r="P161">
            <v>12</v>
          </cell>
          <cell r="Q161">
            <v>8</v>
          </cell>
          <cell r="R161">
            <v>0</v>
          </cell>
          <cell r="S161">
            <v>0</v>
          </cell>
          <cell r="T161">
            <v>13</v>
          </cell>
          <cell r="U161">
            <v>19</v>
          </cell>
          <cell r="V161">
            <v>10</v>
          </cell>
          <cell r="W161">
            <v>0</v>
          </cell>
          <cell r="X161">
            <v>12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7</v>
          </cell>
          <cell r="AD161">
            <v>7</v>
          </cell>
          <cell r="AE161">
            <v>0</v>
          </cell>
          <cell r="AF161"/>
          <cell r="AG161"/>
          <cell r="AH161"/>
          <cell r="AI161">
            <v>142</v>
          </cell>
          <cell r="AJ161">
            <v>19</v>
          </cell>
          <cell r="AK161">
            <v>13</v>
          </cell>
        </row>
        <row r="162">
          <cell r="C162">
            <v>350621002</v>
          </cell>
          <cell r="D162">
            <v>0</v>
          </cell>
          <cell r="E162">
            <v>36</v>
          </cell>
          <cell r="F162">
            <v>9</v>
          </cell>
          <cell r="G162">
            <v>1</v>
          </cell>
          <cell r="H162">
            <v>6</v>
          </cell>
          <cell r="I162">
            <v>0</v>
          </cell>
          <cell r="J162">
            <v>1</v>
          </cell>
          <cell r="K162">
            <v>2</v>
          </cell>
          <cell r="L162">
            <v>3</v>
          </cell>
          <cell r="M162">
            <v>15</v>
          </cell>
          <cell r="N162">
            <v>1</v>
          </cell>
          <cell r="O162">
            <v>1</v>
          </cell>
          <cell r="P162">
            <v>9</v>
          </cell>
          <cell r="Q162">
            <v>5</v>
          </cell>
          <cell r="R162">
            <v>1</v>
          </cell>
          <cell r="S162">
            <v>0</v>
          </cell>
          <cell r="T162">
            <v>43</v>
          </cell>
          <cell r="U162">
            <v>0</v>
          </cell>
          <cell r="V162">
            <v>2</v>
          </cell>
          <cell r="W162">
            <v>0</v>
          </cell>
          <cell r="X162">
            <v>0</v>
          </cell>
          <cell r="Y162">
            <v>9</v>
          </cell>
          <cell r="Z162">
            <v>0</v>
          </cell>
          <cell r="AA162">
            <v>0</v>
          </cell>
          <cell r="AB162">
            <v>0</v>
          </cell>
          <cell r="AC162">
            <v>3</v>
          </cell>
          <cell r="AD162">
            <v>4</v>
          </cell>
          <cell r="AE162">
            <v>0</v>
          </cell>
          <cell r="AF162"/>
          <cell r="AG162"/>
          <cell r="AH162"/>
          <cell r="AI162">
            <v>151</v>
          </cell>
          <cell r="AJ162">
            <v>43</v>
          </cell>
          <cell r="AK162">
            <v>18</v>
          </cell>
        </row>
        <row r="163">
          <cell r="C163">
            <v>350621003</v>
          </cell>
          <cell r="D163">
            <v>1</v>
          </cell>
          <cell r="E163">
            <v>4</v>
          </cell>
          <cell r="F163">
            <v>7.5</v>
          </cell>
          <cell r="G163">
            <v>1</v>
          </cell>
          <cell r="H163">
            <v>17</v>
          </cell>
          <cell r="I163">
            <v>0</v>
          </cell>
          <cell r="J163">
            <v>1</v>
          </cell>
          <cell r="K163">
            <v>7</v>
          </cell>
          <cell r="L163">
            <v>8.5</v>
          </cell>
          <cell r="M163">
            <v>2.5</v>
          </cell>
          <cell r="N163">
            <v>1</v>
          </cell>
          <cell r="O163">
            <v>1</v>
          </cell>
          <cell r="P163">
            <v>39.5</v>
          </cell>
          <cell r="Q163">
            <v>11</v>
          </cell>
          <cell r="R163">
            <v>16</v>
          </cell>
          <cell r="S163">
            <v>0</v>
          </cell>
          <cell r="T163">
            <v>6</v>
          </cell>
          <cell r="U163">
            <v>2</v>
          </cell>
          <cell r="V163">
            <v>5</v>
          </cell>
          <cell r="W163">
            <v>0</v>
          </cell>
          <cell r="X163">
            <v>0</v>
          </cell>
          <cell r="Y163">
            <v>2</v>
          </cell>
          <cell r="Z163">
            <v>0</v>
          </cell>
          <cell r="AA163">
            <v>0</v>
          </cell>
          <cell r="AB163">
            <v>0</v>
          </cell>
          <cell r="AC163">
            <v>13.5</v>
          </cell>
          <cell r="AD163">
            <v>21</v>
          </cell>
          <cell r="AE163">
            <v>1.5</v>
          </cell>
          <cell r="AF163"/>
          <cell r="AG163"/>
          <cell r="AH163"/>
          <cell r="AI163">
            <v>169</v>
          </cell>
          <cell r="AJ163">
            <v>39.5</v>
          </cell>
          <cell r="AK163">
            <v>21</v>
          </cell>
        </row>
        <row r="164">
          <cell r="C164">
            <v>350621004</v>
          </cell>
          <cell r="D164">
            <v>0</v>
          </cell>
          <cell r="E164">
            <v>4</v>
          </cell>
          <cell r="F164">
            <v>0</v>
          </cell>
          <cell r="G164">
            <v>3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7</v>
          </cell>
          <cell r="N164">
            <v>0</v>
          </cell>
          <cell r="O164">
            <v>0</v>
          </cell>
          <cell r="P164">
            <v>42</v>
          </cell>
          <cell r="Q164">
            <v>10</v>
          </cell>
          <cell r="R164">
            <v>19</v>
          </cell>
          <cell r="S164">
            <v>4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31</v>
          </cell>
          <cell r="AE164">
            <v>5</v>
          </cell>
          <cell r="AF164"/>
          <cell r="AG164"/>
          <cell r="AH164"/>
          <cell r="AI164">
            <v>125</v>
          </cell>
          <cell r="AJ164">
            <v>42</v>
          </cell>
          <cell r="AK164">
            <v>9</v>
          </cell>
        </row>
        <row r="165">
          <cell r="C165">
            <v>350621005</v>
          </cell>
          <cell r="D165">
            <v>0</v>
          </cell>
          <cell r="E165">
            <v>0</v>
          </cell>
          <cell r="F165">
            <v>14</v>
          </cell>
          <cell r="G165">
            <v>14</v>
          </cell>
          <cell r="H165">
            <v>23</v>
          </cell>
          <cell r="I165">
            <v>0</v>
          </cell>
          <cell r="J165">
            <v>0</v>
          </cell>
          <cell r="K165">
            <v>2</v>
          </cell>
          <cell r="L165">
            <v>4</v>
          </cell>
          <cell r="M165">
            <v>21</v>
          </cell>
          <cell r="N165">
            <v>0</v>
          </cell>
          <cell r="O165">
            <v>0</v>
          </cell>
          <cell r="P165">
            <v>14</v>
          </cell>
          <cell r="Q165">
            <v>32</v>
          </cell>
          <cell r="R165">
            <v>0</v>
          </cell>
          <cell r="S165">
            <v>6</v>
          </cell>
          <cell r="T165">
            <v>2</v>
          </cell>
          <cell r="U165">
            <v>9</v>
          </cell>
          <cell r="V165">
            <v>9</v>
          </cell>
          <cell r="W165">
            <v>0</v>
          </cell>
          <cell r="X165">
            <v>0</v>
          </cell>
          <cell r="Y165">
            <v>2</v>
          </cell>
          <cell r="Z165">
            <v>0</v>
          </cell>
          <cell r="AA165">
            <v>0</v>
          </cell>
          <cell r="AB165">
            <v>0</v>
          </cell>
          <cell r="AC165">
            <v>6</v>
          </cell>
          <cell r="AD165">
            <v>5</v>
          </cell>
          <cell r="AE165">
            <v>4</v>
          </cell>
          <cell r="AF165"/>
          <cell r="AG165"/>
          <cell r="AH165"/>
          <cell r="AI165">
            <v>167</v>
          </cell>
          <cell r="AJ165">
            <v>32</v>
          </cell>
          <cell r="AK165">
            <v>16</v>
          </cell>
        </row>
        <row r="166">
          <cell r="C166">
            <v>350621006</v>
          </cell>
          <cell r="D166">
            <v>0</v>
          </cell>
          <cell r="E166">
            <v>42</v>
          </cell>
          <cell r="F166">
            <v>0</v>
          </cell>
          <cell r="G166">
            <v>0</v>
          </cell>
          <cell r="H166">
            <v>50</v>
          </cell>
          <cell r="I166">
            <v>0</v>
          </cell>
          <cell r="J166">
            <v>0</v>
          </cell>
          <cell r="K166">
            <v>3</v>
          </cell>
          <cell r="L166">
            <v>4</v>
          </cell>
          <cell r="M166">
            <v>63</v>
          </cell>
          <cell r="N166">
            <v>0</v>
          </cell>
          <cell r="O166">
            <v>0</v>
          </cell>
          <cell r="P166">
            <v>15</v>
          </cell>
          <cell r="Q166">
            <v>9</v>
          </cell>
          <cell r="R166">
            <v>0</v>
          </cell>
          <cell r="S166">
            <v>0</v>
          </cell>
          <cell r="T166">
            <v>0</v>
          </cell>
          <cell r="U166">
            <v>9</v>
          </cell>
          <cell r="V166">
            <v>6</v>
          </cell>
          <cell r="W166">
            <v>0</v>
          </cell>
          <cell r="X166">
            <v>5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10</v>
          </cell>
          <cell r="AD166">
            <v>18</v>
          </cell>
          <cell r="AE166">
            <v>0</v>
          </cell>
          <cell r="AF166"/>
          <cell r="AG166"/>
          <cell r="AH166"/>
          <cell r="AI166">
            <v>234</v>
          </cell>
          <cell r="AJ166">
            <v>63</v>
          </cell>
          <cell r="AK166">
            <v>12</v>
          </cell>
        </row>
        <row r="167">
          <cell r="C167">
            <v>350621007</v>
          </cell>
          <cell r="D167">
            <v>0</v>
          </cell>
          <cell r="E167">
            <v>4.5999999999999996</v>
          </cell>
          <cell r="F167">
            <v>0</v>
          </cell>
          <cell r="G167">
            <v>0</v>
          </cell>
          <cell r="H167">
            <v>0</v>
          </cell>
          <cell r="I167">
            <v>8</v>
          </cell>
          <cell r="J167">
            <v>0</v>
          </cell>
          <cell r="K167">
            <v>0</v>
          </cell>
          <cell r="L167">
            <v>0</v>
          </cell>
          <cell r="M167">
            <v>36</v>
          </cell>
          <cell r="N167">
            <v>0</v>
          </cell>
          <cell r="O167">
            <v>0</v>
          </cell>
          <cell r="P167">
            <v>4.5999999999999996</v>
          </cell>
          <cell r="Q167">
            <v>18</v>
          </cell>
          <cell r="R167">
            <v>4.8</v>
          </cell>
          <cell r="S167">
            <v>0</v>
          </cell>
          <cell r="T167">
            <v>2</v>
          </cell>
          <cell r="U167">
            <v>0</v>
          </cell>
          <cell r="V167">
            <v>12</v>
          </cell>
          <cell r="W167">
            <v>0</v>
          </cell>
          <cell r="X167">
            <v>3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8</v>
          </cell>
          <cell r="AE167">
            <v>16</v>
          </cell>
          <cell r="AF167"/>
          <cell r="AG167"/>
          <cell r="AH167"/>
          <cell r="AI167">
            <v>117</v>
          </cell>
          <cell r="AJ167">
            <v>36</v>
          </cell>
          <cell r="AK167">
            <v>11</v>
          </cell>
        </row>
        <row r="168">
          <cell r="C168">
            <v>350621008</v>
          </cell>
          <cell r="D168">
            <v>6</v>
          </cell>
          <cell r="E168">
            <v>23</v>
          </cell>
          <cell r="F168">
            <v>28</v>
          </cell>
          <cell r="G168">
            <v>0</v>
          </cell>
          <cell r="H168">
            <v>6</v>
          </cell>
          <cell r="I168">
            <v>0</v>
          </cell>
          <cell r="J168">
            <v>2</v>
          </cell>
          <cell r="K168">
            <v>0</v>
          </cell>
          <cell r="L168">
            <v>0</v>
          </cell>
          <cell r="M168">
            <v>19</v>
          </cell>
          <cell r="N168">
            <v>1</v>
          </cell>
          <cell r="O168">
            <v>17</v>
          </cell>
          <cell r="P168">
            <v>20</v>
          </cell>
          <cell r="Q168">
            <v>36</v>
          </cell>
          <cell r="R168">
            <v>3</v>
          </cell>
          <cell r="S168">
            <v>0</v>
          </cell>
          <cell r="T168">
            <v>0</v>
          </cell>
          <cell r="U168">
            <v>23</v>
          </cell>
          <cell r="V168">
            <v>0</v>
          </cell>
          <cell r="W168">
            <v>0</v>
          </cell>
          <cell r="X168">
            <v>32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54</v>
          </cell>
          <cell r="AD168">
            <v>86</v>
          </cell>
          <cell r="AE168">
            <v>33</v>
          </cell>
          <cell r="AF168"/>
          <cell r="AG168"/>
          <cell r="AH168"/>
          <cell r="AI168">
            <v>389</v>
          </cell>
          <cell r="AJ168">
            <v>86</v>
          </cell>
          <cell r="AK168">
            <v>16</v>
          </cell>
        </row>
        <row r="169">
          <cell r="C169">
            <v>350621009</v>
          </cell>
          <cell r="D169">
            <v>6.5</v>
          </cell>
          <cell r="E169">
            <v>7.5</v>
          </cell>
          <cell r="F169">
            <v>3.5</v>
          </cell>
          <cell r="G169">
            <v>0</v>
          </cell>
          <cell r="H169">
            <v>54</v>
          </cell>
          <cell r="I169">
            <v>0</v>
          </cell>
          <cell r="J169">
            <v>0</v>
          </cell>
          <cell r="K169">
            <v>1</v>
          </cell>
          <cell r="L169">
            <v>5</v>
          </cell>
          <cell r="M169">
            <v>36</v>
          </cell>
          <cell r="N169">
            <v>0</v>
          </cell>
          <cell r="O169">
            <v>0</v>
          </cell>
          <cell r="P169">
            <v>15</v>
          </cell>
          <cell r="Q169">
            <v>5</v>
          </cell>
          <cell r="R169">
            <v>0</v>
          </cell>
          <cell r="S169">
            <v>0</v>
          </cell>
          <cell r="T169">
            <v>5.5</v>
          </cell>
          <cell r="U169">
            <v>10.4</v>
          </cell>
          <cell r="V169">
            <v>6.4</v>
          </cell>
          <cell r="W169">
            <v>0</v>
          </cell>
          <cell r="X169">
            <v>4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7</v>
          </cell>
          <cell r="AD169">
            <v>18.5</v>
          </cell>
          <cell r="AE169">
            <v>0</v>
          </cell>
          <cell r="AF169"/>
          <cell r="AG169"/>
          <cell r="AH169"/>
          <cell r="AI169">
            <v>185.3</v>
          </cell>
          <cell r="AJ169">
            <v>54</v>
          </cell>
          <cell r="AK169">
            <v>15</v>
          </cell>
        </row>
        <row r="170">
          <cell r="C170">
            <v>350621010</v>
          </cell>
          <cell r="D170">
            <v>41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31</v>
          </cell>
          <cell r="L170">
            <v>0</v>
          </cell>
          <cell r="M170">
            <v>0</v>
          </cell>
          <cell r="N170">
            <v>0</v>
          </cell>
          <cell r="O170">
            <v>38</v>
          </cell>
          <cell r="P170">
            <v>0</v>
          </cell>
          <cell r="Q170">
            <v>0</v>
          </cell>
          <cell r="R170">
            <v>0</v>
          </cell>
          <cell r="S170">
            <v>38</v>
          </cell>
          <cell r="T170">
            <v>0</v>
          </cell>
          <cell r="U170">
            <v>0</v>
          </cell>
          <cell r="V170">
            <v>12</v>
          </cell>
          <cell r="W170">
            <v>0</v>
          </cell>
          <cell r="X170">
            <v>0</v>
          </cell>
          <cell r="Y170">
            <v>8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10</v>
          </cell>
          <cell r="AE170">
            <v>0</v>
          </cell>
          <cell r="AF170"/>
          <cell r="AG170"/>
          <cell r="AH170"/>
          <cell r="AI170">
            <v>178</v>
          </cell>
          <cell r="AJ170">
            <v>41</v>
          </cell>
          <cell r="AK170">
            <v>7</v>
          </cell>
        </row>
        <row r="171">
          <cell r="C171">
            <v>350621011</v>
          </cell>
          <cell r="D171">
            <v>0</v>
          </cell>
          <cell r="E171">
            <v>4</v>
          </cell>
          <cell r="F171">
            <v>0</v>
          </cell>
          <cell r="G171">
            <v>0</v>
          </cell>
          <cell r="H171">
            <v>2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20</v>
          </cell>
          <cell r="N171">
            <v>0</v>
          </cell>
          <cell r="O171">
            <v>1</v>
          </cell>
          <cell r="P171">
            <v>7</v>
          </cell>
          <cell r="Q171">
            <v>7</v>
          </cell>
          <cell r="R171">
            <v>0</v>
          </cell>
          <cell r="S171">
            <v>1</v>
          </cell>
          <cell r="T171">
            <v>21</v>
          </cell>
          <cell r="U171">
            <v>0</v>
          </cell>
          <cell r="V171">
            <v>1</v>
          </cell>
          <cell r="W171">
            <v>0</v>
          </cell>
          <cell r="X171">
            <v>0</v>
          </cell>
          <cell r="Y171">
            <v>6</v>
          </cell>
          <cell r="Z171">
            <v>0</v>
          </cell>
          <cell r="AA171">
            <v>0</v>
          </cell>
          <cell r="AB171">
            <v>0</v>
          </cell>
          <cell r="AC171">
            <v>7</v>
          </cell>
          <cell r="AD171">
            <v>28</v>
          </cell>
          <cell r="AE171">
            <v>1</v>
          </cell>
          <cell r="AF171"/>
          <cell r="AG171"/>
          <cell r="AH171"/>
          <cell r="AI171">
            <v>106</v>
          </cell>
          <cell r="AJ171">
            <v>28</v>
          </cell>
          <cell r="AK171">
            <v>13</v>
          </cell>
        </row>
        <row r="172">
          <cell r="C172">
            <v>350621012</v>
          </cell>
          <cell r="D172">
            <v>0</v>
          </cell>
          <cell r="E172">
            <v>4.5</v>
          </cell>
          <cell r="F172">
            <v>0</v>
          </cell>
          <cell r="G172">
            <v>0</v>
          </cell>
          <cell r="H172">
            <v>1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22</v>
          </cell>
          <cell r="N172">
            <v>0</v>
          </cell>
          <cell r="O172">
            <v>1.5</v>
          </cell>
          <cell r="P172">
            <v>9</v>
          </cell>
          <cell r="Q172">
            <v>7.6</v>
          </cell>
          <cell r="R172">
            <v>0</v>
          </cell>
          <cell r="S172">
            <v>1</v>
          </cell>
          <cell r="T172">
            <v>24</v>
          </cell>
          <cell r="U172">
            <v>0</v>
          </cell>
          <cell r="V172">
            <v>1</v>
          </cell>
          <cell r="W172">
            <v>0</v>
          </cell>
          <cell r="X172">
            <v>0</v>
          </cell>
          <cell r="Y172">
            <v>7.5</v>
          </cell>
          <cell r="Z172">
            <v>0</v>
          </cell>
          <cell r="AA172">
            <v>0</v>
          </cell>
          <cell r="AB172">
            <v>0</v>
          </cell>
          <cell r="AC172">
            <v>7.5</v>
          </cell>
          <cell r="AD172">
            <v>28</v>
          </cell>
          <cell r="AE172">
            <v>1</v>
          </cell>
          <cell r="AF172"/>
          <cell r="AG172"/>
          <cell r="AH172"/>
          <cell r="AI172">
            <v>115.6</v>
          </cell>
          <cell r="AJ172">
            <v>28</v>
          </cell>
          <cell r="AK172">
            <v>13</v>
          </cell>
        </row>
        <row r="173">
          <cell r="C173">
            <v>350621013</v>
          </cell>
          <cell r="D173">
            <v>1</v>
          </cell>
          <cell r="E173">
            <v>5</v>
          </cell>
          <cell r="F173">
            <v>0</v>
          </cell>
          <cell r="G173">
            <v>0</v>
          </cell>
          <cell r="H173">
            <v>31.2</v>
          </cell>
          <cell r="I173">
            <v>0</v>
          </cell>
          <cell r="J173">
            <v>0</v>
          </cell>
          <cell r="K173">
            <v>0</v>
          </cell>
          <cell r="L173">
            <v>2.4</v>
          </cell>
          <cell r="M173">
            <v>41.1</v>
          </cell>
          <cell r="N173">
            <v>0</v>
          </cell>
          <cell r="O173">
            <v>1.4</v>
          </cell>
          <cell r="P173">
            <v>9.4</v>
          </cell>
          <cell r="Q173">
            <v>5.4</v>
          </cell>
          <cell r="R173">
            <v>0</v>
          </cell>
          <cell r="S173">
            <v>0</v>
          </cell>
          <cell r="T173">
            <v>7.3</v>
          </cell>
          <cell r="U173">
            <v>4.4000000000000004</v>
          </cell>
          <cell r="V173">
            <v>1.5</v>
          </cell>
          <cell r="W173">
            <v>0</v>
          </cell>
          <cell r="X173">
            <v>0</v>
          </cell>
          <cell r="Y173">
            <v>3.4</v>
          </cell>
          <cell r="Z173">
            <v>0</v>
          </cell>
          <cell r="AA173">
            <v>0</v>
          </cell>
          <cell r="AB173">
            <v>0</v>
          </cell>
          <cell r="AC173">
            <v>3.4</v>
          </cell>
          <cell r="AD173">
            <v>6.5</v>
          </cell>
          <cell r="AE173">
            <v>1.9</v>
          </cell>
          <cell r="AF173"/>
          <cell r="AG173"/>
          <cell r="AH173"/>
          <cell r="AI173">
            <v>125.30000000000004</v>
          </cell>
          <cell r="AJ173">
            <v>41.1</v>
          </cell>
          <cell r="AK173">
            <v>15</v>
          </cell>
        </row>
        <row r="174">
          <cell r="C174">
            <v>350621014</v>
          </cell>
          <cell r="D174">
            <v>0</v>
          </cell>
          <cell r="E174">
            <v>24</v>
          </cell>
          <cell r="F174">
            <v>19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8</v>
          </cell>
          <cell r="M174">
            <v>33</v>
          </cell>
          <cell r="N174">
            <v>0</v>
          </cell>
          <cell r="O174">
            <v>0</v>
          </cell>
          <cell r="P174">
            <v>0</v>
          </cell>
          <cell r="Q174">
            <v>15</v>
          </cell>
          <cell r="R174">
            <v>0</v>
          </cell>
          <cell r="S174">
            <v>0</v>
          </cell>
          <cell r="T174">
            <v>19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34</v>
          </cell>
          <cell r="AD174">
            <v>44</v>
          </cell>
          <cell r="AE174">
            <v>13</v>
          </cell>
          <cell r="AF174"/>
          <cell r="AG174"/>
          <cell r="AH174"/>
          <cell r="AI174">
            <v>209</v>
          </cell>
          <cell r="AJ174">
            <v>44</v>
          </cell>
          <cell r="AK174">
            <v>9</v>
          </cell>
        </row>
        <row r="175">
          <cell r="C175">
            <v>350621015</v>
          </cell>
          <cell r="D175">
            <v>8</v>
          </cell>
          <cell r="E175">
            <v>0</v>
          </cell>
          <cell r="F175">
            <v>4</v>
          </cell>
          <cell r="G175">
            <v>27</v>
          </cell>
          <cell r="H175">
            <v>0</v>
          </cell>
          <cell r="I175">
            <v>5</v>
          </cell>
          <cell r="J175">
            <v>0</v>
          </cell>
          <cell r="K175">
            <v>30</v>
          </cell>
          <cell r="L175">
            <v>13</v>
          </cell>
          <cell r="M175">
            <v>20</v>
          </cell>
          <cell r="N175">
            <v>4</v>
          </cell>
          <cell r="O175">
            <v>10</v>
          </cell>
          <cell r="P175">
            <v>28</v>
          </cell>
          <cell r="Q175">
            <v>25</v>
          </cell>
          <cell r="R175">
            <v>4</v>
          </cell>
          <cell r="S175">
            <v>7</v>
          </cell>
          <cell r="T175">
            <v>5</v>
          </cell>
          <cell r="U175">
            <v>0</v>
          </cell>
          <cell r="V175">
            <v>2</v>
          </cell>
          <cell r="W175">
            <v>11</v>
          </cell>
          <cell r="X175">
            <v>7</v>
          </cell>
          <cell r="Y175">
            <v>8</v>
          </cell>
          <cell r="Z175">
            <v>2</v>
          </cell>
          <cell r="AA175">
            <v>0</v>
          </cell>
          <cell r="AB175">
            <v>5</v>
          </cell>
          <cell r="AC175">
            <v>0</v>
          </cell>
          <cell r="AD175">
            <v>1</v>
          </cell>
          <cell r="AE175">
            <v>10</v>
          </cell>
          <cell r="AF175"/>
          <cell r="AG175"/>
          <cell r="AH175"/>
          <cell r="AI175">
            <v>236</v>
          </cell>
          <cell r="AJ175">
            <v>30</v>
          </cell>
          <cell r="AK175">
            <v>22</v>
          </cell>
        </row>
        <row r="176">
          <cell r="C176">
            <v>350621016</v>
          </cell>
          <cell r="D176">
            <v>6</v>
          </cell>
          <cell r="E176">
            <v>79</v>
          </cell>
          <cell r="F176">
            <v>6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3</v>
          </cell>
          <cell r="M176">
            <v>55</v>
          </cell>
          <cell r="N176">
            <v>0</v>
          </cell>
          <cell r="O176">
            <v>47</v>
          </cell>
          <cell r="P176">
            <v>8</v>
          </cell>
          <cell r="Q176">
            <v>11</v>
          </cell>
          <cell r="R176">
            <v>0</v>
          </cell>
          <cell r="S176">
            <v>0</v>
          </cell>
          <cell r="T176">
            <v>8</v>
          </cell>
          <cell r="U176">
            <v>0</v>
          </cell>
          <cell r="V176">
            <v>0</v>
          </cell>
          <cell r="W176">
            <v>5</v>
          </cell>
          <cell r="X176">
            <v>11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62</v>
          </cell>
          <cell r="AD176">
            <v>80</v>
          </cell>
          <cell r="AE176">
            <v>6</v>
          </cell>
          <cell r="AF176"/>
          <cell r="AG176"/>
          <cell r="AH176"/>
          <cell r="AI176">
            <v>387</v>
          </cell>
          <cell r="AJ176">
            <v>80</v>
          </cell>
          <cell r="AK176">
            <v>14</v>
          </cell>
        </row>
        <row r="177">
          <cell r="C177">
            <v>350621017</v>
          </cell>
          <cell r="D177">
            <v>0</v>
          </cell>
          <cell r="E177">
            <v>4</v>
          </cell>
          <cell r="F177">
            <v>27</v>
          </cell>
          <cell r="G177">
            <v>0</v>
          </cell>
          <cell r="H177">
            <v>32</v>
          </cell>
          <cell r="I177">
            <v>0</v>
          </cell>
          <cell r="J177">
            <v>0</v>
          </cell>
          <cell r="K177">
            <v>5</v>
          </cell>
          <cell r="L177">
            <v>6</v>
          </cell>
          <cell r="M177">
            <v>17</v>
          </cell>
          <cell r="N177">
            <v>2</v>
          </cell>
          <cell r="O177">
            <v>0</v>
          </cell>
          <cell r="P177">
            <v>28</v>
          </cell>
          <cell r="Q177">
            <v>13</v>
          </cell>
          <cell r="R177">
            <v>31</v>
          </cell>
          <cell r="S177">
            <v>0</v>
          </cell>
          <cell r="T177">
            <v>6</v>
          </cell>
          <cell r="U177">
            <v>9</v>
          </cell>
          <cell r="V177">
            <v>3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2</v>
          </cell>
          <cell r="AD177">
            <v>28</v>
          </cell>
          <cell r="AE177">
            <v>0</v>
          </cell>
          <cell r="AF177"/>
          <cell r="AG177"/>
          <cell r="AH177"/>
          <cell r="AI177">
            <v>213</v>
          </cell>
          <cell r="AJ177">
            <v>32</v>
          </cell>
          <cell r="AK177">
            <v>15</v>
          </cell>
        </row>
        <row r="178">
          <cell r="C178">
            <v>350621018</v>
          </cell>
          <cell r="D178">
            <v>0</v>
          </cell>
          <cell r="E178">
            <v>7</v>
          </cell>
          <cell r="F178">
            <v>0</v>
          </cell>
          <cell r="G178">
            <v>8</v>
          </cell>
          <cell r="H178">
            <v>78.5</v>
          </cell>
          <cell r="I178">
            <v>2</v>
          </cell>
          <cell r="J178">
            <v>0</v>
          </cell>
          <cell r="K178">
            <v>1</v>
          </cell>
          <cell r="L178">
            <v>4</v>
          </cell>
          <cell r="M178">
            <v>26.5</v>
          </cell>
          <cell r="N178">
            <v>0</v>
          </cell>
          <cell r="O178">
            <v>0</v>
          </cell>
          <cell r="P178">
            <v>4</v>
          </cell>
          <cell r="Q178">
            <v>19</v>
          </cell>
          <cell r="R178">
            <v>1</v>
          </cell>
          <cell r="S178">
            <v>0</v>
          </cell>
          <cell r="T178">
            <v>26</v>
          </cell>
          <cell r="U178">
            <v>19.3</v>
          </cell>
          <cell r="V178">
            <v>3.5</v>
          </cell>
          <cell r="W178">
            <v>0</v>
          </cell>
          <cell r="X178">
            <v>1.5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10.6</v>
          </cell>
          <cell r="AD178">
            <v>104</v>
          </cell>
          <cell r="AE178">
            <v>0</v>
          </cell>
          <cell r="AF178"/>
          <cell r="AG178"/>
          <cell r="AH178"/>
          <cell r="AI178">
            <v>315.89999999999998</v>
          </cell>
          <cell r="AJ178">
            <v>104</v>
          </cell>
          <cell r="AK178">
            <v>16</v>
          </cell>
        </row>
        <row r="179">
          <cell r="C179">
            <v>350621019</v>
          </cell>
          <cell r="D179">
            <v>6</v>
          </cell>
          <cell r="E179">
            <v>4</v>
          </cell>
          <cell r="F179">
            <v>0</v>
          </cell>
          <cell r="G179">
            <v>8</v>
          </cell>
          <cell r="H179">
            <v>10</v>
          </cell>
          <cell r="I179">
            <v>0</v>
          </cell>
          <cell r="J179">
            <v>3</v>
          </cell>
          <cell r="K179">
            <v>2</v>
          </cell>
          <cell r="L179">
            <v>0</v>
          </cell>
          <cell r="M179">
            <v>18</v>
          </cell>
          <cell r="N179">
            <v>0</v>
          </cell>
          <cell r="O179">
            <v>0</v>
          </cell>
          <cell r="P179">
            <v>0</v>
          </cell>
          <cell r="Q179">
            <v>14</v>
          </cell>
          <cell r="R179">
            <v>2</v>
          </cell>
          <cell r="S179">
            <v>0</v>
          </cell>
          <cell r="T179">
            <v>12</v>
          </cell>
          <cell r="U179">
            <v>0</v>
          </cell>
          <cell r="V179">
            <v>6</v>
          </cell>
          <cell r="W179">
            <v>0</v>
          </cell>
          <cell r="X179">
            <v>4</v>
          </cell>
          <cell r="Y179">
            <v>21</v>
          </cell>
          <cell r="Z179">
            <v>0</v>
          </cell>
          <cell r="AA179">
            <v>0</v>
          </cell>
          <cell r="AB179">
            <v>0</v>
          </cell>
          <cell r="AC179">
            <v>2</v>
          </cell>
          <cell r="AD179">
            <v>38</v>
          </cell>
          <cell r="AE179">
            <v>0</v>
          </cell>
          <cell r="AF179"/>
          <cell r="AG179"/>
          <cell r="AH179"/>
          <cell r="AI179">
            <v>150</v>
          </cell>
          <cell r="AJ179">
            <v>38</v>
          </cell>
          <cell r="AK179">
            <v>15</v>
          </cell>
        </row>
        <row r="180">
          <cell r="C180">
            <v>350621020</v>
          </cell>
          <cell r="D180">
            <v>6</v>
          </cell>
          <cell r="E180">
            <v>8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30</v>
          </cell>
          <cell r="N180">
            <v>0</v>
          </cell>
          <cell r="O180">
            <v>4</v>
          </cell>
          <cell r="P180">
            <v>2</v>
          </cell>
          <cell r="Q180">
            <v>3</v>
          </cell>
          <cell r="R180">
            <v>0</v>
          </cell>
          <cell r="S180">
            <v>0</v>
          </cell>
          <cell r="T180">
            <v>2</v>
          </cell>
          <cell r="U180">
            <v>6</v>
          </cell>
          <cell r="V180">
            <v>10</v>
          </cell>
          <cell r="W180">
            <v>0</v>
          </cell>
          <cell r="X180">
            <v>4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5</v>
          </cell>
          <cell r="AD180">
            <v>11</v>
          </cell>
          <cell r="AE180">
            <v>4</v>
          </cell>
          <cell r="AF180"/>
          <cell r="AG180"/>
          <cell r="AH180"/>
          <cell r="AI180">
            <v>95</v>
          </cell>
          <cell r="AJ180">
            <v>30</v>
          </cell>
          <cell r="AK180">
            <v>13</v>
          </cell>
        </row>
        <row r="181">
          <cell r="C181">
            <v>350621021</v>
          </cell>
          <cell r="D181">
            <v>5.4</v>
          </cell>
          <cell r="E181">
            <v>4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4</v>
          </cell>
          <cell r="M181">
            <v>31</v>
          </cell>
          <cell r="N181">
            <v>0</v>
          </cell>
          <cell r="O181">
            <v>0</v>
          </cell>
          <cell r="P181">
            <v>8</v>
          </cell>
          <cell r="Q181">
            <v>4</v>
          </cell>
          <cell r="R181">
            <v>0</v>
          </cell>
          <cell r="S181">
            <v>0</v>
          </cell>
          <cell r="T181">
            <v>3</v>
          </cell>
          <cell r="U181">
            <v>5.4</v>
          </cell>
          <cell r="V181">
            <v>8</v>
          </cell>
          <cell r="W181">
            <v>0</v>
          </cell>
          <cell r="X181">
            <v>3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4</v>
          </cell>
          <cell r="AD181">
            <v>8</v>
          </cell>
          <cell r="AE181">
            <v>3</v>
          </cell>
          <cell r="AF181"/>
          <cell r="AG181"/>
          <cell r="AH181"/>
          <cell r="AI181">
            <v>90.8</v>
          </cell>
          <cell r="AJ181">
            <v>31</v>
          </cell>
          <cell r="AK181">
            <v>13</v>
          </cell>
        </row>
        <row r="182">
          <cell r="C182">
            <v>350621022</v>
          </cell>
          <cell r="D182">
            <v>0</v>
          </cell>
          <cell r="E182">
            <v>4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3</v>
          </cell>
          <cell r="M182">
            <v>9</v>
          </cell>
          <cell r="N182">
            <v>0</v>
          </cell>
          <cell r="O182">
            <v>8</v>
          </cell>
          <cell r="P182">
            <v>8</v>
          </cell>
          <cell r="Q182">
            <v>6</v>
          </cell>
          <cell r="R182">
            <v>0</v>
          </cell>
          <cell r="S182">
            <v>0</v>
          </cell>
          <cell r="T182">
            <v>12</v>
          </cell>
          <cell r="U182">
            <v>3</v>
          </cell>
          <cell r="V182">
            <v>0</v>
          </cell>
          <cell r="W182">
            <v>0</v>
          </cell>
          <cell r="X182">
            <v>6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12</v>
          </cell>
          <cell r="AD182">
            <v>71</v>
          </cell>
          <cell r="AE182">
            <v>0</v>
          </cell>
          <cell r="AF182"/>
          <cell r="AG182"/>
          <cell r="AH182"/>
          <cell r="AI182">
            <v>142</v>
          </cell>
          <cell r="AJ182">
            <v>71</v>
          </cell>
          <cell r="AK182">
            <v>11</v>
          </cell>
        </row>
        <row r="183">
          <cell r="C183">
            <v>350621023</v>
          </cell>
          <cell r="D183">
            <v>0</v>
          </cell>
          <cell r="E183">
            <v>4.5</v>
          </cell>
          <cell r="F183">
            <v>0</v>
          </cell>
          <cell r="G183">
            <v>1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10</v>
          </cell>
          <cell r="M183">
            <v>7.6</v>
          </cell>
          <cell r="N183">
            <v>0</v>
          </cell>
          <cell r="O183">
            <v>5</v>
          </cell>
          <cell r="P183">
            <v>8.6999999999999993</v>
          </cell>
          <cell r="Q183">
            <v>4.0999999999999996</v>
          </cell>
          <cell r="R183">
            <v>2.5</v>
          </cell>
          <cell r="S183">
            <v>6</v>
          </cell>
          <cell r="T183">
            <v>16</v>
          </cell>
          <cell r="U183">
            <v>3.4</v>
          </cell>
          <cell r="V183">
            <v>0</v>
          </cell>
          <cell r="W183">
            <v>0</v>
          </cell>
          <cell r="X183">
            <v>5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8</v>
          </cell>
          <cell r="AD183">
            <v>4</v>
          </cell>
          <cell r="AE183">
            <v>0</v>
          </cell>
          <cell r="AF183"/>
          <cell r="AG183"/>
          <cell r="AH183"/>
          <cell r="AI183">
            <v>85.800000000000011</v>
          </cell>
          <cell r="AJ183">
            <v>16</v>
          </cell>
          <cell r="AK183">
            <v>14</v>
          </cell>
        </row>
        <row r="184">
          <cell r="C184">
            <v>350621024</v>
          </cell>
          <cell r="D184">
            <v>4</v>
          </cell>
          <cell r="E184">
            <v>6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40</v>
          </cell>
          <cell r="N184">
            <v>0</v>
          </cell>
          <cell r="O184">
            <v>0</v>
          </cell>
          <cell r="P184">
            <v>10</v>
          </cell>
          <cell r="Q184">
            <v>2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6</v>
          </cell>
          <cell r="W184">
            <v>0</v>
          </cell>
          <cell r="X184">
            <v>2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2</v>
          </cell>
          <cell r="AD184">
            <v>7</v>
          </cell>
          <cell r="AE184">
            <v>10</v>
          </cell>
          <cell r="AF184"/>
          <cell r="AG184"/>
          <cell r="AH184"/>
          <cell r="AI184">
            <v>89</v>
          </cell>
          <cell r="AJ184">
            <v>40</v>
          </cell>
          <cell r="AK184">
            <v>10</v>
          </cell>
        </row>
        <row r="185">
          <cell r="C185">
            <v>350621025</v>
          </cell>
          <cell r="D185">
            <v>6</v>
          </cell>
          <cell r="E185">
            <v>23</v>
          </cell>
          <cell r="F185">
            <v>0</v>
          </cell>
          <cell r="G185">
            <v>0</v>
          </cell>
          <cell r="H185">
            <v>0</v>
          </cell>
          <cell r="I185">
            <v>4</v>
          </cell>
          <cell r="J185">
            <v>0</v>
          </cell>
          <cell r="K185">
            <v>0</v>
          </cell>
          <cell r="L185">
            <v>0</v>
          </cell>
          <cell r="M185">
            <v>4</v>
          </cell>
          <cell r="N185">
            <v>0</v>
          </cell>
          <cell r="O185">
            <v>53</v>
          </cell>
          <cell r="P185">
            <v>6</v>
          </cell>
          <cell r="Q185">
            <v>5</v>
          </cell>
          <cell r="R185">
            <v>3</v>
          </cell>
          <cell r="S185">
            <v>0</v>
          </cell>
          <cell r="T185">
            <v>0</v>
          </cell>
          <cell r="U185">
            <v>0</v>
          </cell>
          <cell r="V185">
            <v>5</v>
          </cell>
          <cell r="W185">
            <v>0</v>
          </cell>
          <cell r="X185">
            <v>0</v>
          </cell>
          <cell r="Y185">
            <v>2</v>
          </cell>
          <cell r="Z185">
            <v>0</v>
          </cell>
          <cell r="AA185">
            <v>0</v>
          </cell>
          <cell r="AB185">
            <v>0</v>
          </cell>
          <cell r="AC185">
            <v>74</v>
          </cell>
          <cell r="AD185">
            <v>11</v>
          </cell>
          <cell r="AE185">
            <v>0</v>
          </cell>
          <cell r="AF185"/>
          <cell r="AG185"/>
          <cell r="AH185"/>
          <cell r="AI185">
            <v>196</v>
          </cell>
          <cell r="AJ185">
            <v>74</v>
          </cell>
          <cell r="AK185">
            <v>12</v>
          </cell>
        </row>
        <row r="186">
          <cell r="C186">
            <v>350621026</v>
          </cell>
          <cell r="D186">
            <v>0</v>
          </cell>
          <cell r="E186">
            <v>8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8</v>
          </cell>
          <cell r="M186">
            <v>7</v>
          </cell>
          <cell r="N186">
            <v>0</v>
          </cell>
          <cell r="O186">
            <v>7</v>
          </cell>
          <cell r="P186">
            <v>12</v>
          </cell>
          <cell r="Q186">
            <v>18</v>
          </cell>
          <cell r="R186">
            <v>0</v>
          </cell>
          <cell r="S186">
            <v>0</v>
          </cell>
          <cell r="T186">
            <v>23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12</v>
          </cell>
          <cell r="AD186">
            <v>21</v>
          </cell>
          <cell r="AE186">
            <v>0</v>
          </cell>
          <cell r="AF186"/>
          <cell r="AG186"/>
          <cell r="AH186"/>
          <cell r="AI186">
            <v>116</v>
          </cell>
          <cell r="AJ186">
            <v>23</v>
          </cell>
          <cell r="AK186">
            <v>9</v>
          </cell>
        </row>
        <row r="187">
          <cell r="C187">
            <v>350602001</v>
          </cell>
          <cell r="D187">
            <v>9</v>
          </cell>
          <cell r="E187">
            <v>1</v>
          </cell>
          <cell r="F187">
            <v>0</v>
          </cell>
          <cell r="G187">
            <v>2</v>
          </cell>
          <cell r="H187">
            <v>7</v>
          </cell>
          <cell r="I187">
            <v>0</v>
          </cell>
          <cell r="J187">
            <v>25</v>
          </cell>
          <cell r="K187">
            <v>0</v>
          </cell>
          <cell r="L187">
            <v>2</v>
          </cell>
          <cell r="M187">
            <v>2</v>
          </cell>
          <cell r="N187">
            <v>0</v>
          </cell>
          <cell r="O187">
            <v>23</v>
          </cell>
          <cell r="P187">
            <v>37</v>
          </cell>
          <cell r="Q187">
            <v>38</v>
          </cell>
          <cell r="R187">
            <v>4.5</v>
          </cell>
          <cell r="S187">
            <v>0</v>
          </cell>
          <cell r="T187">
            <v>14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7</v>
          </cell>
          <cell r="Z187">
            <v>2</v>
          </cell>
          <cell r="AA187">
            <v>5</v>
          </cell>
          <cell r="AB187">
            <v>0</v>
          </cell>
          <cell r="AC187">
            <v>3</v>
          </cell>
          <cell r="AD187">
            <v>16</v>
          </cell>
          <cell r="AE187">
            <v>1</v>
          </cell>
          <cell r="AF187"/>
          <cell r="AG187"/>
          <cell r="AH187"/>
          <cell r="AI187">
            <v>198.5</v>
          </cell>
          <cell r="AJ187">
            <v>38</v>
          </cell>
          <cell r="AK187">
            <v>18</v>
          </cell>
        </row>
        <row r="188">
          <cell r="C188">
            <v>350602002</v>
          </cell>
          <cell r="D188">
            <v>2</v>
          </cell>
          <cell r="E188">
            <v>4</v>
          </cell>
          <cell r="F188">
            <v>0</v>
          </cell>
          <cell r="G188">
            <v>3</v>
          </cell>
          <cell r="H188">
            <v>4</v>
          </cell>
          <cell r="I188">
            <v>0</v>
          </cell>
          <cell r="J188">
            <v>5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3</v>
          </cell>
          <cell r="P188">
            <v>16</v>
          </cell>
          <cell r="Q188">
            <v>5</v>
          </cell>
          <cell r="R188">
            <v>3</v>
          </cell>
          <cell r="S188">
            <v>0</v>
          </cell>
          <cell r="T188">
            <v>6</v>
          </cell>
          <cell r="U188">
            <v>1</v>
          </cell>
          <cell r="V188">
            <v>0</v>
          </cell>
          <cell r="W188">
            <v>0</v>
          </cell>
          <cell r="X188">
            <v>0</v>
          </cell>
          <cell r="Y188">
            <v>5</v>
          </cell>
          <cell r="Z188">
            <v>0</v>
          </cell>
          <cell r="AA188">
            <v>4</v>
          </cell>
          <cell r="AB188">
            <v>0</v>
          </cell>
          <cell r="AC188">
            <v>1</v>
          </cell>
          <cell r="AD188">
            <v>29</v>
          </cell>
          <cell r="AE188">
            <v>11</v>
          </cell>
          <cell r="AF188"/>
          <cell r="AG188"/>
          <cell r="AH188"/>
          <cell r="AI188">
            <v>102</v>
          </cell>
          <cell r="AJ188">
            <v>29</v>
          </cell>
          <cell r="AK188">
            <v>16</v>
          </cell>
        </row>
        <row r="189">
          <cell r="C189">
            <v>350602003</v>
          </cell>
          <cell r="D189">
            <v>1</v>
          </cell>
          <cell r="E189">
            <v>0</v>
          </cell>
          <cell r="F189">
            <v>0</v>
          </cell>
          <cell r="G189">
            <v>9</v>
          </cell>
          <cell r="H189">
            <v>0</v>
          </cell>
          <cell r="I189">
            <v>2</v>
          </cell>
          <cell r="J189">
            <v>24</v>
          </cell>
          <cell r="K189">
            <v>1</v>
          </cell>
          <cell r="L189">
            <v>6</v>
          </cell>
          <cell r="M189">
            <v>14</v>
          </cell>
          <cell r="N189">
            <v>0</v>
          </cell>
          <cell r="O189">
            <v>2</v>
          </cell>
          <cell r="P189">
            <v>57</v>
          </cell>
          <cell r="Q189">
            <v>0</v>
          </cell>
          <cell r="R189">
            <v>14</v>
          </cell>
          <cell r="S189">
            <v>0</v>
          </cell>
          <cell r="T189">
            <v>71</v>
          </cell>
          <cell r="U189">
            <v>8</v>
          </cell>
          <cell r="V189">
            <v>0</v>
          </cell>
          <cell r="W189">
            <v>0</v>
          </cell>
          <cell r="X189">
            <v>0</v>
          </cell>
          <cell r="Y189">
            <v>8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14</v>
          </cell>
          <cell r="AE189">
            <v>38</v>
          </cell>
          <cell r="AF189"/>
          <cell r="AG189"/>
          <cell r="AH189"/>
          <cell r="AI189">
            <v>269</v>
          </cell>
          <cell r="AJ189">
            <v>71</v>
          </cell>
          <cell r="AK189">
            <v>15</v>
          </cell>
        </row>
        <row r="190">
          <cell r="C190">
            <v>350602004</v>
          </cell>
          <cell r="D190">
            <v>2</v>
          </cell>
          <cell r="E190">
            <v>0</v>
          </cell>
          <cell r="F190">
            <v>0</v>
          </cell>
          <cell r="G190">
            <v>8</v>
          </cell>
          <cell r="H190">
            <v>2</v>
          </cell>
          <cell r="I190">
            <v>0</v>
          </cell>
          <cell r="J190">
            <v>24</v>
          </cell>
          <cell r="K190">
            <v>0</v>
          </cell>
          <cell r="L190">
            <v>3</v>
          </cell>
          <cell r="M190">
            <v>6</v>
          </cell>
          <cell r="N190">
            <v>0</v>
          </cell>
          <cell r="O190">
            <v>4</v>
          </cell>
          <cell r="P190">
            <v>32</v>
          </cell>
          <cell r="Q190">
            <v>1</v>
          </cell>
          <cell r="R190">
            <v>12</v>
          </cell>
          <cell r="S190">
            <v>3</v>
          </cell>
          <cell r="T190">
            <v>47</v>
          </cell>
          <cell r="U190">
            <v>29</v>
          </cell>
          <cell r="V190">
            <v>2</v>
          </cell>
          <cell r="W190">
            <v>0</v>
          </cell>
          <cell r="X190">
            <v>0</v>
          </cell>
          <cell r="Y190">
            <v>8</v>
          </cell>
          <cell r="Z190">
            <v>0</v>
          </cell>
          <cell r="AA190">
            <v>0</v>
          </cell>
          <cell r="AB190">
            <v>0</v>
          </cell>
          <cell r="AC190">
            <v>2</v>
          </cell>
          <cell r="AD190">
            <v>21</v>
          </cell>
          <cell r="AE190">
            <v>23</v>
          </cell>
          <cell r="AF190"/>
          <cell r="AG190"/>
          <cell r="AH190"/>
          <cell r="AI190">
            <v>229</v>
          </cell>
          <cell r="AJ190">
            <v>47</v>
          </cell>
          <cell r="AK190">
            <v>18</v>
          </cell>
        </row>
        <row r="191">
          <cell r="C191">
            <v>350602005</v>
          </cell>
          <cell r="D191">
            <v>0</v>
          </cell>
          <cell r="E191">
            <v>0</v>
          </cell>
          <cell r="F191">
            <v>0</v>
          </cell>
          <cell r="G191">
            <v>8</v>
          </cell>
          <cell r="H191">
            <v>7</v>
          </cell>
          <cell r="I191">
            <v>9</v>
          </cell>
          <cell r="J191">
            <v>46</v>
          </cell>
          <cell r="K191">
            <v>0</v>
          </cell>
          <cell r="L191">
            <v>5</v>
          </cell>
          <cell r="M191">
            <v>9</v>
          </cell>
          <cell r="N191">
            <v>0</v>
          </cell>
          <cell r="O191">
            <v>6</v>
          </cell>
          <cell r="P191">
            <v>23</v>
          </cell>
          <cell r="Q191">
            <v>2</v>
          </cell>
          <cell r="R191">
            <v>33</v>
          </cell>
          <cell r="S191">
            <v>0</v>
          </cell>
          <cell r="T191">
            <v>35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88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31</v>
          </cell>
          <cell r="AE191">
            <v>5</v>
          </cell>
          <cell r="AF191"/>
          <cell r="AG191"/>
          <cell r="AH191"/>
          <cell r="AI191">
            <v>307</v>
          </cell>
          <cell r="AJ191">
            <v>88</v>
          </cell>
          <cell r="AK191">
            <v>14</v>
          </cell>
        </row>
        <row r="192">
          <cell r="C192">
            <v>350602006</v>
          </cell>
          <cell r="D192">
            <v>5</v>
          </cell>
          <cell r="E192">
            <v>2</v>
          </cell>
          <cell r="F192">
            <v>0</v>
          </cell>
          <cell r="G192">
            <v>3</v>
          </cell>
          <cell r="H192">
            <v>6</v>
          </cell>
          <cell r="I192">
            <v>0</v>
          </cell>
          <cell r="J192">
            <v>14</v>
          </cell>
          <cell r="K192">
            <v>0</v>
          </cell>
          <cell r="L192">
            <v>1</v>
          </cell>
          <cell r="M192">
            <v>1</v>
          </cell>
          <cell r="N192">
            <v>0</v>
          </cell>
          <cell r="O192">
            <v>29</v>
          </cell>
          <cell r="P192">
            <v>53</v>
          </cell>
          <cell r="Q192">
            <v>12</v>
          </cell>
          <cell r="R192">
            <v>19</v>
          </cell>
          <cell r="S192">
            <v>0</v>
          </cell>
          <cell r="T192">
            <v>33</v>
          </cell>
          <cell r="U192">
            <v>3</v>
          </cell>
          <cell r="V192">
            <v>0</v>
          </cell>
          <cell r="W192">
            <v>0</v>
          </cell>
          <cell r="X192">
            <v>0</v>
          </cell>
          <cell r="Y192">
            <v>20</v>
          </cell>
          <cell r="Z192">
            <v>0</v>
          </cell>
          <cell r="AA192">
            <v>0</v>
          </cell>
          <cell r="AB192">
            <v>0</v>
          </cell>
          <cell r="AC192">
            <v>2</v>
          </cell>
          <cell r="AD192">
            <v>31</v>
          </cell>
          <cell r="AE192">
            <v>1</v>
          </cell>
          <cell r="AF192"/>
          <cell r="AG192"/>
          <cell r="AH192"/>
          <cell r="AI192">
            <v>235</v>
          </cell>
          <cell r="AJ192">
            <v>53</v>
          </cell>
          <cell r="AK192">
            <v>17</v>
          </cell>
        </row>
        <row r="193">
          <cell r="C193">
            <v>350602007</v>
          </cell>
          <cell r="D193">
            <v>13</v>
          </cell>
          <cell r="E193">
            <v>5</v>
          </cell>
          <cell r="F193">
            <v>0</v>
          </cell>
          <cell r="G193">
            <v>8</v>
          </cell>
          <cell r="H193">
            <v>17</v>
          </cell>
          <cell r="I193">
            <v>0</v>
          </cell>
          <cell r="J193">
            <v>91</v>
          </cell>
          <cell r="K193">
            <v>0</v>
          </cell>
          <cell r="L193">
            <v>2</v>
          </cell>
          <cell r="M193">
            <v>31</v>
          </cell>
          <cell r="N193">
            <v>0</v>
          </cell>
          <cell r="O193">
            <v>13</v>
          </cell>
          <cell r="P193">
            <v>131</v>
          </cell>
          <cell r="Q193">
            <v>145</v>
          </cell>
          <cell r="R193">
            <v>17</v>
          </cell>
          <cell r="S193">
            <v>0</v>
          </cell>
          <cell r="T193">
            <v>21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17</v>
          </cell>
          <cell r="Z193">
            <v>0</v>
          </cell>
          <cell r="AA193">
            <v>0</v>
          </cell>
          <cell r="AB193">
            <v>0</v>
          </cell>
          <cell r="AC193">
            <v>4</v>
          </cell>
          <cell r="AD193">
            <v>26</v>
          </cell>
          <cell r="AE193">
            <v>0</v>
          </cell>
          <cell r="AF193"/>
          <cell r="AG193"/>
          <cell r="AH193"/>
          <cell r="AI193">
            <v>541</v>
          </cell>
          <cell r="AJ193">
            <v>145</v>
          </cell>
          <cell r="AK193">
            <v>15</v>
          </cell>
        </row>
        <row r="194">
          <cell r="C194">
            <v>350602008</v>
          </cell>
          <cell r="D194">
            <v>18</v>
          </cell>
          <cell r="E194">
            <v>10</v>
          </cell>
          <cell r="F194">
            <v>0</v>
          </cell>
          <cell r="G194">
            <v>4</v>
          </cell>
          <cell r="H194">
            <v>4</v>
          </cell>
          <cell r="I194">
            <v>3</v>
          </cell>
          <cell r="J194">
            <v>76</v>
          </cell>
          <cell r="K194">
            <v>0</v>
          </cell>
          <cell r="L194">
            <v>3</v>
          </cell>
          <cell r="M194">
            <v>13</v>
          </cell>
          <cell r="N194">
            <v>0</v>
          </cell>
          <cell r="O194">
            <v>9</v>
          </cell>
          <cell r="P194">
            <v>70</v>
          </cell>
          <cell r="Q194">
            <v>36</v>
          </cell>
          <cell r="R194">
            <v>8</v>
          </cell>
          <cell r="S194">
            <v>0</v>
          </cell>
          <cell r="T194">
            <v>8</v>
          </cell>
          <cell r="U194">
            <v>10</v>
          </cell>
          <cell r="V194">
            <v>0</v>
          </cell>
          <cell r="W194">
            <v>0</v>
          </cell>
          <cell r="X194">
            <v>0</v>
          </cell>
          <cell r="Y194">
            <v>12</v>
          </cell>
          <cell r="Z194">
            <v>2</v>
          </cell>
          <cell r="AA194">
            <v>0</v>
          </cell>
          <cell r="AB194">
            <v>6</v>
          </cell>
          <cell r="AC194">
            <v>12</v>
          </cell>
          <cell r="AD194">
            <v>30</v>
          </cell>
          <cell r="AE194">
            <v>0</v>
          </cell>
          <cell r="AF194"/>
          <cell r="AG194"/>
          <cell r="AH194"/>
          <cell r="AI194">
            <v>334</v>
          </cell>
          <cell r="AJ194">
            <v>76</v>
          </cell>
          <cell r="AK194">
            <v>19</v>
          </cell>
        </row>
        <row r="195">
          <cell r="C195">
            <v>350602009</v>
          </cell>
          <cell r="D195">
            <v>22</v>
          </cell>
          <cell r="E195">
            <v>7</v>
          </cell>
          <cell r="F195">
            <v>0</v>
          </cell>
          <cell r="G195">
            <v>4</v>
          </cell>
          <cell r="H195">
            <v>2</v>
          </cell>
          <cell r="I195">
            <v>0</v>
          </cell>
          <cell r="J195">
            <v>60</v>
          </cell>
          <cell r="K195">
            <v>0</v>
          </cell>
          <cell r="L195">
            <v>2</v>
          </cell>
          <cell r="M195">
            <v>9</v>
          </cell>
          <cell r="N195">
            <v>1</v>
          </cell>
          <cell r="O195">
            <v>5</v>
          </cell>
          <cell r="P195">
            <v>60</v>
          </cell>
          <cell r="Q195">
            <v>25</v>
          </cell>
          <cell r="R195">
            <v>7</v>
          </cell>
          <cell r="S195">
            <v>0</v>
          </cell>
          <cell r="T195">
            <v>21</v>
          </cell>
          <cell r="U195">
            <v>2</v>
          </cell>
          <cell r="V195">
            <v>0</v>
          </cell>
          <cell r="W195">
            <v>0</v>
          </cell>
          <cell r="X195">
            <v>0</v>
          </cell>
          <cell r="Y195">
            <v>8</v>
          </cell>
          <cell r="Z195">
            <v>1</v>
          </cell>
          <cell r="AA195">
            <v>0</v>
          </cell>
          <cell r="AB195">
            <v>2</v>
          </cell>
          <cell r="AC195">
            <v>14</v>
          </cell>
          <cell r="AD195">
            <v>16</v>
          </cell>
          <cell r="AE195">
            <v>0</v>
          </cell>
          <cell r="AF195"/>
          <cell r="AG195"/>
          <cell r="AH195"/>
          <cell r="AI195">
            <v>268</v>
          </cell>
          <cell r="AJ195">
            <v>60</v>
          </cell>
          <cell r="AK195">
            <v>19</v>
          </cell>
        </row>
        <row r="196">
          <cell r="C196">
            <v>350602010</v>
          </cell>
          <cell r="D196">
            <v>25</v>
          </cell>
          <cell r="E196">
            <v>20</v>
          </cell>
          <cell r="F196">
            <v>0</v>
          </cell>
          <cell r="G196">
            <v>10</v>
          </cell>
          <cell r="H196">
            <v>15</v>
          </cell>
          <cell r="I196">
            <v>0</v>
          </cell>
          <cell r="J196">
            <v>20</v>
          </cell>
          <cell r="K196">
            <v>15</v>
          </cell>
          <cell r="L196">
            <v>0</v>
          </cell>
          <cell r="M196">
            <v>2</v>
          </cell>
          <cell r="N196">
            <v>3</v>
          </cell>
          <cell r="O196">
            <v>6</v>
          </cell>
          <cell r="P196">
            <v>23</v>
          </cell>
          <cell r="Q196">
            <v>35</v>
          </cell>
          <cell r="R196">
            <v>7</v>
          </cell>
          <cell r="S196">
            <v>0</v>
          </cell>
          <cell r="T196">
            <v>1</v>
          </cell>
          <cell r="U196">
            <v>16</v>
          </cell>
          <cell r="V196">
            <v>22</v>
          </cell>
          <cell r="W196">
            <v>7</v>
          </cell>
          <cell r="X196">
            <v>0</v>
          </cell>
          <cell r="Y196">
            <v>11</v>
          </cell>
          <cell r="Z196">
            <v>0</v>
          </cell>
          <cell r="AA196">
            <v>0</v>
          </cell>
          <cell r="AB196">
            <v>22</v>
          </cell>
          <cell r="AC196">
            <v>0</v>
          </cell>
          <cell r="AD196">
            <v>0</v>
          </cell>
          <cell r="AE196">
            <v>0</v>
          </cell>
          <cell r="AF196"/>
          <cell r="AG196"/>
          <cell r="AH196"/>
          <cell r="AI196">
            <v>260</v>
          </cell>
          <cell r="AJ196">
            <v>35</v>
          </cell>
          <cell r="AK196">
            <v>18</v>
          </cell>
        </row>
        <row r="197">
          <cell r="C197">
            <v>350602011</v>
          </cell>
          <cell r="D197">
            <v>0</v>
          </cell>
          <cell r="E197">
            <v>11</v>
          </cell>
          <cell r="F197">
            <v>0</v>
          </cell>
          <cell r="G197">
            <v>15</v>
          </cell>
          <cell r="H197">
            <v>0</v>
          </cell>
          <cell r="I197">
            <v>0</v>
          </cell>
          <cell r="J197">
            <v>8</v>
          </cell>
          <cell r="K197">
            <v>10</v>
          </cell>
          <cell r="L197">
            <v>6</v>
          </cell>
          <cell r="M197">
            <v>0</v>
          </cell>
          <cell r="N197">
            <v>0</v>
          </cell>
          <cell r="O197">
            <v>38</v>
          </cell>
          <cell r="P197">
            <v>49</v>
          </cell>
          <cell r="Q197">
            <v>57</v>
          </cell>
          <cell r="R197">
            <v>14</v>
          </cell>
          <cell r="S197">
            <v>0</v>
          </cell>
          <cell r="T197">
            <v>5</v>
          </cell>
          <cell r="U197">
            <v>0</v>
          </cell>
          <cell r="V197">
            <v>5</v>
          </cell>
          <cell r="W197">
            <v>3</v>
          </cell>
          <cell r="X197">
            <v>0</v>
          </cell>
          <cell r="Y197">
            <v>6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47</v>
          </cell>
          <cell r="AE197">
            <v>16</v>
          </cell>
          <cell r="AF197"/>
          <cell r="AG197"/>
          <cell r="AH197"/>
          <cell r="AI197">
            <v>290</v>
          </cell>
          <cell r="AJ197">
            <v>57</v>
          </cell>
          <cell r="AK197">
            <v>15</v>
          </cell>
        </row>
        <row r="198">
          <cell r="C198">
            <v>350602012</v>
          </cell>
          <cell r="D198">
            <v>27</v>
          </cell>
          <cell r="E198">
            <v>20</v>
          </cell>
          <cell r="F198">
            <v>0</v>
          </cell>
          <cell r="G198">
            <v>5</v>
          </cell>
          <cell r="H198">
            <v>8</v>
          </cell>
          <cell r="I198">
            <v>0</v>
          </cell>
          <cell r="J198">
            <v>9</v>
          </cell>
          <cell r="K198">
            <v>0</v>
          </cell>
          <cell r="L198">
            <v>9</v>
          </cell>
          <cell r="M198">
            <v>10</v>
          </cell>
          <cell r="N198">
            <v>2</v>
          </cell>
          <cell r="O198">
            <v>21</v>
          </cell>
          <cell r="P198">
            <v>33</v>
          </cell>
          <cell r="Q198">
            <v>35</v>
          </cell>
          <cell r="R198">
            <v>10</v>
          </cell>
          <cell r="S198">
            <v>1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10</v>
          </cell>
          <cell r="Z198">
            <v>0</v>
          </cell>
          <cell r="AA198">
            <v>0</v>
          </cell>
          <cell r="AB198">
            <v>0</v>
          </cell>
          <cell r="AC198">
            <v>8</v>
          </cell>
          <cell r="AD198">
            <v>33</v>
          </cell>
          <cell r="AE198">
            <v>0</v>
          </cell>
          <cell r="AF198"/>
          <cell r="AG198"/>
          <cell r="AH198"/>
          <cell r="AI198">
            <v>241</v>
          </cell>
          <cell r="AJ198">
            <v>35</v>
          </cell>
          <cell r="AK198">
            <v>16</v>
          </cell>
        </row>
        <row r="199">
          <cell r="C199">
            <v>350602013</v>
          </cell>
          <cell r="D199">
            <v>6</v>
          </cell>
          <cell r="E199">
            <v>2</v>
          </cell>
          <cell r="F199">
            <v>4</v>
          </cell>
          <cell r="G199">
            <v>5</v>
          </cell>
          <cell r="H199">
            <v>3</v>
          </cell>
          <cell r="I199">
            <v>3</v>
          </cell>
          <cell r="J199">
            <v>2</v>
          </cell>
          <cell r="K199">
            <v>0</v>
          </cell>
          <cell r="L199">
            <v>2</v>
          </cell>
          <cell r="M199">
            <v>10</v>
          </cell>
          <cell r="N199">
            <v>0</v>
          </cell>
          <cell r="O199">
            <v>11</v>
          </cell>
          <cell r="P199">
            <v>35</v>
          </cell>
          <cell r="Q199">
            <v>155</v>
          </cell>
          <cell r="R199">
            <v>6</v>
          </cell>
          <cell r="S199">
            <v>0</v>
          </cell>
          <cell r="T199">
            <v>2</v>
          </cell>
          <cell r="U199">
            <v>0</v>
          </cell>
          <cell r="V199">
            <v>1</v>
          </cell>
          <cell r="W199">
            <v>5</v>
          </cell>
          <cell r="X199">
            <v>0</v>
          </cell>
          <cell r="Y199">
            <v>27</v>
          </cell>
          <cell r="Z199">
            <v>0</v>
          </cell>
          <cell r="AA199">
            <v>6</v>
          </cell>
          <cell r="AB199">
            <v>0</v>
          </cell>
          <cell r="AC199">
            <v>1</v>
          </cell>
          <cell r="AD199">
            <v>46</v>
          </cell>
          <cell r="AE199">
            <v>4</v>
          </cell>
          <cell r="AF199"/>
          <cell r="AG199"/>
          <cell r="AH199"/>
          <cell r="AI199">
            <v>336</v>
          </cell>
          <cell r="AJ199">
            <v>155</v>
          </cell>
          <cell r="AK199">
            <v>21</v>
          </cell>
        </row>
        <row r="200">
          <cell r="C200">
            <v>350602014</v>
          </cell>
          <cell r="D200">
            <v>2</v>
          </cell>
          <cell r="E200">
            <v>0</v>
          </cell>
          <cell r="F200">
            <v>6</v>
          </cell>
          <cell r="G200">
            <v>17</v>
          </cell>
          <cell r="H200">
            <v>4</v>
          </cell>
          <cell r="I200">
            <v>1</v>
          </cell>
          <cell r="J200">
            <v>4</v>
          </cell>
          <cell r="K200">
            <v>1</v>
          </cell>
          <cell r="L200">
            <v>1</v>
          </cell>
          <cell r="M200">
            <v>12</v>
          </cell>
          <cell r="N200">
            <v>1</v>
          </cell>
          <cell r="O200">
            <v>7</v>
          </cell>
          <cell r="P200">
            <v>20</v>
          </cell>
          <cell r="Q200">
            <v>52</v>
          </cell>
          <cell r="R200">
            <v>15</v>
          </cell>
          <cell r="S200">
            <v>2</v>
          </cell>
          <cell r="T200">
            <v>1</v>
          </cell>
          <cell r="U200">
            <v>0</v>
          </cell>
          <cell r="V200">
            <v>3</v>
          </cell>
          <cell r="W200">
            <v>39</v>
          </cell>
          <cell r="X200">
            <v>0</v>
          </cell>
          <cell r="Y200">
            <v>5</v>
          </cell>
          <cell r="Z200">
            <v>6</v>
          </cell>
          <cell r="AA200">
            <v>2</v>
          </cell>
          <cell r="AB200">
            <v>2</v>
          </cell>
          <cell r="AC200">
            <v>0</v>
          </cell>
          <cell r="AD200">
            <v>72</v>
          </cell>
          <cell r="AE200">
            <v>1</v>
          </cell>
          <cell r="AF200"/>
          <cell r="AG200"/>
          <cell r="AH200"/>
          <cell r="AI200">
            <v>276</v>
          </cell>
          <cell r="AJ200">
            <v>72</v>
          </cell>
          <cell r="AK200">
            <v>24</v>
          </cell>
        </row>
        <row r="201">
          <cell r="C201">
            <v>350602015</v>
          </cell>
          <cell r="D201">
            <v>2</v>
          </cell>
          <cell r="E201">
            <v>0</v>
          </cell>
          <cell r="F201">
            <v>0</v>
          </cell>
          <cell r="G201">
            <v>2</v>
          </cell>
          <cell r="H201">
            <v>0</v>
          </cell>
          <cell r="I201">
            <v>0</v>
          </cell>
          <cell r="J201">
            <v>21</v>
          </cell>
          <cell r="K201">
            <v>0</v>
          </cell>
          <cell r="L201">
            <v>5</v>
          </cell>
          <cell r="M201">
            <v>32</v>
          </cell>
          <cell r="N201">
            <v>0</v>
          </cell>
          <cell r="O201">
            <v>0</v>
          </cell>
          <cell r="P201">
            <v>52</v>
          </cell>
          <cell r="Q201">
            <v>0</v>
          </cell>
          <cell r="R201">
            <v>19</v>
          </cell>
          <cell r="S201">
            <v>3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4</v>
          </cell>
          <cell r="AA201">
            <v>0</v>
          </cell>
          <cell r="AB201">
            <v>0</v>
          </cell>
          <cell r="AC201">
            <v>11</v>
          </cell>
          <cell r="AD201">
            <v>9</v>
          </cell>
          <cell r="AE201">
            <v>34</v>
          </cell>
          <cell r="AF201"/>
          <cell r="AG201"/>
          <cell r="AH201"/>
          <cell r="AI201">
            <v>194</v>
          </cell>
          <cell r="AJ201">
            <v>52</v>
          </cell>
          <cell r="AK201">
            <v>12</v>
          </cell>
        </row>
        <row r="202">
          <cell r="C202">
            <v>350602016</v>
          </cell>
          <cell r="D202">
            <v>2</v>
          </cell>
          <cell r="E202">
            <v>0</v>
          </cell>
          <cell r="F202">
            <v>0</v>
          </cell>
          <cell r="G202">
            <v>3</v>
          </cell>
          <cell r="H202">
            <v>1</v>
          </cell>
          <cell r="I202">
            <v>0</v>
          </cell>
          <cell r="J202">
            <v>53</v>
          </cell>
          <cell r="K202">
            <v>2</v>
          </cell>
          <cell r="L202">
            <v>21</v>
          </cell>
          <cell r="M202">
            <v>60</v>
          </cell>
          <cell r="N202">
            <v>0</v>
          </cell>
          <cell r="O202">
            <v>2</v>
          </cell>
          <cell r="P202">
            <v>70</v>
          </cell>
          <cell r="Q202">
            <v>0</v>
          </cell>
          <cell r="R202">
            <v>23</v>
          </cell>
          <cell r="S202">
            <v>0</v>
          </cell>
          <cell r="T202">
            <v>5</v>
          </cell>
          <cell r="U202">
            <v>0</v>
          </cell>
          <cell r="V202">
            <v>3</v>
          </cell>
          <cell r="W202">
            <v>0</v>
          </cell>
          <cell r="X202">
            <v>0</v>
          </cell>
          <cell r="Y202">
            <v>9</v>
          </cell>
          <cell r="Z202">
            <v>0</v>
          </cell>
          <cell r="AA202">
            <v>0</v>
          </cell>
          <cell r="AB202">
            <v>0</v>
          </cell>
          <cell r="AC202">
            <v>13</v>
          </cell>
          <cell r="AD202">
            <v>15</v>
          </cell>
          <cell r="AE202">
            <v>24</v>
          </cell>
          <cell r="AF202"/>
          <cell r="AG202"/>
          <cell r="AH202"/>
          <cell r="AI202">
            <v>306</v>
          </cell>
          <cell r="AJ202">
            <v>70</v>
          </cell>
          <cell r="AK202">
            <v>16</v>
          </cell>
        </row>
        <row r="203">
          <cell r="C203">
            <v>350602017</v>
          </cell>
          <cell r="D203">
            <v>5</v>
          </cell>
          <cell r="E203">
            <v>2</v>
          </cell>
          <cell r="F203">
            <v>0</v>
          </cell>
          <cell r="G203">
            <v>16</v>
          </cell>
          <cell r="H203">
            <v>2</v>
          </cell>
          <cell r="I203">
            <v>0</v>
          </cell>
          <cell r="J203">
            <v>4</v>
          </cell>
          <cell r="K203">
            <v>0</v>
          </cell>
          <cell r="L203">
            <v>0</v>
          </cell>
          <cell r="M203">
            <v>5</v>
          </cell>
          <cell r="N203">
            <v>0</v>
          </cell>
          <cell r="O203">
            <v>1</v>
          </cell>
          <cell r="P203">
            <v>52</v>
          </cell>
          <cell r="Q203">
            <v>7</v>
          </cell>
          <cell r="R203">
            <v>3</v>
          </cell>
          <cell r="S203">
            <v>0</v>
          </cell>
          <cell r="T203">
            <v>22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7</v>
          </cell>
          <cell r="Z203">
            <v>0</v>
          </cell>
          <cell r="AA203">
            <v>0</v>
          </cell>
          <cell r="AB203">
            <v>0</v>
          </cell>
          <cell r="AC203">
            <v>6</v>
          </cell>
          <cell r="AD203">
            <v>20</v>
          </cell>
          <cell r="AE203">
            <v>6</v>
          </cell>
          <cell r="AF203"/>
          <cell r="AG203"/>
          <cell r="AH203"/>
          <cell r="AI203">
            <v>158</v>
          </cell>
          <cell r="AJ203">
            <v>52</v>
          </cell>
          <cell r="AK203">
            <v>15</v>
          </cell>
        </row>
        <row r="204">
          <cell r="C204">
            <v>350602018</v>
          </cell>
          <cell r="D204">
            <v>24</v>
          </cell>
          <cell r="E204">
            <v>14</v>
          </cell>
          <cell r="F204">
            <v>0</v>
          </cell>
          <cell r="G204">
            <v>5</v>
          </cell>
          <cell r="H204">
            <v>2</v>
          </cell>
          <cell r="I204">
            <v>0</v>
          </cell>
          <cell r="J204">
            <v>80</v>
          </cell>
          <cell r="K204">
            <v>0</v>
          </cell>
          <cell r="L204">
            <v>0</v>
          </cell>
          <cell r="M204">
            <v>25</v>
          </cell>
          <cell r="N204">
            <v>0</v>
          </cell>
          <cell r="O204">
            <v>11</v>
          </cell>
          <cell r="P204">
            <v>69</v>
          </cell>
          <cell r="Q204">
            <v>45</v>
          </cell>
          <cell r="R204">
            <v>10</v>
          </cell>
          <cell r="S204">
            <v>0</v>
          </cell>
          <cell r="T204">
            <v>17</v>
          </cell>
          <cell r="U204">
            <v>4</v>
          </cell>
          <cell r="V204">
            <v>0</v>
          </cell>
          <cell r="W204">
            <v>0</v>
          </cell>
          <cell r="X204">
            <v>0</v>
          </cell>
          <cell r="Y204">
            <v>15</v>
          </cell>
          <cell r="Z204">
            <v>1</v>
          </cell>
          <cell r="AA204">
            <v>0</v>
          </cell>
          <cell r="AB204">
            <v>0</v>
          </cell>
          <cell r="AC204">
            <v>14</v>
          </cell>
          <cell r="AD204">
            <v>11</v>
          </cell>
          <cell r="AE204">
            <v>0</v>
          </cell>
          <cell r="AF204"/>
          <cell r="AG204"/>
          <cell r="AH204"/>
          <cell r="AI204">
            <v>347</v>
          </cell>
          <cell r="AJ204">
            <v>80</v>
          </cell>
          <cell r="AK204">
            <v>16</v>
          </cell>
        </row>
        <row r="205">
          <cell r="C205">
            <v>350602019</v>
          </cell>
          <cell r="D205">
            <v>23</v>
          </cell>
          <cell r="E205">
            <v>35</v>
          </cell>
          <cell r="F205">
            <v>0</v>
          </cell>
          <cell r="G205">
            <v>8</v>
          </cell>
          <cell r="H205">
            <v>8</v>
          </cell>
          <cell r="I205">
            <v>0</v>
          </cell>
          <cell r="J205">
            <v>49</v>
          </cell>
          <cell r="K205">
            <v>0</v>
          </cell>
          <cell r="L205">
            <v>19</v>
          </cell>
          <cell r="M205">
            <v>3</v>
          </cell>
          <cell r="N205">
            <v>0</v>
          </cell>
          <cell r="O205">
            <v>24</v>
          </cell>
          <cell r="P205">
            <v>43</v>
          </cell>
          <cell r="Q205">
            <v>88</v>
          </cell>
          <cell r="R205">
            <v>9</v>
          </cell>
          <cell r="S205">
            <v>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45</v>
          </cell>
          <cell r="Z205">
            <v>0</v>
          </cell>
          <cell r="AA205">
            <v>0</v>
          </cell>
          <cell r="AB205">
            <v>0</v>
          </cell>
          <cell r="AC205">
            <v>14</v>
          </cell>
          <cell r="AD205">
            <v>23</v>
          </cell>
          <cell r="AE205">
            <v>0</v>
          </cell>
          <cell r="AF205"/>
          <cell r="AG205"/>
          <cell r="AH205"/>
          <cell r="AI205">
            <v>392</v>
          </cell>
          <cell r="AJ205">
            <v>88</v>
          </cell>
          <cell r="AK205">
            <v>15</v>
          </cell>
        </row>
        <row r="206">
          <cell r="C206">
            <v>350602020</v>
          </cell>
          <cell r="D206">
            <v>9</v>
          </cell>
          <cell r="E206">
            <v>0</v>
          </cell>
          <cell r="F206">
            <v>0</v>
          </cell>
          <cell r="G206">
            <v>14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</v>
          </cell>
          <cell r="M206">
            <v>20</v>
          </cell>
          <cell r="N206">
            <v>0</v>
          </cell>
          <cell r="O206">
            <v>0</v>
          </cell>
          <cell r="P206">
            <v>25</v>
          </cell>
          <cell r="Q206">
            <v>110</v>
          </cell>
          <cell r="R206">
            <v>5</v>
          </cell>
          <cell r="S206">
            <v>0</v>
          </cell>
          <cell r="T206">
            <v>0</v>
          </cell>
          <cell r="U206">
            <v>2</v>
          </cell>
          <cell r="V206">
            <v>0</v>
          </cell>
          <cell r="W206">
            <v>8</v>
          </cell>
          <cell r="X206">
            <v>0</v>
          </cell>
          <cell r="Y206">
            <v>0</v>
          </cell>
          <cell r="Z206">
            <v>12</v>
          </cell>
          <cell r="AA206">
            <v>0</v>
          </cell>
          <cell r="AB206">
            <v>0</v>
          </cell>
          <cell r="AC206">
            <v>0</v>
          </cell>
          <cell r="AD206">
            <v>58</v>
          </cell>
          <cell r="AE206">
            <v>0</v>
          </cell>
          <cell r="AF206"/>
          <cell r="AG206"/>
          <cell r="AH206"/>
          <cell r="AI206">
            <v>268</v>
          </cell>
          <cell r="AJ206">
            <v>110</v>
          </cell>
          <cell r="AK206">
            <v>11</v>
          </cell>
        </row>
        <row r="207">
          <cell r="C207">
            <v>350602021</v>
          </cell>
          <cell r="D207">
            <v>1</v>
          </cell>
          <cell r="E207">
            <v>0</v>
          </cell>
          <cell r="F207">
            <v>1</v>
          </cell>
          <cell r="G207">
            <v>10</v>
          </cell>
          <cell r="H207">
            <v>5</v>
          </cell>
          <cell r="I207">
            <v>0</v>
          </cell>
          <cell r="J207">
            <v>2</v>
          </cell>
          <cell r="K207">
            <v>1</v>
          </cell>
          <cell r="L207">
            <v>4</v>
          </cell>
          <cell r="M207">
            <v>21</v>
          </cell>
          <cell r="N207">
            <v>1</v>
          </cell>
          <cell r="O207">
            <v>13</v>
          </cell>
          <cell r="P207">
            <v>23</v>
          </cell>
          <cell r="Q207">
            <v>66</v>
          </cell>
          <cell r="R207">
            <v>15</v>
          </cell>
          <cell r="S207">
            <v>1</v>
          </cell>
          <cell r="T207">
            <v>2</v>
          </cell>
          <cell r="U207">
            <v>0</v>
          </cell>
          <cell r="V207">
            <v>0</v>
          </cell>
          <cell r="W207">
            <v>39</v>
          </cell>
          <cell r="X207">
            <v>0</v>
          </cell>
          <cell r="Y207">
            <v>13</v>
          </cell>
          <cell r="Z207">
            <v>2</v>
          </cell>
          <cell r="AA207">
            <v>4</v>
          </cell>
          <cell r="AB207">
            <v>0</v>
          </cell>
          <cell r="AC207">
            <v>0</v>
          </cell>
          <cell r="AD207">
            <v>72</v>
          </cell>
          <cell r="AE207">
            <v>4</v>
          </cell>
          <cell r="AF207"/>
          <cell r="AG207"/>
          <cell r="AH207"/>
          <cell r="AI207">
            <v>300</v>
          </cell>
          <cell r="AJ207">
            <v>72</v>
          </cell>
          <cell r="AK207">
            <v>21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0</v>
          </cell>
          <cell r="G208">
            <v>8</v>
          </cell>
          <cell r="H208">
            <v>5</v>
          </cell>
          <cell r="I208">
            <v>1</v>
          </cell>
          <cell r="J208">
            <v>2</v>
          </cell>
          <cell r="K208">
            <v>3</v>
          </cell>
          <cell r="L208">
            <v>2</v>
          </cell>
          <cell r="M208">
            <v>4</v>
          </cell>
          <cell r="N208">
            <v>0</v>
          </cell>
          <cell r="O208">
            <v>0</v>
          </cell>
          <cell r="P208">
            <v>39</v>
          </cell>
          <cell r="Q208">
            <v>33</v>
          </cell>
          <cell r="R208">
            <v>11</v>
          </cell>
          <cell r="S208">
            <v>0</v>
          </cell>
          <cell r="T208">
            <v>0</v>
          </cell>
          <cell r="U208">
            <v>0</v>
          </cell>
          <cell r="V208">
            <v>4</v>
          </cell>
          <cell r="W208">
            <v>42</v>
          </cell>
          <cell r="X208">
            <v>0</v>
          </cell>
          <cell r="Y208">
            <v>3</v>
          </cell>
          <cell r="Z208">
            <v>5</v>
          </cell>
          <cell r="AA208">
            <v>0</v>
          </cell>
          <cell r="AB208">
            <v>0</v>
          </cell>
          <cell r="AC208">
            <v>0</v>
          </cell>
          <cell r="AD208">
            <v>68</v>
          </cell>
          <cell r="AE208">
            <v>9</v>
          </cell>
          <cell r="AF208"/>
          <cell r="AG208"/>
          <cell r="AH208"/>
          <cell r="AI208">
            <v>239</v>
          </cell>
          <cell r="AJ208">
            <v>68</v>
          </cell>
          <cell r="AK208">
            <v>16</v>
          </cell>
        </row>
        <row r="209">
          <cell r="C209">
            <v>350602023</v>
          </cell>
          <cell r="D209">
            <v>17</v>
          </cell>
          <cell r="E209">
            <v>12</v>
          </cell>
          <cell r="F209">
            <v>0</v>
          </cell>
          <cell r="G209">
            <v>6</v>
          </cell>
          <cell r="H209">
            <v>27</v>
          </cell>
          <cell r="I209">
            <v>0</v>
          </cell>
          <cell r="J209">
            <v>36</v>
          </cell>
          <cell r="K209">
            <v>1</v>
          </cell>
          <cell r="L209">
            <v>4</v>
          </cell>
          <cell r="M209">
            <v>2</v>
          </cell>
          <cell r="N209">
            <v>0</v>
          </cell>
          <cell r="O209">
            <v>0</v>
          </cell>
          <cell r="P209">
            <v>32</v>
          </cell>
          <cell r="Q209">
            <v>96</v>
          </cell>
          <cell r="R209">
            <v>13</v>
          </cell>
          <cell r="S209">
            <v>0</v>
          </cell>
          <cell r="T209">
            <v>2</v>
          </cell>
          <cell r="U209">
            <v>19</v>
          </cell>
          <cell r="V209">
            <v>0</v>
          </cell>
          <cell r="W209">
            <v>0</v>
          </cell>
          <cell r="X209">
            <v>0</v>
          </cell>
          <cell r="Y209">
            <v>14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4</v>
          </cell>
          <cell r="AE209">
            <v>0</v>
          </cell>
          <cell r="AF209"/>
          <cell r="AG209"/>
          <cell r="AH209"/>
          <cell r="AI209">
            <v>285</v>
          </cell>
          <cell r="AJ209">
            <v>96</v>
          </cell>
          <cell r="AK209">
            <v>15</v>
          </cell>
        </row>
        <row r="210">
          <cell r="C210">
            <v>350601001</v>
          </cell>
          <cell r="D210">
            <v>1</v>
          </cell>
          <cell r="E210">
            <v>9</v>
          </cell>
          <cell r="F210">
            <v>6</v>
          </cell>
          <cell r="G210">
            <v>39</v>
          </cell>
          <cell r="H210">
            <v>13</v>
          </cell>
          <cell r="I210">
            <v>16</v>
          </cell>
          <cell r="J210">
            <v>64</v>
          </cell>
          <cell r="K210">
            <v>0</v>
          </cell>
          <cell r="L210">
            <v>1</v>
          </cell>
          <cell r="M210">
            <v>0</v>
          </cell>
          <cell r="N210">
            <v>39</v>
          </cell>
          <cell r="O210">
            <v>0</v>
          </cell>
          <cell r="P210">
            <v>1.5</v>
          </cell>
          <cell r="Q210">
            <v>41</v>
          </cell>
          <cell r="R210">
            <v>89</v>
          </cell>
          <cell r="S210">
            <v>11</v>
          </cell>
          <cell r="T210">
            <v>1</v>
          </cell>
          <cell r="U210">
            <v>7</v>
          </cell>
          <cell r="V210">
            <v>0</v>
          </cell>
          <cell r="W210">
            <v>11</v>
          </cell>
          <cell r="X210">
            <v>0</v>
          </cell>
          <cell r="Y210">
            <v>13</v>
          </cell>
          <cell r="Z210">
            <v>1.5</v>
          </cell>
          <cell r="AA210">
            <v>2</v>
          </cell>
          <cell r="AB210">
            <v>10</v>
          </cell>
          <cell r="AC210">
            <v>7</v>
          </cell>
          <cell r="AD210">
            <v>4.5</v>
          </cell>
          <cell r="AE210">
            <v>3</v>
          </cell>
          <cell r="AF210"/>
          <cell r="AG210"/>
          <cell r="AH210"/>
          <cell r="AI210">
            <v>390.5</v>
          </cell>
          <cell r="AJ210">
            <v>89</v>
          </cell>
          <cell r="AK210">
            <v>23</v>
          </cell>
        </row>
        <row r="211">
          <cell r="C211">
            <v>350601002</v>
          </cell>
          <cell r="D211">
            <v>1</v>
          </cell>
          <cell r="E211">
            <v>0</v>
          </cell>
          <cell r="F211">
            <v>0</v>
          </cell>
          <cell r="G211">
            <v>38</v>
          </cell>
          <cell r="H211">
            <v>23</v>
          </cell>
          <cell r="I211">
            <v>15</v>
          </cell>
          <cell r="J211">
            <v>3</v>
          </cell>
          <cell r="K211">
            <v>0</v>
          </cell>
          <cell r="L211">
            <v>1</v>
          </cell>
          <cell r="M211">
            <v>3</v>
          </cell>
          <cell r="N211">
            <v>97</v>
          </cell>
          <cell r="O211">
            <v>0</v>
          </cell>
          <cell r="P211">
            <v>4</v>
          </cell>
          <cell r="Q211">
            <v>41</v>
          </cell>
          <cell r="R211">
            <v>91</v>
          </cell>
          <cell r="S211">
            <v>14</v>
          </cell>
          <cell r="T211">
            <v>1</v>
          </cell>
          <cell r="U211">
            <v>2</v>
          </cell>
          <cell r="V211">
            <v>0</v>
          </cell>
          <cell r="W211">
            <v>13</v>
          </cell>
          <cell r="X211">
            <v>0</v>
          </cell>
          <cell r="Y211">
            <v>11</v>
          </cell>
          <cell r="Z211">
            <v>9</v>
          </cell>
          <cell r="AA211">
            <v>8</v>
          </cell>
          <cell r="AB211">
            <v>3</v>
          </cell>
          <cell r="AC211">
            <v>4</v>
          </cell>
          <cell r="AD211">
            <v>4</v>
          </cell>
          <cell r="AE211">
            <v>1</v>
          </cell>
          <cell r="AF211"/>
          <cell r="AG211"/>
          <cell r="AH211"/>
          <cell r="AI211">
            <v>387</v>
          </cell>
          <cell r="AJ211">
            <v>97</v>
          </cell>
          <cell r="AK211">
            <v>22</v>
          </cell>
        </row>
        <row r="212">
          <cell r="C212">
            <v>350601003</v>
          </cell>
          <cell r="D212">
            <v>1</v>
          </cell>
          <cell r="E212">
            <v>0</v>
          </cell>
          <cell r="F212">
            <v>25</v>
          </cell>
          <cell r="G212">
            <v>27</v>
          </cell>
          <cell r="H212">
            <v>2</v>
          </cell>
          <cell r="I212">
            <v>25</v>
          </cell>
          <cell r="J212">
            <v>26</v>
          </cell>
          <cell r="K212">
            <v>0</v>
          </cell>
          <cell r="L212">
            <v>4</v>
          </cell>
          <cell r="M212">
            <v>1</v>
          </cell>
          <cell r="N212">
            <v>0</v>
          </cell>
          <cell r="O212">
            <v>11</v>
          </cell>
          <cell r="P212">
            <v>0</v>
          </cell>
          <cell r="Q212">
            <v>42</v>
          </cell>
          <cell r="R212">
            <v>56</v>
          </cell>
          <cell r="S212">
            <v>10</v>
          </cell>
          <cell r="T212">
            <v>25</v>
          </cell>
          <cell r="U212">
            <v>28</v>
          </cell>
          <cell r="V212">
            <v>0</v>
          </cell>
          <cell r="W212">
            <v>1</v>
          </cell>
          <cell r="X212">
            <v>20</v>
          </cell>
          <cell r="Y212">
            <v>0</v>
          </cell>
          <cell r="Z212">
            <v>0</v>
          </cell>
          <cell r="AA212">
            <v>5</v>
          </cell>
          <cell r="AB212">
            <v>21</v>
          </cell>
          <cell r="AC212">
            <v>4</v>
          </cell>
          <cell r="AD212">
            <v>0</v>
          </cell>
          <cell r="AE212">
            <v>0</v>
          </cell>
          <cell r="AF212"/>
          <cell r="AG212"/>
          <cell r="AH212"/>
          <cell r="AI212">
            <v>334</v>
          </cell>
          <cell r="AJ212">
            <v>56</v>
          </cell>
          <cell r="AK212">
            <v>19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10</v>
          </cell>
          <cell r="G213">
            <v>15</v>
          </cell>
          <cell r="H213">
            <v>1</v>
          </cell>
          <cell r="I213">
            <v>20</v>
          </cell>
          <cell r="J213">
            <v>17</v>
          </cell>
          <cell r="K213">
            <v>1</v>
          </cell>
          <cell r="L213">
            <v>3</v>
          </cell>
          <cell r="M213">
            <v>1</v>
          </cell>
          <cell r="N213">
            <v>0</v>
          </cell>
          <cell r="O213">
            <v>5</v>
          </cell>
          <cell r="P213">
            <v>1</v>
          </cell>
          <cell r="Q213">
            <v>36</v>
          </cell>
          <cell r="R213">
            <v>45</v>
          </cell>
          <cell r="S213">
            <v>8</v>
          </cell>
          <cell r="T213">
            <v>17</v>
          </cell>
          <cell r="U213">
            <v>10</v>
          </cell>
          <cell r="V213">
            <v>0</v>
          </cell>
          <cell r="W213">
            <v>2</v>
          </cell>
          <cell r="X213">
            <v>10</v>
          </cell>
          <cell r="Y213">
            <v>0</v>
          </cell>
          <cell r="Z213">
            <v>0</v>
          </cell>
          <cell r="AA213">
            <v>0</v>
          </cell>
          <cell r="AB213">
            <v>25</v>
          </cell>
          <cell r="AC213">
            <v>1</v>
          </cell>
          <cell r="AD213">
            <v>1</v>
          </cell>
          <cell r="AE213">
            <v>2</v>
          </cell>
          <cell r="AF213"/>
          <cell r="AG213"/>
          <cell r="AH213"/>
          <cell r="AI213">
            <v>231</v>
          </cell>
          <cell r="AJ213">
            <v>45</v>
          </cell>
          <cell r="AK213">
            <v>21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30</v>
          </cell>
          <cell r="H214">
            <v>10</v>
          </cell>
          <cell r="I214">
            <v>15</v>
          </cell>
          <cell r="J214">
            <v>75</v>
          </cell>
          <cell r="K214">
            <v>0</v>
          </cell>
          <cell r="L214">
            <v>0</v>
          </cell>
          <cell r="M214">
            <v>0</v>
          </cell>
          <cell r="N214">
            <v>10</v>
          </cell>
          <cell r="O214">
            <v>0</v>
          </cell>
          <cell r="P214">
            <v>6</v>
          </cell>
          <cell r="Q214">
            <v>63</v>
          </cell>
          <cell r="R214">
            <v>50</v>
          </cell>
          <cell r="S214">
            <v>20</v>
          </cell>
          <cell r="T214">
            <v>15</v>
          </cell>
          <cell r="U214">
            <v>0</v>
          </cell>
          <cell r="V214">
            <v>0</v>
          </cell>
          <cell r="W214">
            <v>18</v>
          </cell>
          <cell r="X214">
            <v>0</v>
          </cell>
          <cell r="Y214">
            <v>11</v>
          </cell>
          <cell r="Z214">
            <v>0</v>
          </cell>
          <cell r="AA214">
            <v>0</v>
          </cell>
          <cell r="AB214">
            <v>0</v>
          </cell>
          <cell r="AC214">
            <v>19</v>
          </cell>
          <cell r="AD214">
            <v>0</v>
          </cell>
          <cell r="AE214">
            <v>15</v>
          </cell>
          <cell r="AF214"/>
          <cell r="AG214"/>
          <cell r="AH214"/>
          <cell r="AI214">
            <v>357</v>
          </cell>
          <cell r="AJ214">
            <v>75</v>
          </cell>
          <cell r="AK214">
            <v>14</v>
          </cell>
        </row>
        <row r="215">
          <cell r="C215">
            <v>350601006</v>
          </cell>
          <cell r="D215">
            <v>0</v>
          </cell>
          <cell r="E215">
            <v>5</v>
          </cell>
          <cell r="F215">
            <v>2</v>
          </cell>
          <cell r="G215">
            <v>34</v>
          </cell>
          <cell r="H215">
            <v>22</v>
          </cell>
          <cell r="I215">
            <v>20</v>
          </cell>
          <cell r="J215">
            <v>50</v>
          </cell>
          <cell r="K215">
            <v>0</v>
          </cell>
          <cell r="L215">
            <v>0</v>
          </cell>
          <cell r="M215">
            <v>0</v>
          </cell>
          <cell r="N215">
            <v>53</v>
          </cell>
          <cell r="O215">
            <v>0</v>
          </cell>
          <cell r="P215">
            <v>7</v>
          </cell>
          <cell r="Q215">
            <v>43</v>
          </cell>
          <cell r="R215">
            <v>47</v>
          </cell>
          <cell r="S215">
            <v>29</v>
          </cell>
          <cell r="T215">
            <v>4</v>
          </cell>
          <cell r="U215">
            <v>5</v>
          </cell>
          <cell r="V215">
            <v>0</v>
          </cell>
          <cell r="W215">
            <v>25</v>
          </cell>
          <cell r="X215">
            <v>0</v>
          </cell>
          <cell r="Y215">
            <v>14</v>
          </cell>
          <cell r="Z215">
            <v>0</v>
          </cell>
          <cell r="AA215">
            <v>10</v>
          </cell>
          <cell r="AB215">
            <v>11</v>
          </cell>
          <cell r="AC215">
            <v>19</v>
          </cell>
          <cell r="AD215">
            <v>6</v>
          </cell>
          <cell r="AE215">
            <v>15</v>
          </cell>
          <cell r="AF215"/>
          <cell r="AG215"/>
          <cell r="AH215"/>
          <cell r="AI215">
            <v>421</v>
          </cell>
          <cell r="AJ215">
            <v>53</v>
          </cell>
          <cell r="AK215">
            <v>20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30</v>
          </cell>
          <cell r="H216">
            <v>15</v>
          </cell>
          <cell r="I216">
            <v>5</v>
          </cell>
          <cell r="J216">
            <v>60</v>
          </cell>
          <cell r="K216">
            <v>5</v>
          </cell>
          <cell r="L216">
            <v>0</v>
          </cell>
          <cell r="M216">
            <v>5</v>
          </cell>
          <cell r="N216">
            <v>0</v>
          </cell>
          <cell r="O216">
            <v>0</v>
          </cell>
          <cell r="P216">
            <v>5</v>
          </cell>
          <cell r="Q216">
            <v>40</v>
          </cell>
          <cell r="R216">
            <v>35</v>
          </cell>
          <cell r="S216">
            <v>25</v>
          </cell>
          <cell r="T216">
            <v>0</v>
          </cell>
          <cell r="U216">
            <v>5</v>
          </cell>
          <cell r="V216">
            <v>0</v>
          </cell>
          <cell r="W216">
            <v>20</v>
          </cell>
          <cell r="X216">
            <v>0</v>
          </cell>
          <cell r="Y216">
            <v>5</v>
          </cell>
          <cell r="Z216">
            <v>0</v>
          </cell>
          <cell r="AA216">
            <v>10</v>
          </cell>
          <cell r="AB216">
            <v>25</v>
          </cell>
          <cell r="AC216">
            <v>5</v>
          </cell>
          <cell r="AD216">
            <v>0</v>
          </cell>
          <cell r="AE216">
            <v>20</v>
          </cell>
          <cell r="AF216"/>
          <cell r="AG216"/>
          <cell r="AH216"/>
          <cell r="AI216">
            <v>315</v>
          </cell>
          <cell r="AJ216">
            <v>60</v>
          </cell>
          <cell r="AK216">
            <v>17</v>
          </cell>
        </row>
        <row r="217">
          <cell r="C217">
            <v>350601008</v>
          </cell>
          <cell r="D217">
            <v>0</v>
          </cell>
          <cell r="E217">
            <v>24</v>
          </cell>
          <cell r="F217">
            <v>5</v>
          </cell>
          <cell r="G217">
            <v>33</v>
          </cell>
          <cell r="H217">
            <v>20</v>
          </cell>
          <cell r="I217">
            <v>4</v>
          </cell>
          <cell r="J217">
            <v>21</v>
          </cell>
          <cell r="K217">
            <v>0</v>
          </cell>
          <cell r="L217">
            <v>32</v>
          </cell>
          <cell r="M217">
            <v>8</v>
          </cell>
          <cell r="N217">
            <v>35</v>
          </cell>
          <cell r="O217">
            <v>0</v>
          </cell>
          <cell r="P217">
            <v>3</v>
          </cell>
          <cell r="Q217">
            <v>50</v>
          </cell>
          <cell r="R217">
            <v>11</v>
          </cell>
          <cell r="S217">
            <v>18</v>
          </cell>
          <cell r="T217">
            <v>25</v>
          </cell>
          <cell r="U217">
            <v>14</v>
          </cell>
          <cell r="V217">
            <v>0</v>
          </cell>
          <cell r="W217">
            <v>3</v>
          </cell>
          <cell r="X217">
            <v>0</v>
          </cell>
          <cell r="Y217">
            <v>25</v>
          </cell>
          <cell r="Z217">
            <v>3</v>
          </cell>
          <cell r="AA217">
            <v>0</v>
          </cell>
          <cell r="AB217">
            <v>3</v>
          </cell>
          <cell r="AC217">
            <v>0</v>
          </cell>
          <cell r="AD217">
            <v>0</v>
          </cell>
          <cell r="AE217">
            <v>15</v>
          </cell>
          <cell r="AF217"/>
          <cell r="AG217"/>
          <cell r="AH217"/>
          <cell r="AI217">
            <v>352</v>
          </cell>
          <cell r="AJ217">
            <v>50</v>
          </cell>
          <cell r="AK217">
            <v>20</v>
          </cell>
        </row>
        <row r="218">
          <cell r="C218">
            <v>350601009</v>
          </cell>
          <cell r="D218">
            <v>0</v>
          </cell>
          <cell r="E218">
            <v>16</v>
          </cell>
          <cell r="F218">
            <v>21</v>
          </cell>
          <cell r="G218">
            <v>36</v>
          </cell>
          <cell r="H218">
            <v>0</v>
          </cell>
          <cell r="I218">
            <v>18</v>
          </cell>
          <cell r="J218">
            <v>12</v>
          </cell>
          <cell r="K218">
            <v>0</v>
          </cell>
          <cell r="L218">
            <v>2</v>
          </cell>
          <cell r="M218">
            <v>15</v>
          </cell>
          <cell r="N218">
            <v>17</v>
          </cell>
          <cell r="O218">
            <v>0</v>
          </cell>
          <cell r="P218">
            <v>6</v>
          </cell>
          <cell r="Q218">
            <v>53</v>
          </cell>
          <cell r="R218">
            <v>23</v>
          </cell>
          <cell r="S218">
            <v>12</v>
          </cell>
          <cell r="T218">
            <v>7</v>
          </cell>
          <cell r="U218">
            <v>23</v>
          </cell>
          <cell r="V218">
            <v>0</v>
          </cell>
          <cell r="W218">
            <v>0</v>
          </cell>
          <cell r="X218">
            <v>0</v>
          </cell>
          <cell r="Y218">
            <v>27</v>
          </cell>
          <cell r="Z218">
            <v>10</v>
          </cell>
          <cell r="AA218">
            <v>6</v>
          </cell>
          <cell r="AB218">
            <v>8</v>
          </cell>
          <cell r="AC218">
            <v>0</v>
          </cell>
          <cell r="AD218">
            <v>0</v>
          </cell>
          <cell r="AE218">
            <v>14</v>
          </cell>
          <cell r="AF218"/>
          <cell r="AG218"/>
          <cell r="AH218"/>
          <cell r="AI218">
            <v>326</v>
          </cell>
          <cell r="AJ218">
            <v>53</v>
          </cell>
          <cell r="AK218">
            <v>19</v>
          </cell>
        </row>
        <row r="219">
          <cell r="C219">
            <v>350601010</v>
          </cell>
          <cell r="D219">
            <v>4</v>
          </cell>
          <cell r="E219">
            <v>6</v>
          </cell>
          <cell r="F219">
            <v>13</v>
          </cell>
          <cell r="G219">
            <v>16</v>
          </cell>
          <cell r="H219">
            <v>28</v>
          </cell>
          <cell r="I219">
            <v>9</v>
          </cell>
          <cell r="J219">
            <v>52</v>
          </cell>
          <cell r="K219">
            <v>0</v>
          </cell>
          <cell r="L219">
            <v>8</v>
          </cell>
          <cell r="M219">
            <v>7</v>
          </cell>
          <cell r="N219">
            <v>39</v>
          </cell>
          <cell r="O219">
            <v>1</v>
          </cell>
          <cell r="P219">
            <v>5</v>
          </cell>
          <cell r="Q219">
            <v>27</v>
          </cell>
          <cell r="R219">
            <v>4</v>
          </cell>
          <cell r="S219">
            <v>17</v>
          </cell>
          <cell r="T219">
            <v>22</v>
          </cell>
          <cell r="U219">
            <v>20</v>
          </cell>
          <cell r="V219">
            <v>0</v>
          </cell>
          <cell r="W219">
            <v>16</v>
          </cell>
          <cell r="X219">
            <v>0</v>
          </cell>
          <cell r="Y219">
            <v>36</v>
          </cell>
          <cell r="Z219">
            <v>5</v>
          </cell>
          <cell r="AA219">
            <v>0</v>
          </cell>
          <cell r="AB219">
            <v>0</v>
          </cell>
          <cell r="AC219">
            <v>0</v>
          </cell>
          <cell r="AD219">
            <v>7</v>
          </cell>
          <cell r="AE219">
            <v>8</v>
          </cell>
          <cell r="AF219"/>
          <cell r="AG219"/>
          <cell r="AH219"/>
          <cell r="AI219">
            <v>350</v>
          </cell>
          <cell r="AJ219">
            <v>52</v>
          </cell>
          <cell r="AK219">
            <v>22</v>
          </cell>
        </row>
        <row r="220">
          <cell r="C220">
            <v>350601011</v>
          </cell>
          <cell r="D220">
            <v>6</v>
          </cell>
          <cell r="E220">
            <v>5</v>
          </cell>
          <cell r="F220">
            <v>15</v>
          </cell>
          <cell r="G220">
            <v>32</v>
          </cell>
          <cell r="H220">
            <v>9</v>
          </cell>
          <cell r="I220">
            <v>4</v>
          </cell>
          <cell r="J220">
            <v>17</v>
          </cell>
          <cell r="K220">
            <v>0</v>
          </cell>
          <cell r="L220">
            <v>2</v>
          </cell>
          <cell r="M220">
            <v>1</v>
          </cell>
          <cell r="N220">
            <v>24</v>
          </cell>
          <cell r="O220">
            <v>1</v>
          </cell>
          <cell r="P220">
            <v>10</v>
          </cell>
          <cell r="Q220">
            <v>23</v>
          </cell>
          <cell r="R220">
            <v>16</v>
          </cell>
          <cell r="S220">
            <v>13</v>
          </cell>
          <cell r="T220">
            <v>2</v>
          </cell>
          <cell r="U220">
            <v>5</v>
          </cell>
          <cell r="V220">
            <v>0</v>
          </cell>
          <cell r="W220">
            <v>20</v>
          </cell>
          <cell r="X220">
            <v>1</v>
          </cell>
          <cell r="Y220">
            <v>21</v>
          </cell>
          <cell r="Z220">
            <v>10</v>
          </cell>
          <cell r="AA220">
            <v>1</v>
          </cell>
          <cell r="AB220">
            <v>8</v>
          </cell>
          <cell r="AC220">
            <v>6</v>
          </cell>
          <cell r="AD220">
            <v>1</v>
          </cell>
          <cell r="AE220">
            <v>37</v>
          </cell>
          <cell r="AF220"/>
          <cell r="AG220"/>
          <cell r="AH220"/>
          <cell r="AI220">
            <v>290</v>
          </cell>
          <cell r="AJ220">
            <v>37</v>
          </cell>
          <cell r="AK220">
            <v>26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0</v>
          </cell>
          <cell r="G221">
            <v>23</v>
          </cell>
          <cell r="H221">
            <v>10</v>
          </cell>
          <cell r="I221">
            <v>10</v>
          </cell>
          <cell r="J221">
            <v>53</v>
          </cell>
          <cell r="K221">
            <v>2</v>
          </cell>
          <cell r="L221">
            <v>1</v>
          </cell>
          <cell r="M221">
            <v>4</v>
          </cell>
          <cell r="N221">
            <v>12</v>
          </cell>
          <cell r="O221">
            <v>6</v>
          </cell>
          <cell r="P221">
            <v>22</v>
          </cell>
          <cell r="Q221">
            <v>28</v>
          </cell>
          <cell r="R221">
            <v>11</v>
          </cell>
          <cell r="S221">
            <v>0</v>
          </cell>
          <cell r="T221">
            <v>0</v>
          </cell>
          <cell r="U221">
            <v>0</v>
          </cell>
          <cell r="V221">
            <v>10</v>
          </cell>
          <cell r="W221">
            <v>54</v>
          </cell>
          <cell r="X221">
            <v>0</v>
          </cell>
          <cell r="Y221">
            <v>22</v>
          </cell>
          <cell r="Z221">
            <v>0</v>
          </cell>
          <cell r="AA221">
            <v>0</v>
          </cell>
          <cell r="AB221">
            <v>3</v>
          </cell>
          <cell r="AC221">
            <v>25</v>
          </cell>
          <cell r="AD221">
            <v>1</v>
          </cell>
          <cell r="AE221">
            <v>5</v>
          </cell>
          <cell r="AF221"/>
          <cell r="AG221"/>
          <cell r="AH221"/>
          <cell r="AI221">
            <v>302</v>
          </cell>
          <cell r="AJ221">
            <v>54</v>
          </cell>
          <cell r="AK221">
            <v>19</v>
          </cell>
        </row>
        <row r="222">
          <cell r="C222">
            <v>350601013</v>
          </cell>
          <cell r="D222">
            <v>16</v>
          </cell>
          <cell r="E222">
            <v>2</v>
          </cell>
          <cell r="F222">
            <v>16</v>
          </cell>
          <cell r="G222">
            <v>23</v>
          </cell>
          <cell r="H222">
            <v>16</v>
          </cell>
          <cell r="I222">
            <v>21</v>
          </cell>
          <cell r="J222">
            <v>50</v>
          </cell>
          <cell r="K222">
            <v>2</v>
          </cell>
          <cell r="L222">
            <v>1</v>
          </cell>
          <cell r="M222">
            <v>16</v>
          </cell>
          <cell r="N222">
            <v>6</v>
          </cell>
          <cell r="O222">
            <v>2</v>
          </cell>
          <cell r="P222">
            <v>15</v>
          </cell>
          <cell r="Q222">
            <v>105</v>
          </cell>
          <cell r="R222">
            <v>16</v>
          </cell>
          <cell r="S222">
            <v>10</v>
          </cell>
          <cell r="T222">
            <v>1</v>
          </cell>
          <cell r="U222">
            <v>1</v>
          </cell>
          <cell r="V222">
            <v>1</v>
          </cell>
          <cell r="W222">
            <v>13</v>
          </cell>
          <cell r="X222">
            <v>0</v>
          </cell>
          <cell r="Y222">
            <v>14</v>
          </cell>
          <cell r="Z222">
            <v>20</v>
          </cell>
          <cell r="AA222">
            <v>0</v>
          </cell>
          <cell r="AB222">
            <v>10</v>
          </cell>
          <cell r="AC222">
            <v>3</v>
          </cell>
          <cell r="AD222">
            <v>6</v>
          </cell>
          <cell r="AE222">
            <v>9</v>
          </cell>
          <cell r="AF222"/>
          <cell r="AG222"/>
          <cell r="AH222"/>
          <cell r="AI222">
            <v>395</v>
          </cell>
          <cell r="AJ222">
            <v>105</v>
          </cell>
          <cell r="AK222">
            <v>26</v>
          </cell>
        </row>
        <row r="223">
          <cell r="C223">
            <v>350601014</v>
          </cell>
          <cell r="D223">
            <v>13</v>
          </cell>
          <cell r="E223">
            <v>9</v>
          </cell>
          <cell r="F223">
            <v>8</v>
          </cell>
          <cell r="G223">
            <v>25</v>
          </cell>
          <cell r="H223">
            <v>8</v>
          </cell>
          <cell r="I223">
            <v>4</v>
          </cell>
          <cell r="J223">
            <v>45</v>
          </cell>
          <cell r="K223">
            <v>1</v>
          </cell>
          <cell r="L223">
            <v>0</v>
          </cell>
          <cell r="M223">
            <v>15</v>
          </cell>
          <cell r="N223">
            <v>2</v>
          </cell>
          <cell r="O223">
            <v>1</v>
          </cell>
          <cell r="P223">
            <v>37</v>
          </cell>
          <cell r="Q223">
            <v>71</v>
          </cell>
          <cell r="R223">
            <v>20</v>
          </cell>
          <cell r="S223">
            <v>8</v>
          </cell>
          <cell r="T223">
            <v>16</v>
          </cell>
          <cell r="U223">
            <v>5</v>
          </cell>
          <cell r="V223">
            <v>0</v>
          </cell>
          <cell r="W223">
            <v>0</v>
          </cell>
          <cell r="X223">
            <v>1</v>
          </cell>
          <cell r="Y223">
            <v>2</v>
          </cell>
          <cell r="Z223">
            <v>15</v>
          </cell>
          <cell r="AA223">
            <v>0</v>
          </cell>
          <cell r="AB223">
            <v>7</v>
          </cell>
          <cell r="AC223">
            <v>4</v>
          </cell>
          <cell r="AD223">
            <v>10</v>
          </cell>
          <cell r="AE223">
            <v>0</v>
          </cell>
          <cell r="AF223"/>
          <cell r="AG223"/>
          <cell r="AH223"/>
          <cell r="AI223">
            <v>327</v>
          </cell>
          <cell r="AJ223">
            <v>71</v>
          </cell>
          <cell r="AK223">
            <v>23</v>
          </cell>
        </row>
        <row r="224">
          <cell r="C224">
            <v>350601015</v>
          </cell>
          <cell r="D224">
            <v>2</v>
          </cell>
          <cell r="E224">
            <v>1</v>
          </cell>
          <cell r="F224">
            <v>19</v>
          </cell>
          <cell r="G224">
            <v>30</v>
          </cell>
          <cell r="H224">
            <v>17</v>
          </cell>
          <cell r="I224">
            <v>10</v>
          </cell>
          <cell r="J224">
            <v>38</v>
          </cell>
          <cell r="K224">
            <v>0</v>
          </cell>
          <cell r="L224">
            <v>2</v>
          </cell>
          <cell r="M224">
            <v>7</v>
          </cell>
          <cell r="N224">
            <v>0</v>
          </cell>
          <cell r="O224">
            <v>13</v>
          </cell>
          <cell r="P224">
            <v>20</v>
          </cell>
          <cell r="Q224">
            <v>39</v>
          </cell>
          <cell r="R224">
            <v>26</v>
          </cell>
          <cell r="S224">
            <v>8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16</v>
          </cell>
          <cell r="Y224">
            <v>0</v>
          </cell>
          <cell r="Z224">
            <v>0</v>
          </cell>
          <cell r="AA224">
            <v>7</v>
          </cell>
          <cell r="AB224">
            <v>26</v>
          </cell>
          <cell r="AC224">
            <v>6</v>
          </cell>
          <cell r="AD224">
            <v>0</v>
          </cell>
          <cell r="AE224">
            <v>0</v>
          </cell>
          <cell r="AF224"/>
          <cell r="AG224"/>
          <cell r="AH224"/>
          <cell r="AI224">
            <v>287</v>
          </cell>
          <cell r="AJ224">
            <v>39</v>
          </cell>
          <cell r="AK224">
            <v>18</v>
          </cell>
        </row>
        <row r="225">
          <cell r="C225">
            <v>350125006</v>
          </cell>
          <cell r="D225">
            <v>0</v>
          </cell>
          <cell r="E225">
            <v>3</v>
          </cell>
          <cell r="F225">
            <v>0</v>
          </cell>
          <cell r="G225">
            <v>0</v>
          </cell>
          <cell r="H225">
            <v>5</v>
          </cell>
          <cell r="I225">
            <v>16</v>
          </cell>
          <cell r="J225">
            <v>4</v>
          </cell>
          <cell r="K225">
            <v>36</v>
          </cell>
          <cell r="L225">
            <v>1</v>
          </cell>
          <cell r="M225">
            <v>14</v>
          </cell>
          <cell r="N225">
            <v>1</v>
          </cell>
          <cell r="O225">
            <v>2</v>
          </cell>
          <cell r="P225">
            <v>1</v>
          </cell>
          <cell r="Q225">
            <v>1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21</v>
          </cell>
          <cell r="W225">
            <v>0</v>
          </cell>
          <cell r="X225">
            <v>3</v>
          </cell>
          <cell r="Y225">
            <v>13</v>
          </cell>
          <cell r="Z225">
            <v>0</v>
          </cell>
          <cell r="AA225">
            <v>4</v>
          </cell>
          <cell r="AB225">
            <v>0</v>
          </cell>
          <cell r="AC225">
            <v>0</v>
          </cell>
          <cell r="AD225">
            <v>7</v>
          </cell>
          <cell r="AE225">
            <v>6</v>
          </cell>
          <cell r="AF225"/>
          <cell r="AG225"/>
          <cell r="AH225"/>
          <cell r="AI225">
            <v>138</v>
          </cell>
          <cell r="AJ225">
            <v>36</v>
          </cell>
          <cell r="AK225">
            <v>17</v>
          </cell>
        </row>
        <row r="226">
          <cell r="C226">
            <v>350125007</v>
          </cell>
          <cell r="D226">
            <v>0</v>
          </cell>
          <cell r="E226">
            <v>3</v>
          </cell>
          <cell r="F226">
            <v>0</v>
          </cell>
          <cell r="G226">
            <v>10</v>
          </cell>
          <cell r="H226">
            <v>25</v>
          </cell>
          <cell r="I226">
            <v>0</v>
          </cell>
          <cell r="J226">
            <v>0</v>
          </cell>
          <cell r="K226">
            <v>10</v>
          </cell>
          <cell r="L226">
            <v>5</v>
          </cell>
          <cell r="M226">
            <v>40</v>
          </cell>
          <cell r="N226">
            <v>0</v>
          </cell>
          <cell r="O226">
            <v>0</v>
          </cell>
          <cell r="P226">
            <v>18</v>
          </cell>
          <cell r="Q226">
            <v>18</v>
          </cell>
          <cell r="R226">
            <v>0</v>
          </cell>
          <cell r="S226">
            <v>2</v>
          </cell>
          <cell r="T226">
            <v>5</v>
          </cell>
          <cell r="U226">
            <v>8</v>
          </cell>
          <cell r="V226">
            <v>7</v>
          </cell>
          <cell r="W226">
            <v>0</v>
          </cell>
          <cell r="X226">
            <v>0</v>
          </cell>
          <cell r="Y226">
            <v>25</v>
          </cell>
          <cell r="Z226">
            <v>11</v>
          </cell>
          <cell r="AA226">
            <v>20</v>
          </cell>
          <cell r="AB226">
            <v>20</v>
          </cell>
          <cell r="AC226">
            <v>0</v>
          </cell>
          <cell r="AD226">
            <v>5</v>
          </cell>
          <cell r="AE226">
            <v>3</v>
          </cell>
          <cell r="AF226"/>
          <cell r="AG226"/>
          <cell r="AH226"/>
          <cell r="AI226">
            <v>235</v>
          </cell>
          <cell r="AJ226">
            <v>40</v>
          </cell>
          <cell r="AK226">
            <v>18</v>
          </cell>
        </row>
        <row r="227">
          <cell r="C227">
            <v>350125008</v>
          </cell>
          <cell r="D227">
            <v>1</v>
          </cell>
          <cell r="E227">
            <v>3</v>
          </cell>
          <cell r="F227">
            <v>1</v>
          </cell>
          <cell r="G227">
            <v>0</v>
          </cell>
          <cell r="H227">
            <v>6</v>
          </cell>
          <cell r="I227">
            <v>20</v>
          </cell>
          <cell r="J227">
            <v>3</v>
          </cell>
          <cell r="K227">
            <v>31</v>
          </cell>
          <cell r="L227">
            <v>1</v>
          </cell>
          <cell r="M227">
            <v>19</v>
          </cell>
          <cell r="N227">
            <v>1</v>
          </cell>
          <cell r="O227">
            <v>4</v>
          </cell>
          <cell r="P227">
            <v>0</v>
          </cell>
          <cell r="Q227">
            <v>17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41</v>
          </cell>
          <cell r="W227">
            <v>0</v>
          </cell>
          <cell r="X227">
            <v>3</v>
          </cell>
          <cell r="Y227">
            <v>5</v>
          </cell>
          <cell r="Z227">
            <v>0</v>
          </cell>
          <cell r="AA227">
            <v>5</v>
          </cell>
          <cell r="AB227">
            <v>1</v>
          </cell>
          <cell r="AC227">
            <v>0</v>
          </cell>
          <cell r="AD227">
            <v>9</v>
          </cell>
          <cell r="AE227">
            <v>0</v>
          </cell>
          <cell r="AF227"/>
          <cell r="AG227"/>
          <cell r="AH227"/>
          <cell r="AI227">
            <v>171</v>
          </cell>
          <cell r="AJ227">
            <v>41</v>
          </cell>
          <cell r="AK227">
            <v>18</v>
          </cell>
        </row>
        <row r="228">
          <cell r="C228">
            <v>350125009</v>
          </cell>
          <cell r="D228">
            <v>3</v>
          </cell>
          <cell r="E228">
            <v>17</v>
          </cell>
          <cell r="F228">
            <v>0</v>
          </cell>
          <cell r="G228">
            <v>0</v>
          </cell>
          <cell r="H228">
            <v>7</v>
          </cell>
          <cell r="I228">
            <v>19</v>
          </cell>
          <cell r="J228">
            <v>9</v>
          </cell>
          <cell r="K228">
            <v>45</v>
          </cell>
          <cell r="L228">
            <v>17</v>
          </cell>
          <cell r="M228">
            <v>36</v>
          </cell>
          <cell r="N228">
            <v>0</v>
          </cell>
          <cell r="O228">
            <v>29</v>
          </cell>
          <cell r="P228">
            <v>0</v>
          </cell>
          <cell r="Q228">
            <v>3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>
            <v>48</v>
          </cell>
          <cell r="W228">
            <v>0</v>
          </cell>
          <cell r="X228">
            <v>0</v>
          </cell>
          <cell r="Y228">
            <v>14</v>
          </cell>
          <cell r="Z228">
            <v>0</v>
          </cell>
          <cell r="AA228">
            <v>12</v>
          </cell>
          <cell r="AB228">
            <v>0</v>
          </cell>
          <cell r="AC228">
            <v>0</v>
          </cell>
          <cell r="AD228">
            <v>13</v>
          </cell>
          <cell r="AE228">
            <v>8</v>
          </cell>
          <cell r="AF228"/>
          <cell r="AG228"/>
          <cell r="AH228"/>
          <cell r="AI228">
            <v>285</v>
          </cell>
          <cell r="AJ228">
            <v>48</v>
          </cell>
          <cell r="AK228">
            <v>16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4</v>
          </cell>
          <cell r="I229">
            <v>2</v>
          </cell>
          <cell r="J229">
            <v>0</v>
          </cell>
          <cell r="K229">
            <v>11</v>
          </cell>
          <cell r="L229">
            <v>0</v>
          </cell>
          <cell r="M229">
            <v>5</v>
          </cell>
          <cell r="N229">
            <v>0</v>
          </cell>
          <cell r="O229">
            <v>5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27</v>
          </cell>
          <cell r="W229">
            <v>0</v>
          </cell>
          <cell r="X229">
            <v>10</v>
          </cell>
          <cell r="Y229">
            <v>9</v>
          </cell>
          <cell r="Z229">
            <v>0</v>
          </cell>
          <cell r="AA229">
            <v>5</v>
          </cell>
          <cell r="AB229">
            <v>0</v>
          </cell>
          <cell r="AC229">
            <v>0</v>
          </cell>
          <cell r="AD229">
            <v>5</v>
          </cell>
          <cell r="AE229">
            <v>1</v>
          </cell>
          <cell r="AF229"/>
          <cell r="AG229"/>
          <cell r="AH229"/>
          <cell r="AI229">
            <v>84</v>
          </cell>
          <cell r="AJ229">
            <v>27</v>
          </cell>
          <cell r="AK229">
            <v>11</v>
          </cell>
        </row>
        <row r="230">
          <cell r="C230">
            <v>350125011</v>
          </cell>
          <cell r="D230">
            <v>0</v>
          </cell>
          <cell r="E230">
            <v>7</v>
          </cell>
          <cell r="F230">
            <v>0</v>
          </cell>
          <cell r="G230">
            <v>0</v>
          </cell>
          <cell r="H230">
            <v>1</v>
          </cell>
          <cell r="I230">
            <v>2</v>
          </cell>
          <cell r="J230">
            <v>0</v>
          </cell>
          <cell r="K230">
            <v>19</v>
          </cell>
          <cell r="L230">
            <v>2</v>
          </cell>
          <cell r="M230">
            <v>12</v>
          </cell>
          <cell r="N230">
            <v>1</v>
          </cell>
          <cell r="O230">
            <v>1</v>
          </cell>
          <cell r="P230">
            <v>2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14</v>
          </cell>
          <cell r="V230">
            <v>5</v>
          </cell>
          <cell r="W230">
            <v>2</v>
          </cell>
          <cell r="X230">
            <v>4</v>
          </cell>
          <cell r="Y230">
            <v>29</v>
          </cell>
          <cell r="Z230">
            <v>2</v>
          </cell>
          <cell r="AA230">
            <v>11</v>
          </cell>
          <cell r="AB230">
            <v>0</v>
          </cell>
          <cell r="AC230">
            <v>0</v>
          </cell>
          <cell r="AD230">
            <v>10</v>
          </cell>
          <cell r="AE230">
            <v>11</v>
          </cell>
          <cell r="AF230"/>
          <cell r="AG230"/>
          <cell r="AH230"/>
          <cell r="AI230">
            <v>135</v>
          </cell>
          <cell r="AJ230">
            <v>29</v>
          </cell>
          <cell r="AK230">
            <v>18</v>
          </cell>
        </row>
        <row r="231">
          <cell r="C231">
            <v>350125012</v>
          </cell>
          <cell r="D231">
            <v>0</v>
          </cell>
          <cell r="E231">
            <v>8</v>
          </cell>
          <cell r="F231">
            <v>17</v>
          </cell>
          <cell r="G231">
            <v>0</v>
          </cell>
          <cell r="H231">
            <v>0</v>
          </cell>
          <cell r="I231">
            <v>5</v>
          </cell>
          <cell r="J231">
            <v>0</v>
          </cell>
          <cell r="K231">
            <v>18</v>
          </cell>
          <cell r="L231">
            <v>1</v>
          </cell>
          <cell r="M231">
            <v>15</v>
          </cell>
          <cell r="N231">
            <v>10</v>
          </cell>
          <cell r="O231">
            <v>1</v>
          </cell>
          <cell r="P231">
            <v>2</v>
          </cell>
          <cell r="Q231">
            <v>18</v>
          </cell>
          <cell r="R231">
            <v>0</v>
          </cell>
          <cell r="S231">
            <v>0</v>
          </cell>
          <cell r="T231">
            <v>0</v>
          </cell>
          <cell r="U231">
            <v>1</v>
          </cell>
          <cell r="V231">
            <v>9</v>
          </cell>
          <cell r="W231">
            <v>0</v>
          </cell>
          <cell r="X231">
            <v>27</v>
          </cell>
          <cell r="Y231">
            <v>9.5</v>
          </cell>
          <cell r="Z231">
            <v>0</v>
          </cell>
          <cell r="AA231">
            <v>3</v>
          </cell>
          <cell r="AB231">
            <v>0</v>
          </cell>
          <cell r="AC231">
            <v>0</v>
          </cell>
          <cell r="AD231">
            <v>41</v>
          </cell>
          <cell r="AE231">
            <v>38</v>
          </cell>
          <cell r="AF231"/>
          <cell r="AG231"/>
          <cell r="AH231"/>
          <cell r="AI231">
            <v>223.5</v>
          </cell>
          <cell r="AJ231">
            <v>41</v>
          </cell>
          <cell r="AK231">
            <v>17</v>
          </cell>
        </row>
        <row r="232">
          <cell r="C232">
            <v>350125013</v>
          </cell>
          <cell r="D232">
            <v>0</v>
          </cell>
          <cell r="E232">
            <v>5</v>
          </cell>
          <cell r="F232">
            <v>0</v>
          </cell>
          <cell r="G232">
            <v>0</v>
          </cell>
          <cell r="H232">
            <v>5</v>
          </cell>
          <cell r="I232">
            <v>0</v>
          </cell>
          <cell r="J232">
            <v>3</v>
          </cell>
          <cell r="K232">
            <v>5</v>
          </cell>
          <cell r="L232">
            <v>0</v>
          </cell>
          <cell r="M232">
            <v>0</v>
          </cell>
          <cell r="N232">
            <v>0</v>
          </cell>
          <cell r="O232">
            <v>5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5</v>
          </cell>
          <cell r="W232">
            <v>10</v>
          </cell>
          <cell r="X232">
            <v>0</v>
          </cell>
          <cell r="Y232">
            <v>0</v>
          </cell>
          <cell r="Z232">
            <v>0</v>
          </cell>
          <cell r="AA232">
            <v>25</v>
          </cell>
          <cell r="AB232">
            <v>0</v>
          </cell>
          <cell r="AC232">
            <v>20</v>
          </cell>
          <cell r="AD232">
            <v>0</v>
          </cell>
          <cell r="AE232">
            <v>0</v>
          </cell>
          <cell r="AF232"/>
          <cell r="AG232"/>
          <cell r="AH232"/>
          <cell r="AI232">
            <v>83</v>
          </cell>
          <cell r="AJ232">
            <v>25</v>
          </cell>
          <cell r="AK232">
            <v>9</v>
          </cell>
        </row>
        <row r="233">
          <cell r="C233">
            <v>350125014</v>
          </cell>
          <cell r="D233">
            <v>2</v>
          </cell>
          <cell r="E233">
            <v>21</v>
          </cell>
          <cell r="F233">
            <v>12</v>
          </cell>
          <cell r="G233">
            <v>7</v>
          </cell>
          <cell r="H233">
            <v>4</v>
          </cell>
          <cell r="I233">
            <v>2</v>
          </cell>
          <cell r="J233">
            <v>1</v>
          </cell>
          <cell r="K233">
            <v>18</v>
          </cell>
          <cell r="L233">
            <v>24</v>
          </cell>
          <cell r="M233">
            <v>18</v>
          </cell>
          <cell r="N233">
            <v>6</v>
          </cell>
          <cell r="O233">
            <v>3</v>
          </cell>
          <cell r="P233">
            <v>7</v>
          </cell>
          <cell r="Q233">
            <v>12</v>
          </cell>
          <cell r="R233">
            <v>0</v>
          </cell>
          <cell r="S233">
            <v>1</v>
          </cell>
          <cell r="T233">
            <v>3</v>
          </cell>
          <cell r="U233">
            <v>0</v>
          </cell>
          <cell r="V233">
            <v>7</v>
          </cell>
          <cell r="W233">
            <v>0</v>
          </cell>
          <cell r="X233">
            <v>0</v>
          </cell>
          <cell r="Y233">
            <v>0</v>
          </cell>
          <cell r="Z233">
            <v>37</v>
          </cell>
          <cell r="AA233">
            <v>3</v>
          </cell>
          <cell r="AB233">
            <v>0</v>
          </cell>
          <cell r="AC233">
            <v>0</v>
          </cell>
          <cell r="AD233">
            <v>34</v>
          </cell>
          <cell r="AE233">
            <v>8</v>
          </cell>
          <cell r="AF233"/>
          <cell r="AG233"/>
          <cell r="AH233"/>
          <cell r="AI233">
            <v>230</v>
          </cell>
          <cell r="AJ233">
            <v>37</v>
          </cell>
          <cell r="AK233">
            <v>21</v>
          </cell>
        </row>
        <row r="234">
          <cell r="C234">
            <v>350125015</v>
          </cell>
          <cell r="D234">
            <v>0</v>
          </cell>
          <cell r="E234">
            <v>7</v>
          </cell>
          <cell r="F234">
            <v>0</v>
          </cell>
          <cell r="G234">
            <v>14</v>
          </cell>
          <cell r="H234">
            <v>6</v>
          </cell>
          <cell r="I234">
            <v>0</v>
          </cell>
          <cell r="J234">
            <v>12</v>
          </cell>
          <cell r="K234">
            <v>25</v>
          </cell>
          <cell r="L234">
            <v>6</v>
          </cell>
          <cell r="M234">
            <v>45</v>
          </cell>
          <cell r="N234">
            <v>0</v>
          </cell>
          <cell r="O234">
            <v>47</v>
          </cell>
          <cell r="P234">
            <v>11</v>
          </cell>
          <cell r="Q234">
            <v>81</v>
          </cell>
          <cell r="R234">
            <v>0</v>
          </cell>
          <cell r="S234">
            <v>0</v>
          </cell>
          <cell r="T234">
            <v>3</v>
          </cell>
          <cell r="U234">
            <v>5</v>
          </cell>
          <cell r="V234">
            <v>18</v>
          </cell>
          <cell r="W234">
            <v>0</v>
          </cell>
          <cell r="X234">
            <v>0</v>
          </cell>
          <cell r="Y234">
            <v>4</v>
          </cell>
          <cell r="Z234">
            <v>0</v>
          </cell>
          <cell r="AA234">
            <v>0</v>
          </cell>
          <cell r="AB234">
            <v>6</v>
          </cell>
          <cell r="AC234">
            <v>0</v>
          </cell>
          <cell r="AD234">
            <v>2</v>
          </cell>
          <cell r="AE234">
            <v>5</v>
          </cell>
          <cell r="AF234"/>
          <cell r="AG234"/>
          <cell r="AH234"/>
          <cell r="AI234">
            <v>297</v>
          </cell>
          <cell r="AJ234">
            <v>81</v>
          </cell>
          <cell r="AK234">
            <v>17</v>
          </cell>
        </row>
        <row r="235">
          <cell r="C235">
            <v>350122032</v>
          </cell>
          <cell r="D235">
            <v>0</v>
          </cell>
          <cell r="E235">
            <v>4</v>
          </cell>
          <cell r="F235">
            <v>3</v>
          </cell>
          <cell r="G235">
            <v>0</v>
          </cell>
          <cell r="H235">
            <v>1</v>
          </cell>
          <cell r="I235">
            <v>0</v>
          </cell>
          <cell r="J235">
            <v>16</v>
          </cell>
          <cell r="K235">
            <v>1</v>
          </cell>
          <cell r="L235">
            <v>16</v>
          </cell>
          <cell r="M235">
            <v>38</v>
          </cell>
          <cell r="N235">
            <v>0</v>
          </cell>
          <cell r="O235">
            <v>5</v>
          </cell>
          <cell r="P235">
            <v>3</v>
          </cell>
          <cell r="Q235">
            <v>23</v>
          </cell>
          <cell r="R235">
            <v>0</v>
          </cell>
          <cell r="S235">
            <v>22</v>
          </cell>
          <cell r="T235">
            <v>2</v>
          </cell>
          <cell r="U235">
            <v>3</v>
          </cell>
          <cell r="V235">
            <v>16</v>
          </cell>
          <cell r="W235">
            <v>2</v>
          </cell>
          <cell r="X235">
            <v>15</v>
          </cell>
          <cell r="Y235">
            <v>3</v>
          </cell>
          <cell r="Z235">
            <v>0</v>
          </cell>
          <cell r="AA235">
            <v>0</v>
          </cell>
          <cell r="AB235">
            <v>0</v>
          </cell>
          <cell r="AC235">
            <v>1</v>
          </cell>
          <cell r="AD235">
            <v>0</v>
          </cell>
          <cell r="AE235">
            <v>3</v>
          </cell>
          <cell r="AF235"/>
          <cell r="AG235"/>
          <cell r="AH235"/>
          <cell r="AI235">
            <v>177</v>
          </cell>
          <cell r="AJ235">
            <v>38</v>
          </cell>
          <cell r="AK235">
            <v>19</v>
          </cell>
        </row>
      </sheetData>
      <sheetData sheetId="4">
        <row r="8">
          <cell r="C8">
            <v>350125005</v>
          </cell>
          <cell r="D8">
            <v>44</v>
          </cell>
          <cell r="E8">
            <v>0</v>
          </cell>
          <cell r="F8">
            <v>12</v>
          </cell>
          <cell r="G8">
            <v>0</v>
          </cell>
          <cell r="H8">
            <v>39</v>
          </cell>
          <cell r="I8">
            <v>0</v>
          </cell>
          <cell r="J8">
            <v>15</v>
          </cell>
          <cell r="K8">
            <v>0</v>
          </cell>
          <cell r="L8">
            <v>39</v>
          </cell>
          <cell r="M8">
            <v>23</v>
          </cell>
          <cell r="N8">
            <v>54</v>
          </cell>
          <cell r="O8">
            <v>0</v>
          </cell>
          <cell r="P8">
            <v>19</v>
          </cell>
          <cell r="Q8">
            <v>59</v>
          </cell>
          <cell r="R8">
            <v>0</v>
          </cell>
          <cell r="S8">
            <v>7</v>
          </cell>
          <cell r="T8">
            <v>0</v>
          </cell>
          <cell r="U8">
            <v>0</v>
          </cell>
          <cell r="V8">
            <v>6</v>
          </cell>
          <cell r="W8">
            <v>30</v>
          </cell>
          <cell r="X8">
            <v>67</v>
          </cell>
          <cell r="Y8">
            <v>27</v>
          </cell>
          <cell r="Z8">
            <v>23</v>
          </cell>
          <cell r="AA8">
            <v>0</v>
          </cell>
          <cell r="AB8">
            <v>0</v>
          </cell>
          <cell r="AC8">
            <v>23</v>
          </cell>
          <cell r="AD8">
            <v>9</v>
          </cell>
          <cell r="AE8">
            <v>0</v>
          </cell>
          <cell r="AF8">
            <v>18</v>
          </cell>
          <cell r="AG8">
            <v>49</v>
          </cell>
          <cell r="AH8">
            <v>21</v>
          </cell>
          <cell r="AI8">
            <v>584</v>
          </cell>
          <cell r="AJ8">
            <v>67</v>
          </cell>
          <cell r="AK8">
            <v>20</v>
          </cell>
        </row>
        <row r="9">
          <cell r="C9">
            <v>350125004</v>
          </cell>
          <cell r="D9">
            <v>28</v>
          </cell>
          <cell r="E9">
            <v>3</v>
          </cell>
          <cell r="F9">
            <v>2</v>
          </cell>
          <cell r="G9">
            <v>0</v>
          </cell>
          <cell r="H9">
            <v>9</v>
          </cell>
          <cell r="I9">
            <v>0</v>
          </cell>
          <cell r="J9">
            <v>2</v>
          </cell>
          <cell r="K9">
            <v>0</v>
          </cell>
          <cell r="L9">
            <v>21</v>
          </cell>
          <cell r="M9">
            <v>0</v>
          </cell>
          <cell r="N9">
            <v>4</v>
          </cell>
          <cell r="O9">
            <v>0</v>
          </cell>
          <cell r="P9">
            <v>0</v>
          </cell>
          <cell r="Q9">
            <v>7</v>
          </cell>
          <cell r="R9">
            <v>0</v>
          </cell>
          <cell r="S9">
            <v>5</v>
          </cell>
          <cell r="T9">
            <v>0</v>
          </cell>
          <cell r="U9">
            <v>0</v>
          </cell>
          <cell r="V9">
            <v>0</v>
          </cell>
          <cell r="W9">
            <v>25</v>
          </cell>
          <cell r="X9">
            <v>10</v>
          </cell>
          <cell r="Y9">
            <v>46</v>
          </cell>
          <cell r="Z9">
            <v>12</v>
          </cell>
          <cell r="AA9">
            <v>2</v>
          </cell>
          <cell r="AB9">
            <v>0</v>
          </cell>
          <cell r="AC9">
            <v>0</v>
          </cell>
          <cell r="AD9">
            <v>2</v>
          </cell>
          <cell r="AE9">
            <v>20</v>
          </cell>
          <cell r="AF9">
            <v>0</v>
          </cell>
          <cell r="AG9">
            <v>12</v>
          </cell>
          <cell r="AH9">
            <v>0</v>
          </cell>
          <cell r="AI9">
            <v>210</v>
          </cell>
          <cell r="AJ9">
            <v>46</v>
          </cell>
          <cell r="AK9">
            <v>17</v>
          </cell>
        </row>
        <row r="10">
          <cell r="C10">
            <v>350125003</v>
          </cell>
          <cell r="D10">
            <v>14.5</v>
          </cell>
          <cell r="E10">
            <v>0</v>
          </cell>
          <cell r="F10">
            <v>2</v>
          </cell>
          <cell r="G10">
            <v>0</v>
          </cell>
          <cell r="H10">
            <v>14.5</v>
          </cell>
          <cell r="I10">
            <v>0</v>
          </cell>
          <cell r="J10">
            <v>12.5</v>
          </cell>
          <cell r="K10">
            <v>4</v>
          </cell>
          <cell r="L10">
            <v>16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23</v>
          </cell>
          <cell r="W10">
            <v>7</v>
          </cell>
          <cell r="X10">
            <v>5</v>
          </cell>
          <cell r="Y10">
            <v>25</v>
          </cell>
          <cell r="Z10">
            <v>8</v>
          </cell>
          <cell r="AA10">
            <v>0</v>
          </cell>
          <cell r="AB10">
            <v>0</v>
          </cell>
          <cell r="AC10">
            <v>4</v>
          </cell>
          <cell r="AD10">
            <v>0</v>
          </cell>
          <cell r="AE10">
            <v>8</v>
          </cell>
          <cell r="AF10">
            <v>0</v>
          </cell>
          <cell r="AG10">
            <v>19</v>
          </cell>
          <cell r="AH10">
            <v>0</v>
          </cell>
          <cell r="AI10">
            <v>165.5</v>
          </cell>
          <cell r="AJ10">
            <v>25</v>
          </cell>
          <cell r="AK10">
            <v>16</v>
          </cell>
        </row>
        <row r="11">
          <cell r="C11">
            <v>350125002</v>
          </cell>
          <cell r="D11">
            <v>23</v>
          </cell>
          <cell r="E11">
            <v>0</v>
          </cell>
          <cell r="F11">
            <v>3</v>
          </cell>
          <cell r="G11">
            <v>5</v>
          </cell>
          <cell r="H11">
            <v>0</v>
          </cell>
          <cell r="I11">
            <v>26</v>
          </cell>
          <cell r="J11">
            <v>11</v>
          </cell>
          <cell r="K11">
            <v>0</v>
          </cell>
          <cell r="L11">
            <v>86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12</v>
          </cell>
          <cell r="X11">
            <v>12</v>
          </cell>
          <cell r="Y11">
            <v>53</v>
          </cell>
          <cell r="Z11">
            <v>6</v>
          </cell>
          <cell r="AA11">
            <v>0</v>
          </cell>
          <cell r="AB11">
            <v>0</v>
          </cell>
          <cell r="AC11">
            <v>46</v>
          </cell>
          <cell r="AD11">
            <v>0</v>
          </cell>
          <cell r="AE11">
            <v>23</v>
          </cell>
          <cell r="AF11">
            <v>6</v>
          </cell>
          <cell r="AG11">
            <v>0</v>
          </cell>
          <cell r="AH11">
            <v>0</v>
          </cell>
          <cell r="AI11">
            <v>315</v>
          </cell>
          <cell r="AJ11">
            <v>86</v>
          </cell>
          <cell r="AK11">
            <v>14</v>
          </cell>
        </row>
        <row r="12">
          <cell r="C12">
            <v>350125001</v>
          </cell>
          <cell r="D12">
            <v>31</v>
          </cell>
          <cell r="E12">
            <v>0</v>
          </cell>
          <cell r="F12">
            <v>6</v>
          </cell>
          <cell r="G12">
            <v>0</v>
          </cell>
          <cell r="H12">
            <v>12</v>
          </cell>
          <cell r="I12">
            <v>0</v>
          </cell>
          <cell r="J12">
            <v>0</v>
          </cell>
          <cell r="K12">
            <v>6</v>
          </cell>
          <cell r="L12">
            <v>23</v>
          </cell>
          <cell r="M12">
            <v>0</v>
          </cell>
          <cell r="N12">
            <v>30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10</v>
          </cell>
          <cell r="T12">
            <v>0</v>
          </cell>
          <cell r="U12">
            <v>0</v>
          </cell>
          <cell r="V12">
            <v>44</v>
          </cell>
          <cell r="W12">
            <v>5</v>
          </cell>
          <cell r="X12">
            <v>6</v>
          </cell>
          <cell r="Y12">
            <v>7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20</v>
          </cell>
          <cell r="AF12">
            <v>0</v>
          </cell>
          <cell r="AG12">
            <v>46</v>
          </cell>
          <cell r="AH12">
            <v>0</v>
          </cell>
          <cell r="AI12">
            <v>246</v>
          </cell>
          <cell r="AJ12">
            <v>46</v>
          </cell>
          <cell r="AK12">
            <v>13</v>
          </cell>
        </row>
        <row r="13">
          <cell r="C13">
            <v>350124024</v>
          </cell>
          <cell r="D13">
            <v>29.5</v>
          </cell>
          <cell r="E13">
            <v>0.5</v>
          </cell>
          <cell r="F13">
            <v>7.5</v>
          </cell>
          <cell r="G13">
            <v>7.5</v>
          </cell>
          <cell r="H13">
            <v>45</v>
          </cell>
          <cell r="I13">
            <v>1</v>
          </cell>
          <cell r="J13">
            <v>1</v>
          </cell>
          <cell r="K13">
            <v>0.5</v>
          </cell>
          <cell r="L13">
            <v>8</v>
          </cell>
          <cell r="M13">
            <v>0</v>
          </cell>
          <cell r="N13">
            <v>38</v>
          </cell>
          <cell r="O13">
            <v>0</v>
          </cell>
          <cell r="P13">
            <v>0</v>
          </cell>
          <cell r="Q13">
            <v>0</v>
          </cell>
          <cell r="R13">
            <v>4</v>
          </cell>
          <cell r="S13">
            <v>1</v>
          </cell>
          <cell r="T13">
            <v>0</v>
          </cell>
          <cell r="U13">
            <v>0</v>
          </cell>
          <cell r="V13">
            <v>4.5</v>
          </cell>
          <cell r="W13">
            <v>14</v>
          </cell>
          <cell r="X13">
            <v>26</v>
          </cell>
          <cell r="Y13">
            <v>12</v>
          </cell>
          <cell r="Z13">
            <v>1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25</v>
          </cell>
          <cell r="AF13">
            <v>0</v>
          </cell>
          <cell r="AG13">
            <v>20</v>
          </cell>
          <cell r="AH13">
            <v>0</v>
          </cell>
          <cell r="AI13">
            <v>246</v>
          </cell>
          <cell r="AJ13">
            <v>45</v>
          </cell>
          <cell r="AK13">
            <v>19</v>
          </cell>
        </row>
        <row r="14">
          <cell r="C14">
            <v>350124023</v>
          </cell>
          <cell r="D14">
            <v>106</v>
          </cell>
          <cell r="E14">
            <v>2</v>
          </cell>
          <cell r="F14">
            <v>9</v>
          </cell>
          <cell r="G14">
            <v>0</v>
          </cell>
          <cell r="H14">
            <v>18</v>
          </cell>
          <cell r="I14">
            <v>2</v>
          </cell>
          <cell r="J14">
            <v>46</v>
          </cell>
          <cell r="K14">
            <v>0</v>
          </cell>
          <cell r="L14">
            <v>0</v>
          </cell>
          <cell r="M14">
            <v>0</v>
          </cell>
          <cell r="N14">
            <v>7</v>
          </cell>
          <cell r="O14">
            <v>0</v>
          </cell>
          <cell r="P14">
            <v>0</v>
          </cell>
          <cell r="Q14">
            <v>0</v>
          </cell>
          <cell r="R14">
            <v>13</v>
          </cell>
          <cell r="S14">
            <v>83</v>
          </cell>
          <cell r="T14">
            <v>15</v>
          </cell>
          <cell r="U14">
            <v>0</v>
          </cell>
          <cell r="V14">
            <v>0</v>
          </cell>
          <cell r="W14">
            <v>27</v>
          </cell>
          <cell r="X14">
            <v>19</v>
          </cell>
          <cell r="Y14">
            <v>27</v>
          </cell>
          <cell r="Z14">
            <v>41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31</v>
          </cell>
          <cell r="AF14">
            <v>0</v>
          </cell>
          <cell r="AG14">
            <v>0</v>
          </cell>
          <cell r="AH14">
            <v>0</v>
          </cell>
          <cell r="AI14">
            <v>446</v>
          </cell>
          <cell r="AJ14">
            <v>106</v>
          </cell>
          <cell r="AK14">
            <v>15</v>
          </cell>
        </row>
        <row r="15">
          <cell r="C15">
            <v>350124022</v>
          </cell>
          <cell r="D15">
            <v>19</v>
          </cell>
          <cell r="E15">
            <v>0</v>
          </cell>
          <cell r="F15">
            <v>17</v>
          </cell>
          <cell r="G15">
            <v>11</v>
          </cell>
          <cell r="H15">
            <v>15.5</v>
          </cell>
          <cell r="I15">
            <v>0</v>
          </cell>
          <cell r="J15">
            <v>0</v>
          </cell>
          <cell r="K15">
            <v>1</v>
          </cell>
          <cell r="L15">
            <v>18</v>
          </cell>
          <cell r="M15">
            <v>22</v>
          </cell>
          <cell r="N15">
            <v>82</v>
          </cell>
          <cell r="O15">
            <v>0</v>
          </cell>
          <cell r="P15">
            <v>0</v>
          </cell>
          <cell r="Q15">
            <v>8</v>
          </cell>
          <cell r="R15">
            <v>16.5</v>
          </cell>
          <cell r="S15">
            <v>6</v>
          </cell>
          <cell r="T15">
            <v>0</v>
          </cell>
          <cell r="U15">
            <v>0</v>
          </cell>
          <cell r="V15">
            <v>0</v>
          </cell>
          <cell r="W15">
            <v>19.5</v>
          </cell>
          <cell r="X15">
            <v>10</v>
          </cell>
          <cell r="Y15">
            <v>3</v>
          </cell>
          <cell r="Z15">
            <v>0</v>
          </cell>
          <cell r="AA15">
            <v>8</v>
          </cell>
          <cell r="AB15">
            <v>0</v>
          </cell>
          <cell r="AC15">
            <v>0</v>
          </cell>
          <cell r="AD15">
            <v>0</v>
          </cell>
          <cell r="AE15">
            <v>8.5</v>
          </cell>
          <cell r="AF15">
            <v>0</v>
          </cell>
          <cell r="AG15">
            <v>2</v>
          </cell>
          <cell r="AH15">
            <v>0</v>
          </cell>
          <cell r="AI15">
            <v>267</v>
          </cell>
          <cell r="AJ15">
            <v>82</v>
          </cell>
          <cell r="AK15">
            <v>17</v>
          </cell>
        </row>
        <row r="16">
          <cell r="C16">
            <v>350124021</v>
          </cell>
          <cell r="D16">
            <v>20</v>
          </cell>
          <cell r="E16">
            <v>0</v>
          </cell>
          <cell r="F16">
            <v>5</v>
          </cell>
          <cell r="G16">
            <v>10</v>
          </cell>
          <cell r="H16">
            <v>16</v>
          </cell>
          <cell r="I16">
            <v>0</v>
          </cell>
          <cell r="J16">
            <v>0</v>
          </cell>
          <cell r="K16">
            <v>0</v>
          </cell>
          <cell r="L16">
            <v>8</v>
          </cell>
          <cell r="M16">
            <v>0</v>
          </cell>
          <cell r="N16">
            <v>48</v>
          </cell>
          <cell r="O16">
            <v>0</v>
          </cell>
          <cell r="P16">
            <v>0</v>
          </cell>
          <cell r="Q16">
            <v>0</v>
          </cell>
          <cell r="R16">
            <v>71</v>
          </cell>
          <cell r="S16">
            <v>0</v>
          </cell>
          <cell r="T16">
            <v>0</v>
          </cell>
          <cell r="U16">
            <v>0</v>
          </cell>
          <cell r="V16">
            <v>1</v>
          </cell>
          <cell r="W16">
            <v>12</v>
          </cell>
          <cell r="X16">
            <v>6</v>
          </cell>
          <cell r="Y16">
            <v>7</v>
          </cell>
          <cell r="Z16">
            <v>4</v>
          </cell>
          <cell r="AA16">
            <v>0</v>
          </cell>
          <cell r="AB16">
            <v>0</v>
          </cell>
          <cell r="AC16">
            <v>0</v>
          </cell>
          <cell r="AD16">
            <v>13</v>
          </cell>
          <cell r="AE16">
            <v>7</v>
          </cell>
          <cell r="AF16">
            <v>0</v>
          </cell>
          <cell r="AG16">
            <v>3</v>
          </cell>
          <cell r="AH16">
            <v>0</v>
          </cell>
          <cell r="AI16">
            <v>231</v>
          </cell>
          <cell r="AJ16">
            <v>71</v>
          </cell>
          <cell r="AK16">
            <v>15</v>
          </cell>
        </row>
        <row r="17">
          <cell r="C17">
            <v>350124020</v>
          </cell>
          <cell r="D17">
            <v>44</v>
          </cell>
          <cell r="E17">
            <v>0</v>
          </cell>
          <cell r="F17">
            <v>3</v>
          </cell>
          <cell r="G17">
            <v>0</v>
          </cell>
          <cell r="H17">
            <v>65</v>
          </cell>
          <cell r="I17">
            <v>0</v>
          </cell>
          <cell r="J17">
            <v>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9</v>
          </cell>
          <cell r="S17">
            <v>37</v>
          </cell>
          <cell r="T17">
            <v>8</v>
          </cell>
          <cell r="U17">
            <v>0</v>
          </cell>
          <cell r="V17">
            <v>0</v>
          </cell>
          <cell r="W17">
            <v>23</v>
          </cell>
          <cell r="X17">
            <v>13</v>
          </cell>
          <cell r="Y17">
            <v>13</v>
          </cell>
          <cell r="Z17">
            <v>16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17</v>
          </cell>
          <cell r="AF17">
            <v>0</v>
          </cell>
          <cell r="AG17">
            <v>5</v>
          </cell>
          <cell r="AH17">
            <v>0</v>
          </cell>
          <cell r="AI17">
            <v>258</v>
          </cell>
          <cell r="AJ17">
            <v>65</v>
          </cell>
          <cell r="AK17">
            <v>13</v>
          </cell>
        </row>
        <row r="18">
          <cell r="C18">
            <v>350124019</v>
          </cell>
          <cell r="D18">
            <v>10</v>
          </cell>
          <cell r="E18">
            <v>5</v>
          </cell>
          <cell r="F18">
            <v>30</v>
          </cell>
          <cell r="G18">
            <v>5</v>
          </cell>
          <cell r="H18">
            <v>24</v>
          </cell>
          <cell r="I18">
            <v>0</v>
          </cell>
          <cell r="J18">
            <v>0</v>
          </cell>
          <cell r="K18">
            <v>45</v>
          </cell>
          <cell r="L18">
            <v>8</v>
          </cell>
          <cell r="M18">
            <v>8</v>
          </cell>
          <cell r="N18">
            <v>36</v>
          </cell>
          <cell r="O18">
            <v>7</v>
          </cell>
          <cell r="P18">
            <v>4</v>
          </cell>
          <cell r="Q18">
            <v>6</v>
          </cell>
          <cell r="R18">
            <v>8</v>
          </cell>
          <cell r="S18">
            <v>5</v>
          </cell>
          <cell r="T18">
            <v>8</v>
          </cell>
          <cell r="U18">
            <v>0</v>
          </cell>
          <cell r="V18">
            <v>27</v>
          </cell>
          <cell r="W18">
            <v>12</v>
          </cell>
          <cell r="X18">
            <v>8</v>
          </cell>
          <cell r="Y18">
            <v>14</v>
          </cell>
          <cell r="Z18">
            <v>10</v>
          </cell>
          <cell r="AA18">
            <v>6</v>
          </cell>
          <cell r="AB18">
            <v>5</v>
          </cell>
          <cell r="AC18">
            <v>0</v>
          </cell>
          <cell r="AD18">
            <v>0</v>
          </cell>
          <cell r="AE18">
            <v>10</v>
          </cell>
          <cell r="AF18">
            <v>0</v>
          </cell>
          <cell r="AG18">
            <v>5</v>
          </cell>
          <cell r="AH18">
            <v>0</v>
          </cell>
          <cell r="AI18">
            <v>306</v>
          </cell>
          <cell r="AJ18">
            <v>45</v>
          </cell>
          <cell r="AK18">
            <v>24</v>
          </cell>
        </row>
        <row r="19">
          <cell r="C19">
            <v>350124018</v>
          </cell>
          <cell r="D19">
            <v>39</v>
          </cell>
          <cell r="E19">
            <v>2</v>
          </cell>
          <cell r="F19">
            <v>31</v>
          </cell>
          <cell r="G19">
            <v>2</v>
          </cell>
          <cell r="H19">
            <v>46</v>
          </cell>
          <cell r="I19">
            <v>3</v>
          </cell>
          <cell r="J19">
            <v>4</v>
          </cell>
          <cell r="K19">
            <v>26</v>
          </cell>
          <cell r="L19">
            <v>40</v>
          </cell>
          <cell r="M19">
            <v>4</v>
          </cell>
          <cell r="N19">
            <v>36</v>
          </cell>
          <cell r="O19">
            <v>0</v>
          </cell>
          <cell r="P19">
            <v>2</v>
          </cell>
          <cell r="Q19">
            <v>2</v>
          </cell>
          <cell r="R19">
            <v>12</v>
          </cell>
          <cell r="S19">
            <v>9</v>
          </cell>
          <cell r="T19">
            <v>0</v>
          </cell>
          <cell r="U19">
            <v>5</v>
          </cell>
          <cell r="V19">
            <v>0</v>
          </cell>
          <cell r="W19">
            <v>14</v>
          </cell>
          <cell r="X19">
            <v>5</v>
          </cell>
          <cell r="Y19">
            <v>2</v>
          </cell>
          <cell r="Z19">
            <v>1</v>
          </cell>
          <cell r="AA19">
            <v>10</v>
          </cell>
          <cell r="AB19">
            <v>0</v>
          </cell>
          <cell r="AC19">
            <v>0</v>
          </cell>
          <cell r="AD19">
            <v>0</v>
          </cell>
          <cell r="AE19">
            <v>4</v>
          </cell>
          <cell r="AF19">
            <v>0</v>
          </cell>
          <cell r="AG19">
            <v>21</v>
          </cell>
          <cell r="AH19">
            <v>0</v>
          </cell>
          <cell r="AI19">
            <v>320</v>
          </cell>
          <cell r="AJ19">
            <v>46</v>
          </cell>
          <cell r="AK19">
            <v>23</v>
          </cell>
        </row>
        <row r="20">
          <cell r="C20">
            <v>350124017</v>
          </cell>
          <cell r="D20">
            <v>30</v>
          </cell>
          <cell r="E20">
            <v>0</v>
          </cell>
          <cell r="F20">
            <v>0</v>
          </cell>
          <cell r="G20">
            <v>4</v>
          </cell>
          <cell r="H20">
            <v>50</v>
          </cell>
          <cell r="I20">
            <v>5</v>
          </cell>
          <cell r="J20">
            <v>0</v>
          </cell>
          <cell r="K20">
            <v>10</v>
          </cell>
          <cell r="L20">
            <v>8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3</v>
          </cell>
          <cell r="R20">
            <v>31</v>
          </cell>
          <cell r="S20">
            <v>35</v>
          </cell>
          <cell r="T20">
            <v>0</v>
          </cell>
          <cell r="U20">
            <v>0</v>
          </cell>
          <cell r="V20">
            <v>0</v>
          </cell>
          <cell r="W20">
            <v>1</v>
          </cell>
          <cell r="X20">
            <v>7</v>
          </cell>
          <cell r="Y20">
            <v>0</v>
          </cell>
          <cell r="Z20">
            <v>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14</v>
          </cell>
          <cell r="AF20">
            <v>0</v>
          </cell>
          <cell r="AG20">
            <v>0</v>
          </cell>
          <cell r="AH20">
            <v>0</v>
          </cell>
          <cell r="AI20">
            <v>203</v>
          </cell>
          <cell r="AJ20">
            <v>50</v>
          </cell>
          <cell r="AK20">
            <v>13</v>
          </cell>
        </row>
        <row r="21">
          <cell r="C21">
            <v>350124016</v>
          </cell>
          <cell r="D21">
            <v>33</v>
          </cell>
          <cell r="E21">
            <v>2</v>
          </cell>
          <cell r="F21">
            <v>96</v>
          </cell>
          <cell r="G21">
            <v>3</v>
          </cell>
          <cell r="H21">
            <v>16</v>
          </cell>
          <cell r="I21">
            <v>0</v>
          </cell>
          <cell r="J21">
            <v>0</v>
          </cell>
          <cell r="K21">
            <v>29</v>
          </cell>
          <cell r="L21">
            <v>17</v>
          </cell>
          <cell r="M21">
            <v>62</v>
          </cell>
          <cell r="N21">
            <v>68</v>
          </cell>
          <cell r="O21">
            <v>18</v>
          </cell>
          <cell r="P21">
            <v>16</v>
          </cell>
          <cell r="Q21">
            <v>2</v>
          </cell>
          <cell r="R21">
            <v>22</v>
          </cell>
          <cell r="S21">
            <v>10</v>
          </cell>
          <cell r="T21">
            <v>3</v>
          </cell>
          <cell r="U21">
            <v>0</v>
          </cell>
          <cell r="V21">
            <v>85</v>
          </cell>
          <cell r="W21">
            <v>0</v>
          </cell>
          <cell r="X21">
            <v>22</v>
          </cell>
          <cell r="Y21">
            <v>28</v>
          </cell>
          <cell r="Z21">
            <v>0</v>
          </cell>
          <cell r="AA21">
            <v>29</v>
          </cell>
          <cell r="AB21">
            <v>1</v>
          </cell>
          <cell r="AC21">
            <v>20</v>
          </cell>
          <cell r="AD21">
            <v>0</v>
          </cell>
          <cell r="AE21">
            <v>22</v>
          </cell>
          <cell r="AF21">
            <v>0</v>
          </cell>
          <cell r="AG21">
            <v>17</v>
          </cell>
          <cell r="AH21">
            <v>0</v>
          </cell>
          <cell r="AI21">
            <v>621</v>
          </cell>
          <cell r="AJ21">
            <v>96</v>
          </cell>
          <cell r="AK21">
            <v>23</v>
          </cell>
        </row>
        <row r="22">
          <cell r="C22">
            <v>350124015</v>
          </cell>
          <cell r="D22">
            <v>53</v>
          </cell>
          <cell r="E22">
            <v>0</v>
          </cell>
          <cell r="F22">
            <v>0</v>
          </cell>
          <cell r="G22">
            <v>8</v>
          </cell>
          <cell r="H22">
            <v>15</v>
          </cell>
          <cell r="I22">
            <v>1</v>
          </cell>
          <cell r="J22">
            <v>36</v>
          </cell>
          <cell r="K22">
            <v>0</v>
          </cell>
          <cell r="L22">
            <v>0</v>
          </cell>
          <cell r="M22">
            <v>0</v>
          </cell>
          <cell r="N22">
            <v>25</v>
          </cell>
          <cell r="O22">
            <v>0</v>
          </cell>
          <cell r="P22">
            <v>0</v>
          </cell>
          <cell r="Q22">
            <v>0</v>
          </cell>
          <cell r="R22">
            <v>3</v>
          </cell>
          <cell r="S22">
            <v>6</v>
          </cell>
          <cell r="T22">
            <v>3</v>
          </cell>
          <cell r="U22">
            <v>0</v>
          </cell>
          <cell r="V22">
            <v>0</v>
          </cell>
          <cell r="W22">
            <v>74</v>
          </cell>
          <cell r="X22">
            <v>35</v>
          </cell>
          <cell r="Y22">
            <v>25</v>
          </cell>
          <cell r="Z22">
            <v>18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34</v>
          </cell>
          <cell r="AF22">
            <v>0</v>
          </cell>
          <cell r="AG22">
            <v>2</v>
          </cell>
          <cell r="AH22">
            <v>0</v>
          </cell>
          <cell r="AI22">
            <v>338</v>
          </cell>
          <cell r="AJ22">
            <v>74</v>
          </cell>
          <cell r="AK22">
            <v>15</v>
          </cell>
        </row>
        <row r="23">
          <cell r="C23">
            <v>350124014</v>
          </cell>
          <cell r="D23">
            <v>26</v>
          </cell>
          <cell r="E23">
            <v>7</v>
          </cell>
          <cell r="F23">
            <v>0</v>
          </cell>
          <cell r="G23">
            <v>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2</v>
          </cell>
          <cell r="S23">
            <v>12</v>
          </cell>
          <cell r="T23">
            <v>0</v>
          </cell>
          <cell r="U23">
            <v>0</v>
          </cell>
          <cell r="V23">
            <v>0</v>
          </cell>
          <cell r="W23">
            <v>17</v>
          </cell>
          <cell r="X23">
            <v>20</v>
          </cell>
          <cell r="Y23">
            <v>11</v>
          </cell>
          <cell r="Z23">
            <v>2</v>
          </cell>
          <cell r="AA23">
            <v>2</v>
          </cell>
          <cell r="AB23">
            <v>0</v>
          </cell>
          <cell r="AC23">
            <v>4</v>
          </cell>
          <cell r="AD23">
            <v>3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108</v>
          </cell>
          <cell r="AJ23">
            <v>26</v>
          </cell>
          <cell r="AK23">
            <v>12</v>
          </cell>
        </row>
        <row r="24">
          <cell r="C24">
            <v>350124013</v>
          </cell>
          <cell r="D24">
            <v>30</v>
          </cell>
          <cell r="E24">
            <v>1</v>
          </cell>
          <cell r="F24">
            <v>0</v>
          </cell>
          <cell r="G24">
            <v>0</v>
          </cell>
          <cell r="H24">
            <v>20</v>
          </cell>
          <cell r="I24">
            <v>51</v>
          </cell>
          <cell r="J24">
            <v>32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3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</v>
          </cell>
          <cell r="X24">
            <v>13</v>
          </cell>
          <cell r="Y24">
            <v>28</v>
          </cell>
          <cell r="Z24">
            <v>2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198</v>
          </cell>
          <cell r="AJ24">
            <v>51</v>
          </cell>
          <cell r="AK24">
            <v>10</v>
          </cell>
        </row>
        <row r="25">
          <cell r="C25">
            <v>350124012</v>
          </cell>
          <cell r="D25">
            <v>25</v>
          </cell>
          <cell r="E25">
            <v>0</v>
          </cell>
          <cell r="F25">
            <v>0</v>
          </cell>
          <cell r="G25">
            <v>27</v>
          </cell>
          <cell r="H25">
            <v>14</v>
          </cell>
          <cell r="I25">
            <v>2</v>
          </cell>
          <cell r="J25">
            <v>0</v>
          </cell>
          <cell r="K25">
            <v>0</v>
          </cell>
          <cell r="L25">
            <v>35</v>
          </cell>
          <cell r="M25">
            <v>0</v>
          </cell>
          <cell r="N25">
            <v>100</v>
          </cell>
          <cell r="O25">
            <v>0</v>
          </cell>
          <cell r="P25">
            <v>0</v>
          </cell>
          <cell r="Q25">
            <v>0</v>
          </cell>
          <cell r="R25">
            <v>47</v>
          </cell>
          <cell r="S25">
            <v>19</v>
          </cell>
          <cell r="T25">
            <v>0</v>
          </cell>
          <cell r="U25">
            <v>0</v>
          </cell>
          <cell r="V25">
            <v>0</v>
          </cell>
          <cell r="W25">
            <v>5</v>
          </cell>
          <cell r="X25">
            <v>2</v>
          </cell>
          <cell r="Y25">
            <v>0</v>
          </cell>
          <cell r="Z25">
            <v>6</v>
          </cell>
          <cell r="AA25">
            <v>0</v>
          </cell>
          <cell r="AB25">
            <v>0</v>
          </cell>
          <cell r="AC25">
            <v>0</v>
          </cell>
          <cell r="AD25">
            <v>6</v>
          </cell>
          <cell r="AE25">
            <v>19</v>
          </cell>
          <cell r="AF25">
            <v>0</v>
          </cell>
          <cell r="AG25">
            <v>0</v>
          </cell>
          <cell r="AH25">
            <v>0</v>
          </cell>
          <cell r="AI25">
            <v>307</v>
          </cell>
          <cell r="AJ25">
            <v>100</v>
          </cell>
          <cell r="AK25">
            <v>13</v>
          </cell>
        </row>
        <row r="26">
          <cell r="C26">
            <v>350124011</v>
          </cell>
          <cell r="D26">
            <v>38</v>
          </cell>
          <cell r="E26">
            <v>0</v>
          </cell>
          <cell r="F26">
            <v>7</v>
          </cell>
          <cell r="G26">
            <v>0</v>
          </cell>
          <cell r="H26">
            <v>52</v>
          </cell>
          <cell r="I26">
            <v>4</v>
          </cell>
          <cell r="J26">
            <v>2</v>
          </cell>
          <cell r="K26">
            <v>36</v>
          </cell>
          <cell r="L26">
            <v>5</v>
          </cell>
          <cell r="M26">
            <v>38</v>
          </cell>
          <cell r="N26">
            <v>14</v>
          </cell>
          <cell r="O26">
            <v>0</v>
          </cell>
          <cell r="P26">
            <v>0</v>
          </cell>
          <cell r="Q26">
            <v>0</v>
          </cell>
          <cell r="R26">
            <v>8</v>
          </cell>
          <cell r="S26">
            <v>7</v>
          </cell>
          <cell r="T26">
            <v>0</v>
          </cell>
          <cell r="U26">
            <v>0</v>
          </cell>
          <cell r="V26">
            <v>0</v>
          </cell>
          <cell r="W26">
            <v>30</v>
          </cell>
          <cell r="X26">
            <v>13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254</v>
          </cell>
          <cell r="AJ26">
            <v>52</v>
          </cell>
          <cell r="AK26">
            <v>13</v>
          </cell>
        </row>
        <row r="27">
          <cell r="C27">
            <v>350124010</v>
          </cell>
          <cell r="D27">
            <v>31</v>
          </cell>
          <cell r="E27">
            <v>0</v>
          </cell>
          <cell r="F27">
            <v>1</v>
          </cell>
          <cell r="G27">
            <v>1</v>
          </cell>
          <cell r="H27">
            <v>23</v>
          </cell>
          <cell r="I27">
            <v>40</v>
          </cell>
          <cell r="J27">
            <v>3</v>
          </cell>
          <cell r="K27">
            <v>2</v>
          </cell>
          <cell r="L27">
            <v>8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9</v>
          </cell>
          <cell r="S27">
            <v>19</v>
          </cell>
          <cell r="T27">
            <v>0</v>
          </cell>
          <cell r="U27">
            <v>0</v>
          </cell>
          <cell r="V27">
            <v>0</v>
          </cell>
          <cell r="W27">
            <v>4</v>
          </cell>
          <cell r="X27">
            <v>9</v>
          </cell>
          <cell r="Y27">
            <v>8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  <cell r="AE27">
            <v>6</v>
          </cell>
          <cell r="AF27">
            <v>0</v>
          </cell>
          <cell r="AG27">
            <v>0</v>
          </cell>
          <cell r="AH27">
            <v>0</v>
          </cell>
          <cell r="AI27">
            <v>165</v>
          </cell>
          <cell r="AJ27">
            <v>40</v>
          </cell>
          <cell r="AK27">
            <v>15</v>
          </cell>
        </row>
        <row r="28">
          <cell r="C28">
            <v>350124009</v>
          </cell>
          <cell r="D28">
            <v>27</v>
          </cell>
          <cell r="E28">
            <v>0</v>
          </cell>
          <cell r="F28">
            <v>0</v>
          </cell>
          <cell r="G28">
            <v>5</v>
          </cell>
          <cell r="H28">
            <v>35</v>
          </cell>
          <cell r="I28">
            <v>2</v>
          </cell>
          <cell r="J28">
            <v>3</v>
          </cell>
          <cell r="K28">
            <v>0</v>
          </cell>
          <cell r="L28">
            <v>2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15</v>
          </cell>
          <cell r="R28">
            <v>61</v>
          </cell>
          <cell r="S28">
            <v>23</v>
          </cell>
          <cell r="T28">
            <v>0</v>
          </cell>
          <cell r="U28">
            <v>0</v>
          </cell>
          <cell r="V28">
            <v>0</v>
          </cell>
          <cell r="W28">
            <v>2</v>
          </cell>
          <cell r="X28">
            <v>3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15</v>
          </cell>
          <cell r="AE28">
            <v>44</v>
          </cell>
          <cell r="AF28">
            <v>0</v>
          </cell>
          <cell r="AG28">
            <v>0</v>
          </cell>
          <cell r="AH28">
            <v>0</v>
          </cell>
          <cell r="AI28">
            <v>237</v>
          </cell>
          <cell r="AJ28">
            <v>61</v>
          </cell>
          <cell r="AK28">
            <v>13</v>
          </cell>
        </row>
        <row r="29">
          <cell r="C29">
            <v>350124008</v>
          </cell>
          <cell r="D29">
            <v>14</v>
          </cell>
          <cell r="E29">
            <v>0</v>
          </cell>
          <cell r="F29">
            <v>10</v>
          </cell>
          <cell r="G29">
            <v>8</v>
          </cell>
          <cell r="H29">
            <v>10</v>
          </cell>
          <cell r="I29">
            <v>0</v>
          </cell>
          <cell r="J29">
            <v>0</v>
          </cell>
          <cell r="K29">
            <v>9</v>
          </cell>
          <cell r="L29">
            <v>27</v>
          </cell>
          <cell r="M29">
            <v>0</v>
          </cell>
          <cell r="N29">
            <v>129</v>
          </cell>
          <cell r="O29">
            <v>0</v>
          </cell>
          <cell r="P29">
            <v>0</v>
          </cell>
          <cell r="Q29">
            <v>11</v>
          </cell>
          <cell r="R29">
            <v>21</v>
          </cell>
          <cell r="S29">
            <v>19</v>
          </cell>
          <cell r="T29">
            <v>0</v>
          </cell>
          <cell r="U29">
            <v>0</v>
          </cell>
          <cell r="V29">
            <v>0</v>
          </cell>
          <cell r="W29">
            <v>21</v>
          </cell>
          <cell r="X29">
            <v>0</v>
          </cell>
          <cell r="Y29">
            <v>8</v>
          </cell>
          <cell r="Z29">
            <v>0</v>
          </cell>
          <cell r="AA29">
            <v>3</v>
          </cell>
          <cell r="AB29">
            <v>0</v>
          </cell>
          <cell r="AC29">
            <v>0</v>
          </cell>
          <cell r="AD29">
            <v>1</v>
          </cell>
          <cell r="AE29">
            <v>29</v>
          </cell>
          <cell r="AF29">
            <v>0</v>
          </cell>
          <cell r="AG29">
            <v>4</v>
          </cell>
          <cell r="AH29">
            <v>0</v>
          </cell>
          <cell r="AI29">
            <v>324</v>
          </cell>
          <cell r="AJ29">
            <v>129</v>
          </cell>
          <cell r="AK29">
            <v>16</v>
          </cell>
        </row>
        <row r="30">
          <cell r="C30">
            <v>350124007</v>
          </cell>
          <cell r="D30">
            <v>11</v>
          </cell>
          <cell r="E30">
            <v>0</v>
          </cell>
          <cell r="F30">
            <v>35</v>
          </cell>
          <cell r="G30">
            <v>0</v>
          </cell>
          <cell r="H30">
            <v>55</v>
          </cell>
          <cell r="I30">
            <v>3</v>
          </cell>
          <cell r="J30">
            <v>1</v>
          </cell>
          <cell r="K30">
            <v>35</v>
          </cell>
          <cell r="L30">
            <v>8</v>
          </cell>
          <cell r="M30">
            <v>21</v>
          </cell>
          <cell r="N30">
            <v>8</v>
          </cell>
          <cell r="O30">
            <v>0</v>
          </cell>
          <cell r="P30">
            <v>2</v>
          </cell>
          <cell r="Q30">
            <v>7</v>
          </cell>
          <cell r="R30">
            <v>12</v>
          </cell>
          <cell r="S30">
            <v>13</v>
          </cell>
          <cell r="T30">
            <v>0</v>
          </cell>
          <cell r="U30">
            <v>18</v>
          </cell>
          <cell r="V30">
            <v>12</v>
          </cell>
          <cell r="W30">
            <v>3</v>
          </cell>
          <cell r="X30">
            <v>14</v>
          </cell>
          <cell r="Y30">
            <v>0</v>
          </cell>
          <cell r="Z30">
            <v>0</v>
          </cell>
          <cell r="AA30">
            <v>9</v>
          </cell>
          <cell r="AB30">
            <v>0</v>
          </cell>
          <cell r="AC30">
            <v>0</v>
          </cell>
          <cell r="AD30">
            <v>0</v>
          </cell>
          <cell r="AE30">
            <v>5</v>
          </cell>
          <cell r="AF30">
            <v>0</v>
          </cell>
          <cell r="AG30">
            <v>46</v>
          </cell>
          <cell r="AH30">
            <v>0</v>
          </cell>
          <cell r="AI30">
            <v>318</v>
          </cell>
          <cell r="AJ30">
            <v>55</v>
          </cell>
          <cell r="AK30">
            <v>20</v>
          </cell>
        </row>
        <row r="31">
          <cell r="C31">
            <v>350124006</v>
          </cell>
          <cell r="D31">
            <v>48</v>
          </cell>
          <cell r="E31">
            <v>0</v>
          </cell>
          <cell r="F31">
            <v>1</v>
          </cell>
          <cell r="G31">
            <v>7</v>
          </cell>
          <cell r="H31">
            <v>74</v>
          </cell>
          <cell r="I31">
            <v>6</v>
          </cell>
          <cell r="J31">
            <v>2</v>
          </cell>
          <cell r="K31">
            <v>0</v>
          </cell>
          <cell r="L31">
            <v>1</v>
          </cell>
          <cell r="M31">
            <v>0</v>
          </cell>
          <cell r="N31">
            <v>1</v>
          </cell>
          <cell r="O31">
            <v>0</v>
          </cell>
          <cell r="P31">
            <v>0</v>
          </cell>
          <cell r="Q31">
            <v>0</v>
          </cell>
          <cell r="R31">
            <v>8</v>
          </cell>
          <cell r="S31">
            <v>16</v>
          </cell>
          <cell r="T31">
            <v>13</v>
          </cell>
          <cell r="U31">
            <v>0</v>
          </cell>
          <cell r="V31">
            <v>0</v>
          </cell>
          <cell r="W31">
            <v>21</v>
          </cell>
          <cell r="X31">
            <v>6</v>
          </cell>
          <cell r="Y31">
            <v>0</v>
          </cell>
          <cell r="Z31">
            <v>0</v>
          </cell>
          <cell r="AA31">
            <v>6</v>
          </cell>
          <cell r="AB31">
            <v>0</v>
          </cell>
          <cell r="AC31">
            <v>0</v>
          </cell>
          <cell r="AD31">
            <v>0</v>
          </cell>
          <cell r="AE31">
            <v>46</v>
          </cell>
          <cell r="AF31">
            <v>0</v>
          </cell>
          <cell r="AG31">
            <v>4</v>
          </cell>
          <cell r="AH31">
            <v>0</v>
          </cell>
          <cell r="AI31">
            <v>260</v>
          </cell>
          <cell r="AJ31">
            <v>74</v>
          </cell>
          <cell r="AK31">
            <v>16</v>
          </cell>
        </row>
        <row r="32">
          <cell r="C32">
            <v>350124005</v>
          </cell>
          <cell r="D32">
            <v>37</v>
          </cell>
          <cell r="E32">
            <v>7</v>
          </cell>
          <cell r="F32">
            <v>0</v>
          </cell>
          <cell r="G32">
            <v>5</v>
          </cell>
          <cell r="H32">
            <v>41</v>
          </cell>
          <cell r="I32">
            <v>0</v>
          </cell>
          <cell r="J32">
            <v>0</v>
          </cell>
          <cell r="K32">
            <v>0</v>
          </cell>
          <cell r="L32">
            <v>4</v>
          </cell>
          <cell r="M32">
            <v>2</v>
          </cell>
          <cell r="N32">
            <v>12</v>
          </cell>
          <cell r="O32">
            <v>0</v>
          </cell>
          <cell r="P32">
            <v>0</v>
          </cell>
          <cell r="Q32">
            <v>8</v>
          </cell>
          <cell r="R32">
            <v>46</v>
          </cell>
          <cell r="S32">
            <v>5</v>
          </cell>
          <cell r="T32">
            <v>0</v>
          </cell>
          <cell r="U32">
            <v>0</v>
          </cell>
          <cell r="V32">
            <v>4</v>
          </cell>
          <cell r="W32">
            <v>0</v>
          </cell>
          <cell r="X32">
            <v>14</v>
          </cell>
          <cell r="Y32">
            <v>0</v>
          </cell>
          <cell r="Z32">
            <v>5</v>
          </cell>
          <cell r="AA32">
            <v>0</v>
          </cell>
          <cell r="AB32">
            <v>0</v>
          </cell>
          <cell r="AC32">
            <v>0</v>
          </cell>
          <cell r="AD32">
            <v>8</v>
          </cell>
          <cell r="AE32">
            <v>26</v>
          </cell>
          <cell r="AF32">
            <v>0</v>
          </cell>
          <cell r="AG32">
            <v>0</v>
          </cell>
          <cell r="AH32">
            <v>0</v>
          </cell>
          <cell r="AI32">
            <v>224</v>
          </cell>
          <cell r="AJ32">
            <v>46</v>
          </cell>
          <cell r="AK32">
            <v>15</v>
          </cell>
        </row>
        <row r="33">
          <cell r="C33">
            <v>350124004</v>
          </cell>
          <cell r="D33">
            <v>127</v>
          </cell>
          <cell r="E33">
            <v>0</v>
          </cell>
          <cell r="F33">
            <v>6</v>
          </cell>
          <cell r="G33">
            <v>16</v>
          </cell>
          <cell r="H33">
            <v>3</v>
          </cell>
          <cell r="I33">
            <v>0</v>
          </cell>
          <cell r="J33">
            <v>8</v>
          </cell>
          <cell r="K33">
            <v>0</v>
          </cell>
          <cell r="L33">
            <v>36</v>
          </cell>
          <cell r="M33">
            <v>5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7</v>
          </cell>
          <cell r="T33">
            <v>0</v>
          </cell>
          <cell r="U33">
            <v>2</v>
          </cell>
          <cell r="V33">
            <v>0</v>
          </cell>
          <cell r="W33">
            <v>6</v>
          </cell>
          <cell r="X33">
            <v>13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6</v>
          </cell>
          <cell r="AI33">
            <v>235</v>
          </cell>
          <cell r="AJ33">
            <v>127</v>
          </cell>
          <cell r="AK33">
            <v>12</v>
          </cell>
        </row>
        <row r="34">
          <cell r="C34">
            <v>350124003</v>
          </cell>
          <cell r="D34">
            <v>23</v>
          </cell>
          <cell r="E34">
            <v>5</v>
          </cell>
          <cell r="F34">
            <v>12</v>
          </cell>
          <cell r="G34">
            <v>0</v>
          </cell>
          <cell r="H34">
            <v>32</v>
          </cell>
          <cell r="I34">
            <v>9</v>
          </cell>
          <cell r="J34">
            <v>0</v>
          </cell>
          <cell r="K34">
            <v>74</v>
          </cell>
          <cell r="L34">
            <v>21</v>
          </cell>
          <cell r="M34">
            <v>42</v>
          </cell>
          <cell r="N34">
            <v>21</v>
          </cell>
          <cell r="O34">
            <v>2</v>
          </cell>
          <cell r="P34">
            <v>10</v>
          </cell>
          <cell r="Q34">
            <v>5</v>
          </cell>
          <cell r="R34">
            <v>14</v>
          </cell>
          <cell r="S34">
            <v>11</v>
          </cell>
          <cell r="T34">
            <v>0</v>
          </cell>
          <cell r="U34">
            <v>0</v>
          </cell>
          <cell r="V34">
            <v>23</v>
          </cell>
          <cell r="W34">
            <v>12</v>
          </cell>
          <cell r="X34">
            <v>16</v>
          </cell>
          <cell r="Y34">
            <v>7</v>
          </cell>
          <cell r="Z34">
            <v>2</v>
          </cell>
          <cell r="AA34">
            <v>40</v>
          </cell>
          <cell r="AB34">
            <v>0</v>
          </cell>
          <cell r="AC34">
            <v>2</v>
          </cell>
          <cell r="AD34">
            <v>0</v>
          </cell>
          <cell r="AE34">
            <v>5</v>
          </cell>
          <cell r="AF34">
            <v>0</v>
          </cell>
          <cell r="AG34">
            <v>47</v>
          </cell>
          <cell r="AH34">
            <v>0</v>
          </cell>
          <cell r="AI34">
            <v>435</v>
          </cell>
          <cell r="AJ34">
            <v>74</v>
          </cell>
          <cell r="AK34">
            <v>23</v>
          </cell>
        </row>
        <row r="35">
          <cell r="C35">
            <v>350124002</v>
          </cell>
          <cell r="D35">
            <v>44</v>
          </cell>
          <cell r="E35">
            <v>0</v>
          </cell>
          <cell r="F35">
            <v>0</v>
          </cell>
          <cell r="G35">
            <v>2</v>
          </cell>
          <cell r="H35">
            <v>28</v>
          </cell>
          <cell r="I35">
            <v>53</v>
          </cell>
          <cell r="J35">
            <v>12</v>
          </cell>
          <cell r="K35">
            <v>2</v>
          </cell>
          <cell r="L35">
            <v>0</v>
          </cell>
          <cell r="M35">
            <v>0</v>
          </cell>
          <cell r="N35">
            <v>4</v>
          </cell>
          <cell r="O35">
            <v>0</v>
          </cell>
          <cell r="P35">
            <v>0</v>
          </cell>
          <cell r="Q35">
            <v>0</v>
          </cell>
          <cell r="R35">
            <v>3</v>
          </cell>
          <cell r="S35">
            <v>5</v>
          </cell>
          <cell r="T35">
            <v>0</v>
          </cell>
          <cell r="U35">
            <v>0</v>
          </cell>
          <cell r="V35">
            <v>0</v>
          </cell>
          <cell r="W35">
            <v>18</v>
          </cell>
          <cell r="X35">
            <v>38</v>
          </cell>
          <cell r="Y35">
            <v>5</v>
          </cell>
          <cell r="Z35">
            <v>32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3</v>
          </cell>
          <cell r="AH35">
            <v>0</v>
          </cell>
          <cell r="AI35">
            <v>249</v>
          </cell>
          <cell r="AJ35">
            <v>53</v>
          </cell>
          <cell r="AK35">
            <v>14</v>
          </cell>
        </row>
        <row r="36">
          <cell r="C36">
            <v>350124001</v>
          </cell>
          <cell r="D36">
            <v>27</v>
          </cell>
          <cell r="E36">
            <v>2</v>
          </cell>
          <cell r="F36">
            <v>12</v>
          </cell>
          <cell r="G36">
            <v>14</v>
          </cell>
          <cell r="H36">
            <v>67</v>
          </cell>
          <cell r="I36">
            <v>33</v>
          </cell>
          <cell r="J36">
            <v>12</v>
          </cell>
          <cell r="K36">
            <v>40</v>
          </cell>
          <cell r="L36">
            <v>9</v>
          </cell>
          <cell r="M36">
            <v>6</v>
          </cell>
          <cell r="N36">
            <v>3</v>
          </cell>
          <cell r="O36">
            <v>0</v>
          </cell>
          <cell r="P36">
            <v>0</v>
          </cell>
          <cell r="Q36">
            <v>5</v>
          </cell>
          <cell r="R36">
            <v>40</v>
          </cell>
          <cell r="S36">
            <v>3</v>
          </cell>
          <cell r="T36">
            <v>10</v>
          </cell>
          <cell r="U36">
            <v>0</v>
          </cell>
          <cell r="V36">
            <v>0</v>
          </cell>
          <cell r="W36">
            <v>41</v>
          </cell>
          <cell r="X36">
            <v>5</v>
          </cell>
          <cell r="Y36">
            <v>9</v>
          </cell>
          <cell r="Z36">
            <v>2</v>
          </cell>
          <cell r="AA36">
            <v>5</v>
          </cell>
          <cell r="AB36">
            <v>0</v>
          </cell>
          <cell r="AC36">
            <v>0</v>
          </cell>
          <cell r="AD36">
            <v>4</v>
          </cell>
          <cell r="AE36">
            <v>6</v>
          </cell>
          <cell r="AF36">
            <v>0</v>
          </cell>
          <cell r="AG36">
            <v>0</v>
          </cell>
          <cell r="AH36">
            <v>0</v>
          </cell>
          <cell r="AI36">
            <v>355</v>
          </cell>
          <cell r="AJ36">
            <v>67</v>
          </cell>
          <cell r="AK36">
            <v>22</v>
          </cell>
        </row>
        <row r="37">
          <cell r="C37">
            <v>350123037</v>
          </cell>
          <cell r="D37">
            <v>28</v>
          </cell>
          <cell r="E37">
            <v>0</v>
          </cell>
          <cell r="F37">
            <v>1</v>
          </cell>
          <cell r="G37">
            <v>8</v>
          </cell>
          <cell r="H37">
            <v>39</v>
          </cell>
          <cell r="I37">
            <v>0</v>
          </cell>
          <cell r="J37">
            <v>18</v>
          </cell>
          <cell r="K37">
            <v>31</v>
          </cell>
          <cell r="L37">
            <v>15</v>
          </cell>
          <cell r="M37">
            <v>5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14</v>
          </cell>
          <cell r="S37">
            <v>0</v>
          </cell>
          <cell r="T37">
            <v>9</v>
          </cell>
          <cell r="U37">
            <v>0</v>
          </cell>
          <cell r="V37">
            <v>0</v>
          </cell>
          <cell r="W37">
            <v>0</v>
          </cell>
          <cell r="X37">
            <v>24</v>
          </cell>
          <cell r="Y37">
            <v>0</v>
          </cell>
          <cell r="Z37">
            <v>1</v>
          </cell>
          <cell r="AA37">
            <v>4</v>
          </cell>
          <cell r="AB37">
            <v>0</v>
          </cell>
          <cell r="AC37">
            <v>0</v>
          </cell>
          <cell r="AD37">
            <v>1</v>
          </cell>
          <cell r="AE37">
            <v>46</v>
          </cell>
          <cell r="AF37">
            <v>0</v>
          </cell>
          <cell r="AG37">
            <v>0</v>
          </cell>
          <cell r="AH37">
            <v>0</v>
          </cell>
          <cell r="AI37">
            <v>246</v>
          </cell>
          <cell r="AJ37">
            <v>46</v>
          </cell>
          <cell r="AK37">
            <v>16</v>
          </cell>
        </row>
        <row r="38">
          <cell r="C38">
            <v>350123036</v>
          </cell>
          <cell r="D38">
            <v>69</v>
          </cell>
          <cell r="E38">
            <v>0</v>
          </cell>
          <cell r="F38">
            <v>0</v>
          </cell>
          <cell r="G38">
            <v>7</v>
          </cell>
          <cell r="H38">
            <v>20</v>
          </cell>
          <cell r="I38">
            <v>1</v>
          </cell>
          <cell r="J38">
            <v>35</v>
          </cell>
          <cell r="K38">
            <v>20</v>
          </cell>
          <cell r="L38">
            <v>0</v>
          </cell>
          <cell r="M38">
            <v>0</v>
          </cell>
          <cell r="N38">
            <v>9</v>
          </cell>
          <cell r="O38">
            <v>15</v>
          </cell>
          <cell r="P38">
            <v>0</v>
          </cell>
          <cell r="Q38">
            <v>0</v>
          </cell>
          <cell r="R38">
            <v>15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40</v>
          </cell>
          <cell r="Y38">
            <v>0</v>
          </cell>
          <cell r="Z38">
            <v>3</v>
          </cell>
          <cell r="AA38">
            <v>2</v>
          </cell>
          <cell r="AB38">
            <v>0</v>
          </cell>
          <cell r="AC38">
            <v>0</v>
          </cell>
          <cell r="AD38">
            <v>0</v>
          </cell>
          <cell r="AE38">
            <v>3</v>
          </cell>
          <cell r="AF38">
            <v>0</v>
          </cell>
          <cell r="AG38">
            <v>0</v>
          </cell>
          <cell r="AH38">
            <v>0</v>
          </cell>
          <cell r="AI38">
            <v>239</v>
          </cell>
          <cell r="AJ38">
            <v>69</v>
          </cell>
          <cell r="AK38">
            <v>13</v>
          </cell>
        </row>
        <row r="39">
          <cell r="C39">
            <v>350123035</v>
          </cell>
          <cell r="D39">
            <v>3</v>
          </cell>
          <cell r="E39">
            <v>1</v>
          </cell>
          <cell r="F39">
            <v>3</v>
          </cell>
          <cell r="G39">
            <v>3</v>
          </cell>
          <cell r="H39">
            <v>15</v>
          </cell>
          <cell r="I39">
            <v>76</v>
          </cell>
          <cell r="J39">
            <v>56</v>
          </cell>
          <cell r="K39">
            <v>42</v>
          </cell>
          <cell r="L39">
            <v>2</v>
          </cell>
          <cell r="M39">
            <v>0</v>
          </cell>
          <cell r="N39">
            <v>6</v>
          </cell>
          <cell r="O39">
            <v>0</v>
          </cell>
          <cell r="P39">
            <v>1</v>
          </cell>
          <cell r="Q39">
            <v>2</v>
          </cell>
          <cell r="R39">
            <v>5</v>
          </cell>
          <cell r="S39">
            <v>0</v>
          </cell>
          <cell r="T39">
            <v>8</v>
          </cell>
          <cell r="U39">
            <v>0</v>
          </cell>
          <cell r="V39">
            <v>0</v>
          </cell>
          <cell r="W39">
            <v>2</v>
          </cell>
          <cell r="X39">
            <v>7</v>
          </cell>
          <cell r="Y39">
            <v>6</v>
          </cell>
          <cell r="Z39">
            <v>2</v>
          </cell>
          <cell r="AA39">
            <v>76</v>
          </cell>
          <cell r="AB39">
            <v>0</v>
          </cell>
          <cell r="AC39">
            <v>0</v>
          </cell>
          <cell r="AD39">
            <v>38</v>
          </cell>
          <cell r="AE39">
            <v>3</v>
          </cell>
          <cell r="AF39">
            <v>0</v>
          </cell>
          <cell r="AG39">
            <v>0</v>
          </cell>
          <cell r="AH39">
            <v>0</v>
          </cell>
          <cell r="AI39">
            <v>357</v>
          </cell>
          <cell r="AJ39">
            <v>76</v>
          </cell>
          <cell r="AK39">
            <v>21</v>
          </cell>
        </row>
        <row r="40">
          <cell r="C40">
            <v>350123034</v>
          </cell>
          <cell r="D40">
            <v>29</v>
          </cell>
          <cell r="E40">
            <v>0</v>
          </cell>
          <cell r="F40">
            <v>1</v>
          </cell>
          <cell r="G40">
            <v>2</v>
          </cell>
          <cell r="H40">
            <v>12</v>
          </cell>
          <cell r="I40">
            <v>2</v>
          </cell>
          <cell r="J40">
            <v>29</v>
          </cell>
          <cell r="K40">
            <v>0</v>
          </cell>
          <cell r="L40">
            <v>0</v>
          </cell>
          <cell r="M40">
            <v>0</v>
          </cell>
          <cell r="N40">
            <v>1</v>
          </cell>
          <cell r="O40">
            <v>1</v>
          </cell>
          <cell r="P40">
            <v>0</v>
          </cell>
          <cell r="Q40">
            <v>8</v>
          </cell>
          <cell r="R40">
            <v>56</v>
          </cell>
          <cell r="S40">
            <v>17</v>
          </cell>
          <cell r="T40">
            <v>0</v>
          </cell>
          <cell r="U40">
            <v>2</v>
          </cell>
          <cell r="V40">
            <v>0</v>
          </cell>
          <cell r="W40">
            <v>0</v>
          </cell>
          <cell r="X40">
            <v>16</v>
          </cell>
          <cell r="Y40">
            <v>0</v>
          </cell>
          <cell r="Z40">
            <v>2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43</v>
          </cell>
          <cell r="AF40">
            <v>0</v>
          </cell>
          <cell r="AG40">
            <v>0</v>
          </cell>
          <cell r="AH40">
            <v>0</v>
          </cell>
          <cell r="AI40">
            <v>221</v>
          </cell>
          <cell r="AJ40">
            <v>56</v>
          </cell>
          <cell r="AK40">
            <v>15</v>
          </cell>
        </row>
        <row r="41">
          <cell r="C41">
            <v>350123033</v>
          </cell>
          <cell r="D41">
            <v>40.5</v>
          </cell>
          <cell r="E41">
            <v>0</v>
          </cell>
          <cell r="F41">
            <v>7</v>
          </cell>
          <cell r="G41">
            <v>17</v>
          </cell>
          <cell r="H41">
            <v>34</v>
          </cell>
          <cell r="I41">
            <v>5.5</v>
          </cell>
          <cell r="J41">
            <v>19</v>
          </cell>
          <cell r="K41">
            <v>47</v>
          </cell>
          <cell r="L41">
            <v>4</v>
          </cell>
          <cell r="M41">
            <v>22.5</v>
          </cell>
          <cell r="N41">
            <v>4</v>
          </cell>
          <cell r="O41">
            <v>1</v>
          </cell>
          <cell r="P41">
            <v>0</v>
          </cell>
          <cell r="Q41">
            <v>19</v>
          </cell>
          <cell r="R41">
            <v>16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71.5</v>
          </cell>
          <cell r="X41">
            <v>12.5</v>
          </cell>
          <cell r="Y41">
            <v>30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130</v>
          </cell>
          <cell r="AF41">
            <v>0</v>
          </cell>
          <cell r="AG41">
            <v>0</v>
          </cell>
          <cell r="AH41">
            <v>0</v>
          </cell>
          <cell r="AI41">
            <v>480.5</v>
          </cell>
          <cell r="AJ41">
            <v>130</v>
          </cell>
          <cell r="AK41">
            <v>17</v>
          </cell>
        </row>
        <row r="42">
          <cell r="C42">
            <v>350123032</v>
          </cell>
          <cell r="D42">
            <v>9</v>
          </cell>
          <cell r="E42">
            <v>9</v>
          </cell>
          <cell r="F42">
            <v>43</v>
          </cell>
          <cell r="G42">
            <v>0</v>
          </cell>
          <cell r="H42">
            <v>5</v>
          </cell>
          <cell r="I42">
            <v>35</v>
          </cell>
          <cell r="J42">
            <v>12</v>
          </cell>
          <cell r="K42">
            <v>5</v>
          </cell>
          <cell r="L42">
            <v>7</v>
          </cell>
          <cell r="M42">
            <v>5</v>
          </cell>
          <cell r="N42">
            <v>40</v>
          </cell>
          <cell r="O42">
            <v>0</v>
          </cell>
          <cell r="P42">
            <v>0</v>
          </cell>
          <cell r="Q42">
            <v>10</v>
          </cell>
          <cell r="R42">
            <v>16</v>
          </cell>
          <cell r="S42">
            <v>0</v>
          </cell>
          <cell r="T42">
            <v>4</v>
          </cell>
          <cell r="U42">
            <v>0</v>
          </cell>
          <cell r="V42">
            <v>0</v>
          </cell>
          <cell r="W42">
            <v>11</v>
          </cell>
          <cell r="X42">
            <v>16</v>
          </cell>
          <cell r="Y42">
            <v>4</v>
          </cell>
          <cell r="Z42">
            <v>10</v>
          </cell>
          <cell r="AA42">
            <v>18</v>
          </cell>
          <cell r="AB42">
            <v>0</v>
          </cell>
          <cell r="AC42">
            <v>0</v>
          </cell>
          <cell r="AD42">
            <v>12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271</v>
          </cell>
          <cell r="AJ42">
            <v>43</v>
          </cell>
          <cell r="AK42">
            <v>19</v>
          </cell>
        </row>
        <row r="43">
          <cell r="C43">
            <v>350123031</v>
          </cell>
          <cell r="D43">
            <v>23</v>
          </cell>
          <cell r="E43">
            <v>0</v>
          </cell>
          <cell r="F43">
            <v>17</v>
          </cell>
          <cell r="G43">
            <v>10</v>
          </cell>
          <cell r="H43">
            <v>79</v>
          </cell>
          <cell r="I43">
            <v>7</v>
          </cell>
          <cell r="J43">
            <v>13</v>
          </cell>
          <cell r="K43">
            <v>37</v>
          </cell>
          <cell r="L43">
            <v>16</v>
          </cell>
          <cell r="M43">
            <v>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43</v>
          </cell>
          <cell r="S43">
            <v>0</v>
          </cell>
          <cell r="T43">
            <v>14</v>
          </cell>
          <cell r="U43">
            <v>0</v>
          </cell>
          <cell r="V43">
            <v>0</v>
          </cell>
          <cell r="W43">
            <v>13</v>
          </cell>
          <cell r="X43">
            <v>25</v>
          </cell>
          <cell r="Y43">
            <v>7</v>
          </cell>
          <cell r="Z43">
            <v>0</v>
          </cell>
          <cell r="AA43">
            <v>2</v>
          </cell>
          <cell r="AB43">
            <v>0</v>
          </cell>
          <cell r="AC43">
            <v>0</v>
          </cell>
          <cell r="AD43">
            <v>8</v>
          </cell>
          <cell r="AE43">
            <v>5</v>
          </cell>
          <cell r="AF43">
            <v>0</v>
          </cell>
          <cell r="AG43">
            <v>0</v>
          </cell>
          <cell r="AH43">
            <v>0</v>
          </cell>
          <cell r="AI43">
            <v>322</v>
          </cell>
          <cell r="AJ43">
            <v>79</v>
          </cell>
          <cell r="AK43">
            <v>17</v>
          </cell>
        </row>
        <row r="44">
          <cell r="C44">
            <v>350123030</v>
          </cell>
          <cell r="D44">
            <v>21</v>
          </cell>
          <cell r="E44">
            <v>0</v>
          </cell>
          <cell r="F44">
            <v>2</v>
          </cell>
          <cell r="G44">
            <v>8</v>
          </cell>
          <cell r="H44">
            <v>0</v>
          </cell>
          <cell r="I44">
            <v>5</v>
          </cell>
          <cell r="J44">
            <v>12</v>
          </cell>
          <cell r="K44">
            <v>20</v>
          </cell>
          <cell r="L44">
            <v>5</v>
          </cell>
          <cell r="M44">
            <v>17</v>
          </cell>
          <cell r="N44">
            <v>100</v>
          </cell>
          <cell r="O44">
            <v>3</v>
          </cell>
          <cell r="P44">
            <v>17</v>
          </cell>
          <cell r="Q44">
            <v>0</v>
          </cell>
          <cell r="R44">
            <v>0</v>
          </cell>
          <cell r="S44">
            <v>0</v>
          </cell>
          <cell r="T44">
            <v>5</v>
          </cell>
          <cell r="U44">
            <v>0</v>
          </cell>
          <cell r="V44">
            <v>3</v>
          </cell>
          <cell r="W44">
            <v>1</v>
          </cell>
          <cell r="X44">
            <v>23</v>
          </cell>
          <cell r="Y44">
            <v>21</v>
          </cell>
          <cell r="Z44">
            <v>8</v>
          </cell>
          <cell r="AA44">
            <v>3</v>
          </cell>
          <cell r="AB44">
            <v>0</v>
          </cell>
          <cell r="AC44">
            <v>0</v>
          </cell>
          <cell r="AD44">
            <v>0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279</v>
          </cell>
          <cell r="AJ44">
            <v>100</v>
          </cell>
          <cell r="AK44">
            <v>19</v>
          </cell>
        </row>
        <row r="45">
          <cell r="C45">
            <v>350123029</v>
          </cell>
          <cell r="D45">
            <v>47</v>
          </cell>
          <cell r="E45">
            <v>0</v>
          </cell>
          <cell r="F45">
            <v>0</v>
          </cell>
          <cell r="G45">
            <v>0</v>
          </cell>
          <cell r="H45">
            <v>31</v>
          </cell>
          <cell r="I45">
            <v>7</v>
          </cell>
          <cell r="J45">
            <v>22</v>
          </cell>
          <cell r="K45">
            <v>19</v>
          </cell>
          <cell r="L45">
            <v>0</v>
          </cell>
          <cell r="M45">
            <v>0</v>
          </cell>
          <cell r="N45">
            <v>2</v>
          </cell>
          <cell r="O45">
            <v>2</v>
          </cell>
          <cell r="P45">
            <v>0</v>
          </cell>
          <cell r="Q45">
            <v>9</v>
          </cell>
          <cell r="R45">
            <v>28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2</v>
          </cell>
          <cell r="X45">
            <v>19</v>
          </cell>
          <cell r="Y45">
            <v>0</v>
          </cell>
          <cell r="Z45">
            <v>3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14</v>
          </cell>
          <cell r="AF45">
            <v>0</v>
          </cell>
          <cell r="AG45">
            <v>0</v>
          </cell>
          <cell r="AH45">
            <v>0</v>
          </cell>
          <cell r="AI45">
            <v>205</v>
          </cell>
          <cell r="AJ45">
            <v>47</v>
          </cell>
          <cell r="AK45">
            <v>13</v>
          </cell>
        </row>
        <row r="46">
          <cell r="C46">
            <v>350123028</v>
          </cell>
          <cell r="D46">
            <v>40</v>
          </cell>
          <cell r="E46">
            <v>1</v>
          </cell>
          <cell r="F46">
            <v>0</v>
          </cell>
          <cell r="G46">
            <v>0</v>
          </cell>
          <cell r="H46">
            <v>1</v>
          </cell>
          <cell r="I46">
            <v>2</v>
          </cell>
          <cell r="J46">
            <v>5</v>
          </cell>
          <cell r="K46">
            <v>6</v>
          </cell>
          <cell r="L46">
            <v>0</v>
          </cell>
          <cell r="M46">
            <v>0</v>
          </cell>
          <cell r="N46">
            <v>4</v>
          </cell>
          <cell r="O46">
            <v>2</v>
          </cell>
          <cell r="P46">
            <v>0</v>
          </cell>
          <cell r="Q46">
            <v>2</v>
          </cell>
          <cell r="R46">
            <v>11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5</v>
          </cell>
          <cell r="X46">
            <v>60</v>
          </cell>
          <cell r="Y46">
            <v>0</v>
          </cell>
          <cell r="Z46">
            <v>1</v>
          </cell>
          <cell r="AA46">
            <v>2</v>
          </cell>
          <cell r="AB46">
            <v>0</v>
          </cell>
          <cell r="AC46">
            <v>0</v>
          </cell>
          <cell r="AD46">
            <v>0</v>
          </cell>
          <cell r="AE46">
            <v>1</v>
          </cell>
          <cell r="AF46">
            <v>0</v>
          </cell>
          <cell r="AG46">
            <v>1</v>
          </cell>
          <cell r="AH46">
            <v>0</v>
          </cell>
          <cell r="AI46">
            <v>144</v>
          </cell>
          <cell r="AJ46">
            <v>60</v>
          </cell>
          <cell r="AK46">
            <v>16</v>
          </cell>
        </row>
        <row r="47">
          <cell r="C47">
            <v>350123027</v>
          </cell>
          <cell r="D47">
            <v>15</v>
          </cell>
          <cell r="E47">
            <v>6</v>
          </cell>
          <cell r="F47">
            <v>16</v>
          </cell>
          <cell r="G47">
            <v>0</v>
          </cell>
          <cell r="H47">
            <v>0</v>
          </cell>
          <cell r="I47">
            <v>18</v>
          </cell>
          <cell r="J47">
            <v>33</v>
          </cell>
          <cell r="K47">
            <v>114</v>
          </cell>
          <cell r="L47">
            <v>0</v>
          </cell>
          <cell r="M47">
            <v>0</v>
          </cell>
          <cell r="N47">
            <v>79</v>
          </cell>
          <cell r="O47">
            <v>0</v>
          </cell>
          <cell r="P47">
            <v>0</v>
          </cell>
          <cell r="Q47">
            <v>18</v>
          </cell>
          <cell r="R47">
            <v>27</v>
          </cell>
          <cell r="S47">
            <v>24</v>
          </cell>
          <cell r="T47">
            <v>97</v>
          </cell>
          <cell r="U47">
            <v>23</v>
          </cell>
          <cell r="V47">
            <v>1</v>
          </cell>
          <cell r="W47">
            <v>0</v>
          </cell>
          <cell r="X47">
            <v>2</v>
          </cell>
          <cell r="Y47">
            <v>0</v>
          </cell>
          <cell r="Z47">
            <v>1</v>
          </cell>
          <cell r="AA47">
            <v>31</v>
          </cell>
          <cell r="AB47">
            <v>0</v>
          </cell>
          <cell r="AC47">
            <v>0</v>
          </cell>
          <cell r="AD47">
            <v>0</v>
          </cell>
          <cell r="AE47">
            <v>16</v>
          </cell>
          <cell r="AF47">
            <v>0</v>
          </cell>
          <cell r="AG47">
            <v>0</v>
          </cell>
          <cell r="AH47">
            <v>0</v>
          </cell>
          <cell r="AI47">
            <v>521</v>
          </cell>
          <cell r="AJ47">
            <v>114</v>
          </cell>
          <cell r="AK47">
            <v>17</v>
          </cell>
        </row>
        <row r="48">
          <cell r="C48">
            <v>350123026</v>
          </cell>
          <cell r="D48">
            <v>10</v>
          </cell>
          <cell r="E48">
            <v>3</v>
          </cell>
          <cell r="F48">
            <v>27</v>
          </cell>
          <cell r="G48">
            <v>0</v>
          </cell>
          <cell r="H48">
            <v>12</v>
          </cell>
          <cell r="I48">
            <v>5</v>
          </cell>
          <cell r="J48">
            <v>24</v>
          </cell>
          <cell r="K48">
            <v>20</v>
          </cell>
          <cell r="L48">
            <v>8</v>
          </cell>
          <cell r="M48">
            <v>22</v>
          </cell>
          <cell r="N48">
            <v>60</v>
          </cell>
          <cell r="O48">
            <v>0</v>
          </cell>
          <cell r="P48">
            <v>0</v>
          </cell>
          <cell r="Q48">
            <v>0</v>
          </cell>
          <cell r="R48">
            <v>9</v>
          </cell>
          <cell r="S48">
            <v>0</v>
          </cell>
          <cell r="T48">
            <v>0</v>
          </cell>
          <cell r="U48">
            <v>0</v>
          </cell>
          <cell r="V48">
            <v>1</v>
          </cell>
          <cell r="W48">
            <v>26</v>
          </cell>
          <cell r="X48">
            <v>18</v>
          </cell>
          <cell r="Y48">
            <v>9</v>
          </cell>
          <cell r="Z48">
            <v>7</v>
          </cell>
          <cell r="AA48">
            <v>43</v>
          </cell>
          <cell r="AB48">
            <v>0</v>
          </cell>
          <cell r="AC48">
            <v>0</v>
          </cell>
          <cell r="AD48">
            <v>3</v>
          </cell>
          <cell r="AE48">
            <v>2</v>
          </cell>
          <cell r="AF48">
            <v>0</v>
          </cell>
          <cell r="AG48">
            <v>0</v>
          </cell>
          <cell r="AH48">
            <v>0</v>
          </cell>
          <cell r="AI48">
            <v>309</v>
          </cell>
          <cell r="AJ48">
            <v>60</v>
          </cell>
          <cell r="AK48">
            <v>19</v>
          </cell>
        </row>
        <row r="49">
          <cell r="C49">
            <v>350123025</v>
          </cell>
          <cell r="D49">
            <v>100</v>
          </cell>
          <cell r="E49">
            <v>2</v>
          </cell>
          <cell r="F49">
            <v>0</v>
          </cell>
          <cell r="G49">
            <v>0</v>
          </cell>
          <cell r="H49">
            <v>0</v>
          </cell>
          <cell r="I49">
            <v>14</v>
          </cell>
          <cell r="J49">
            <v>30</v>
          </cell>
          <cell r="K49">
            <v>14</v>
          </cell>
          <cell r="L49">
            <v>32</v>
          </cell>
          <cell r="M49">
            <v>28</v>
          </cell>
          <cell r="N49">
            <v>10</v>
          </cell>
          <cell r="O49">
            <v>22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4</v>
          </cell>
          <cell r="X49">
            <v>10</v>
          </cell>
          <cell r="Y49">
            <v>0</v>
          </cell>
          <cell r="Z49">
            <v>30</v>
          </cell>
          <cell r="AA49">
            <v>0</v>
          </cell>
          <cell r="AB49">
            <v>0</v>
          </cell>
          <cell r="AC49">
            <v>0</v>
          </cell>
          <cell r="AD49">
            <v>6</v>
          </cell>
          <cell r="AE49">
            <v>4</v>
          </cell>
          <cell r="AF49">
            <v>0</v>
          </cell>
          <cell r="AG49">
            <v>0</v>
          </cell>
          <cell r="AH49">
            <v>0</v>
          </cell>
          <cell r="AI49">
            <v>306</v>
          </cell>
          <cell r="AJ49">
            <v>100</v>
          </cell>
          <cell r="AK49">
            <v>14</v>
          </cell>
        </row>
        <row r="50">
          <cell r="C50">
            <v>350123024</v>
          </cell>
          <cell r="D50">
            <v>7</v>
          </cell>
          <cell r="E50">
            <v>1</v>
          </cell>
          <cell r="F50">
            <v>20</v>
          </cell>
          <cell r="G50">
            <v>0</v>
          </cell>
          <cell r="H50">
            <v>7</v>
          </cell>
          <cell r="I50">
            <v>23.5</v>
          </cell>
          <cell r="J50">
            <v>45</v>
          </cell>
          <cell r="K50">
            <v>6.5</v>
          </cell>
          <cell r="L50">
            <v>2</v>
          </cell>
          <cell r="M50">
            <v>1</v>
          </cell>
          <cell r="N50">
            <v>11</v>
          </cell>
          <cell r="O50">
            <v>0</v>
          </cell>
          <cell r="P50">
            <v>0</v>
          </cell>
          <cell r="Q50">
            <v>9</v>
          </cell>
          <cell r="R50">
            <v>32</v>
          </cell>
          <cell r="S50">
            <v>0</v>
          </cell>
          <cell r="T50">
            <v>9</v>
          </cell>
          <cell r="U50">
            <v>0</v>
          </cell>
          <cell r="V50">
            <v>0</v>
          </cell>
          <cell r="W50">
            <v>8</v>
          </cell>
          <cell r="X50">
            <v>18.5</v>
          </cell>
          <cell r="Y50">
            <v>0</v>
          </cell>
          <cell r="Z50">
            <v>7</v>
          </cell>
          <cell r="AA50">
            <v>29</v>
          </cell>
          <cell r="AB50">
            <v>0</v>
          </cell>
          <cell r="AC50">
            <v>0</v>
          </cell>
          <cell r="AD50">
            <v>4</v>
          </cell>
          <cell r="AE50">
            <v>25</v>
          </cell>
          <cell r="AF50">
            <v>0</v>
          </cell>
          <cell r="AG50">
            <v>0</v>
          </cell>
          <cell r="AH50">
            <v>0</v>
          </cell>
          <cell r="AI50">
            <v>265.5</v>
          </cell>
          <cell r="AJ50">
            <v>45</v>
          </cell>
          <cell r="AK50">
            <v>19</v>
          </cell>
        </row>
        <row r="51">
          <cell r="C51">
            <v>350123023</v>
          </cell>
          <cell r="D51">
            <v>40</v>
          </cell>
          <cell r="E51">
            <v>15</v>
          </cell>
          <cell r="F51">
            <v>5</v>
          </cell>
          <cell r="G51">
            <v>0</v>
          </cell>
          <cell r="H51">
            <v>0</v>
          </cell>
          <cell r="I51">
            <v>5</v>
          </cell>
          <cell r="J51">
            <v>29</v>
          </cell>
          <cell r="K51">
            <v>9</v>
          </cell>
          <cell r="L51">
            <v>6</v>
          </cell>
          <cell r="M51">
            <v>16</v>
          </cell>
          <cell r="N51">
            <v>3</v>
          </cell>
          <cell r="O51">
            <v>0</v>
          </cell>
          <cell r="P51">
            <v>12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6</v>
          </cell>
          <cell r="Y51">
            <v>0</v>
          </cell>
          <cell r="Z51">
            <v>0</v>
          </cell>
          <cell r="AA51">
            <v>9</v>
          </cell>
          <cell r="AB51">
            <v>0</v>
          </cell>
          <cell r="AC51">
            <v>0</v>
          </cell>
          <cell r="AD51">
            <v>6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161</v>
          </cell>
          <cell r="AJ51">
            <v>40</v>
          </cell>
          <cell r="AK51">
            <v>13</v>
          </cell>
        </row>
        <row r="52">
          <cell r="C52">
            <v>350123022</v>
          </cell>
          <cell r="D52">
            <v>9</v>
          </cell>
          <cell r="E52">
            <v>0</v>
          </cell>
          <cell r="F52">
            <v>16</v>
          </cell>
          <cell r="G52">
            <v>2</v>
          </cell>
          <cell r="H52">
            <v>38</v>
          </cell>
          <cell r="I52">
            <v>10</v>
          </cell>
          <cell r="J52">
            <v>13</v>
          </cell>
          <cell r="K52">
            <v>15</v>
          </cell>
          <cell r="L52">
            <v>2</v>
          </cell>
          <cell r="M52">
            <v>14</v>
          </cell>
          <cell r="N52">
            <v>5</v>
          </cell>
          <cell r="O52">
            <v>0</v>
          </cell>
          <cell r="P52">
            <v>0</v>
          </cell>
          <cell r="Q52">
            <v>1</v>
          </cell>
          <cell r="R52">
            <v>5</v>
          </cell>
          <cell r="S52">
            <v>0</v>
          </cell>
          <cell r="T52">
            <v>2</v>
          </cell>
          <cell r="U52">
            <v>0</v>
          </cell>
          <cell r="V52">
            <v>0</v>
          </cell>
          <cell r="W52">
            <v>9</v>
          </cell>
          <cell r="X52">
            <v>12</v>
          </cell>
          <cell r="Y52">
            <v>58</v>
          </cell>
          <cell r="Z52">
            <v>2</v>
          </cell>
          <cell r="AA52">
            <v>4</v>
          </cell>
          <cell r="AB52">
            <v>0</v>
          </cell>
          <cell r="AC52">
            <v>0</v>
          </cell>
          <cell r="AD52">
            <v>23</v>
          </cell>
          <cell r="AE52">
            <v>1</v>
          </cell>
          <cell r="AF52">
            <v>0</v>
          </cell>
          <cell r="AG52">
            <v>0</v>
          </cell>
          <cell r="AH52">
            <v>0</v>
          </cell>
          <cell r="AI52">
            <v>241</v>
          </cell>
          <cell r="AJ52">
            <v>58</v>
          </cell>
          <cell r="AK52">
            <v>20</v>
          </cell>
        </row>
        <row r="53">
          <cell r="C53">
            <v>350123021</v>
          </cell>
          <cell r="D53">
            <v>9</v>
          </cell>
          <cell r="E53">
            <v>2</v>
          </cell>
          <cell r="F53">
            <v>16</v>
          </cell>
          <cell r="G53">
            <v>0</v>
          </cell>
          <cell r="H53">
            <v>8</v>
          </cell>
          <cell r="I53">
            <v>19</v>
          </cell>
          <cell r="J53">
            <v>42</v>
          </cell>
          <cell r="K53">
            <v>3</v>
          </cell>
          <cell r="L53">
            <v>3</v>
          </cell>
          <cell r="M53">
            <v>0</v>
          </cell>
          <cell r="N53">
            <v>22</v>
          </cell>
          <cell r="O53">
            <v>0</v>
          </cell>
          <cell r="P53">
            <v>0</v>
          </cell>
          <cell r="Q53">
            <v>0</v>
          </cell>
          <cell r="R53">
            <v>20</v>
          </cell>
          <cell r="S53">
            <v>15</v>
          </cell>
          <cell r="T53">
            <v>39</v>
          </cell>
          <cell r="U53">
            <v>0</v>
          </cell>
          <cell r="V53">
            <v>0</v>
          </cell>
          <cell r="W53">
            <v>10</v>
          </cell>
          <cell r="X53">
            <v>2</v>
          </cell>
          <cell r="Y53">
            <v>0</v>
          </cell>
          <cell r="Z53">
            <v>0</v>
          </cell>
          <cell r="AA53">
            <v>15</v>
          </cell>
          <cell r="AB53">
            <v>0</v>
          </cell>
          <cell r="AC53">
            <v>0</v>
          </cell>
          <cell r="AD53">
            <v>0</v>
          </cell>
          <cell r="AE53">
            <v>8</v>
          </cell>
          <cell r="AF53">
            <v>0</v>
          </cell>
          <cell r="AG53">
            <v>2</v>
          </cell>
          <cell r="AH53">
            <v>0</v>
          </cell>
          <cell r="AI53">
            <v>235</v>
          </cell>
          <cell r="AJ53">
            <v>42</v>
          </cell>
          <cell r="AK53">
            <v>17</v>
          </cell>
        </row>
        <row r="54">
          <cell r="C54">
            <v>350123020</v>
          </cell>
          <cell r="D54">
            <v>41</v>
          </cell>
          <cell r="E54">
            <v>0</v>
          </cell>
          <cell r="F54">
            <v>0</v>
          </cell>
          <cell r="G54">
            <v>4</v>
          </cell>
          <cell r="H54">
            <v>1</v>
          </cell>
          <cell r="I54">
            <v>18</v>
          </cell>
          <cell r="J54">
            <v>12</v>
          </cell>
          <cell r="K54">
            <v>1</v>
          </cell>
          <cell r="L54">
            <v>26</v>
          </cell>
          <cell r="M54">
            <v>55</v>
          </cell>
          <cell r="N54">
            <v>41</v>
          </cell>
          <cell r="O54">
            <v>4</v>
          </cell>
          <cell r="P54">
            <v>2</v>
          </cell>
          <cell r="Q54">
            <v>0</v>
          </cell>
          <cell r="R54">
            <v>3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7</v>
          </cell>
          <cell r="X54">
            <v>2</v>
          </cell>
          <cell r="Y54">
            <v>0</v>
          </cell>
          <cell r="Z54">
            <v>14</v>
          </cell>
          <cell r="AA54">
            <v>1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232</v>
          </cell>
          <cell r="AJ54">
            <v>55</v>
          </cell>
          <cell r="AK54">
            <v>16</v>
          </cell>
        </row>
        <row r="55">
          <cell r="C55">
            <v>350123019</v>
          </cell>
          <cell r="D55">
            <v>6</v>
          </cell>
          <cell r="E55">
            <v>0</v>
          </cell>
          <cell r="F55">
            <v>2.5</v>
          </cell>
          <cell r="G55">
            <v>1</v>
          </cell>
          <cell r="H55">
            <v>2.5</v>
          </cell>
          <cell r="I55">
            <v>12.5</v>
          </cell>
          <cell r="J55">
            <v>32</v>
          </cell>
          <cell r="K55">
            <v>45</v>
          </cell>
          <cell r="L55">
            <v>14.5</v>
          </cell>
          <cell r="M55">
            <v>0</v>
          </cell>
          <cell r="N55">
            <v>13</v>
          </cell>
          <cell r="O55">
            <v>0</v>
          </cell>
          <cell r="P55">
            <v>7.5</v>
          </cell>
          <cell r="Q55">
            <v>32</v>
          </cell>
          <cell r="R55">
            <v>4</v>
          </cell>
          <cell r="S55">
            <v>0</v>
          </cell>
          <cell r="T55">
            <v>4.5</v>
          </cell>
          <cell r="U55">
            <v>0</v>
          </cell>
          <cell r="V55">
            <v>0</v>
          </cell>
          <cell r="W55">
            <v>0</v>
          </cell>
          <cell r="X55">
            <v>3</v>
          </cell>
          <cell r="Y55">
            <v>6.5</v>
          </cell>
          <cell r="Z55">
            <v>2</v>
          </cell>
          <cell r="AA55">
            <v>13.5</v>
          </cell>
          <cell r="AB55">
            <v>0</v>
          </cell>
          <cell r="AC55">
            <v>0</v>
          </cell>
          <cell r="AD55">
            <v>0</v>
          </cell>
          <cell r="AE55">
            <v>30</v>
          </cell>
          <cell r="AF55">
            <v>0</v>
          </cell>
          <cell r="AG55">
            <v>2</v>
          </cell>
          <cell r="AH55">
            <v>0</v>
          </cell>
          <cell r="AI55">
            <v>234</v>
          </cell>
          <cell r="AJ55">
            <v>45</v>
          </cell>
          <cell r="AK55">
            <v>19</v>
          </cell>
        </row>
        <row r="56">
          <cell r="C56">
            <v>350123018</v>
          </cell>
          <cell r="D56">
            <v>11</v>
          </cell>
          <cell r="E56">
            <v>0</v>
          </cell>
          <cell r="F56">
            <v>3</v>
          </cell>
          <cell r="G56">
            <v>5</v>
          </cell>
          <cell r="H56">
            <v>0</v>
          </cell>
          <cell r="I56">
            <v>8</v>
          </cell>
          <cell r="J56">
            <v>43</v>
          </cell>
          <cell r="K56">
            <v>11</v>
          </cell>
          <cell r="L56">
            <v>4</v>
          </cell>
          <cell r="M56">
            <v>0</v>
          </cell>
          <cell r="N56">
            <v>23</v>
          </cell>
          <cell r="O56">
            <v>0</v>
          </cell>
          <cell r="P56">
            <v>11</v>
          </cell>
          <cell r="Q56">
            <v>2</v>
          </cell>
          <cell r="R56">
            <v>6</v>
          </cell>
          <cell r="S56">
            <v>11</v>
          </cell>
          <cell r="T56">
            <v>0</v>
          </cell>
          <cell r="U56">
            <v>0</v>
          </cell>
          <cell r="V56">
            <v>0</v>
          </cell>
          <cell r="W56">
            <v>2</v>
          </cell>
          <cell r="X56">
            <v>10</v>
          </cell>
          <cell r="Y56">
            <v>0</v>
          </cell>
          <cell r="Z56">
            <v>3</v>
          </cell>
          <cell r="AA56">
            <v>2</v>
          </cell>
          <cell r="AB56">
            <v>0</v>
          </cell>
          <cell r="AC56">
            <v>0</v>
          </cell>
          <cell r="AD56">
            <v>0</v>
          </cell>
          <cell r="AE56">
            <v>4</v>
          </cell>
          <cell r="AF56">
            <v>0</v>
          </cell>
          <cell r="AG56">
            <v>0</v>
          </cell>
          <cell r="AH56">
            <v>0</v>
          </cell>
          <cell r="AI56">
            <v>159</v>
          </cell>
          <cell r="AJ56">
            <v>43</v>
          </cell>
          <cell r="AK56">
            <v>17</v>
          </cell>
        </row>
        <row r="57">
          <cell r="C57">
            <v>350123017</v>
          </cell>
          <cell r="D57">
            <v>28</v>
          </cell>
          <cell r="E57">
            <v>0</v>
          </cell>
          <cell r="F57">
            <v>4</v>
          </cell>
          <cell r="G57">
            <v>29</v>
          </cell>
          <cell r="H57">
            <v>14</v>
          </cell>
          <cell r="I57">
            <v>38</v>
          </cell>
          <cell r="J57">
            <v>14</v>
          </cell>
          <cell r="K57">
            <v>39</v>
          </cell>
          <cell r="L57">
            <v>16</v>
          </cell>
          <cell r="M57">
            <v>12</v>
          </cell>
          <cell r="N57">
            <v>96</v>
          </cell>
          <cell r="O57">
            <v>0</v>
          </cell>
          <cell r="P57">
            <v>0</v>
          </cell>
          <cell r="Q57">
            <v>12</v>
          </cell>
          <cell r="R57">
            <v>3</v>
          </cell>
          <cell r="S57">
            <v>0</v>
          </cell>
          <cell r="T57">
            <v>0</v>
          </cell>
          <cell r="U57">
            <v>0</v>
          </cell>
          <cell r="V57">
            <v>3</v>
          </cell>
          <cell r="W57">
            <v>0</v>
          </cell>
          <cell r="X57">
            <v>24</v>
          </cell>
          <cell r="Y57">
            <v>0</v>
          </cell>
          <cell r="Z57">
            <v>7</v>
          </cell>
          <cell r="AA57">
            <v>0</v>
          </cell>
          <cell r="AB57">
            <v>0</v>
          </cell>
          <cell r="AC57">
            <v>0</v>
          </cell>
          <cell r="AD57">
            <v>3</v>
          </cell>
          <cell r="AE57">
            <v>13</v>
          </cell>
          <cell r="AF57">
            <v>0</v>
          </cell>
          <cell r="AG57">
            <v>5</v>
          </cell>
          <cell r="AH57">
            <v>0</v>
          </cell>
          <cell r="AI57">
            <v>360</v>
          </cell>
          <cell r="AJ57">
            <v>96</v>
          </cell>
          <cell r="AK57">
            <v>18</v>
          </cell>
        </row>
        <row r="58">
          <cell r="C58">
            <v>350123016</v>
          </cell>
          <cell r="D58">
            <v>8</v>
          </cell>
          <cell r="E58">
            <v>1</v>
          </cell>
          <cell r="F58">
            <v>11</v>
          </cell>
          <cell r="G58">
            <v>0</v>
          </cell>
          <cell r="H58">
            <v>7</v>
          </cell>
          <cell r="I58">
            <v>19.5</v>
          </cell>
          <cell r="J58">
            <v>28</v>
          </cell>
          <cell r="K58">
            <v>8</v>
          </cell>
          <cell r="L58">
            <v>3</v>
          </cell>
          <cell r="M58">
            <v>1</v>
          </cell>
          <cell r="N58">
            <v>10</v>
          </cell>
          <cell r="O58">
            <v>0</v>
          </cell>
          <cell r="P58">
            <v>0</v>
          </cell>
          <cell r="Q58">
            <v>10.5</v>
          </cell>
          <cell r="R58">
            <v>3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5.5</v>
          </cell>
          <cell r="X58">
            <v>8</v>
          </cell>
          <cell r="Y58">
            <v>17</v>
          </cell>
          <cell r="Z58">
            <v>1</v>
          </cell>
          <cell r="AA58">
            <v>49.5</v>
          </cell>
          <cell r="AB58">
            <v>0</v>
          </cell>
          <cell r="AC58">
            <v>0</v>
          </cell>
          <cell r="AD58">
            <v>1</v>
          </cell>
          <cell r="AE58">
            <v>4</v>
          </cell>
          <cell r="AF58">
            <v>0</v>
          </cell>
          <cell r="AG58">
            <v>0</v>
          </cell>
          <cell r="AH58">
            <v>0</v>
          </cell>
          <cell r="AI58">
            <v>196</v>
          </cell>
          <cell r="AJ58">
            <v>49.5</v>
          </cell>
          <cell r="AK58">
            <v>19</v>
          </cell>
        </row>
        <row r="59">
          <cell r="C59">
            <v>350123015</v>
          </cell>
          <cell r="D59">
            <v>27</v>
          </cell>
          <cell r="E59">
            <v>0</v>
          </cell>
          <cell r="F59">
            <v>0</v>
          </cell>
          <cell r="G59">
            <v>2</v>
          </cell>
          <cell r="H59">
            <v>5</v>
          </cell>
          <cell r="I59">
            <v>0</v>
          </cell>
          <cell r="J59">
            <v>37</v>
          </cell>
          <cell r="K59">
            <v>22</v>
          </cell>
          <cell r="L59">
            <v>0</v>
          </cell>
          <cell r="M59">
            <v>0</v>
          </cell>
          <cell r="N59">
            <v>17</v>
          </cell>
          <cell r="O59">
            <v>0</v>
          </cell>
          <cell r="P59">
            <v>0</v>
          </cell>
          <cell r="Q59">
            <v>2</v>
          </cell>
          <cell r="R59">
            <v>5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2</v>
          </cell>
          <cell r="X59">
            <v>9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7</v>
          </cell>
          <cell r="AE59">
            <v>2</v>
          </cell>
          <cell r="AF59">
            <v>0</v>
          </cell>
          <cell r="AG59">
            <v>0</v>
          </cell>
          <cell r="AH59">
            <v>0</v>
          </cell>
          <cell r="AI59">
            <v>137</v>
          </cell>
          <cell r="AJ59">
            <v>37</v>
          </cell>
          <cell r="AK59">
            <v>12</v>
          </cell>
        </row>
        <row r="60">
          <cell r="C60">
            <v>350123014</v>
          </cell>
          <cell r="D60">
            <v>28</v>
          </cell>
          <cell r="E60">
            <v>0</v>
          </cell>
          <cell r="F60">
            <v>0</v>
          </cell>
          <cell r="G60">
            <v>0</v>
          </cell>
          <cell r="H60">
            <v>8</v>
          </cell>
          <cell r="I60">
            <v>22</v>
          </cell>
          <cell r="J60">
            <v>6</v>
          </cell>
          <cell r="K60">
            <v>36</v>
          </cell>
          <cell r="L60">
            <v>22</v>
          </cell>
          <cell r="M60">
            <v>28</v>
          </cell>
          <cell r="N60">
            <v>48</v>
          </cell>
          <cell r="O60">
            <v>6</v>
          </cell>
          <cell r="P60">
            <v>8</v>
          </cell>
          <cell r="Q60">
            <v>4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24</v>
          </cell>
          <cell r="Y60">
            <v>16</v>
          </cell>
          <cell r="Z60">
            <v>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32</v>
          </cell>
          <cell r="AF60">
            <v>0</v>
          </cell>
          <cell r="AG60">
            <v>0</v>
          </cell>
          <cell r="AH60">
            <v>0</v>
          </cell>
          <cell r="AI60">
            <v>294</v>
          </cell>
          <cell r="AJ60">
            <v>48</v>
          </cell>
          <cell r="AK60">
            <v>15</v>
          </cell>
        </row>
        <row r="61">
          <cell r="C61">
            <v>350123013</v>
          </cell>
          <cell r="D61">
            <v>18</v>
          </cell>
          <cell r="E61">
            <v>0</v>
          </cell>
          <cell r="F61">
            <v>2</v>
          </cell>
          <cell r="G61">
            <v>17</v>
          </cell>
          <cell r="H61">
            <v>48</v>
          </cell>
          <cell r="I61">
            <v>2</v>
          </cell>
          <cell r="J61">
            <v>27</v>
          </cell>
          <cell r="K61">
            <v>5</v>
          </cell>
          <cell r="L61">
            <v>7</v>
          </cell>
          <cell r="M61">
            <v>0</v>
          </cell>
          <cell r="N61">
            <v>13</v>
          </cell>
          <cell r="O61">
            <v>0</v>
          </cell>
          <cell r="P61">
            <v>0</v>
          </cell>
          <cell r="Q61">
            <v>3</v>
          </cell>
          <cell r="R61">
            <v>11</v>
          </cell>
          <cell r="S61">
            <v>0</v>
          </cell>
          <cell r="T61">
            <v>2</v>
          </cell>
          <cell r="U61">
            <v>0</v>
          </cell>
          <cell r="V61">
            <v>0</v>
          </cell>
          <cell r="W61">
            <v>27</v>
          </cell>
          <cell r="X61">
            <v>23</v>
          </cell>
          <cell r="Y61">
            <v>28</v>
          </cell>
          <cell r="Z61">
            <v>0</v>
          </cell>
          <cell r="AA61">
            <v>2</v>
          </cell>
          <cell r="AB61">
            <v>0</v>
          </cell>
          <cell r="AC61">
            <v>0</v>
          </cell>
          <cell r="AD61">
            <v>0</v>
          </cell>
          <cell r="AE61">
            <v>7</v>
          </cell>
          <cell r="AF61">
            <v>0</v>
          </cell>
          <cell r="AG61">
            <v>0</v>
          </cell>
          <cell r="AH61">
            <v>0</v>
          </cell>
          <cell r="AI61">
            <v>242</v>
          </cell>
          <cell r="AJ61">
            <v>48</v>
          </cell>
          <cell r="AK61">
            <v>17</v>
          </cell>
        </row>
        <row r="62">
          <cell r="C62">
            <v>350123012</v>
          </cell>
          <cell r="D62">
            <v>74</v>
          </cell>
          <cell r="E62">
            <v>0</v>
          </cell>
          <cell r="F62">
            <v>3</v>
          </cell>
          <cell r="G62">
            <v>7</v>
          </cell>
          <cell r="H62">
            <v>5</v>
          </cell>
          <cell r="I62">
            <v>6</v>
          </cell>
          <cell r="J62">
            <v>10</v>
          </cell>
          <cell r="K62">
            <v>24</v>
          </cell>
          <cell r="L62">
            <v>35</v>
          </cell>
          <cell r="M62">
            <v>7</v>
          </cell>
          <cell r="N62">
            <v>103</v>
          </cell>
          <cell r="O62">
            <v>10</v>
          </cell>
          <cell r="P62">
            <v>0</v>
          </cell>
          <cell r="Q62">
            <v>0</v>
          </cell>
          <cell r="R62">
            <v>5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69</v>
          </cell>
          <cell r="Y62">
            <v>0</v>
          </cell>
          <cell r="Z62">
            <v>18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9</v>
          </cell>
          <cell r="AF62">
            <v>0</v>
          </cell>
          <cell r="AG62">
            <v>36</v>
          </cell>
          <cell r="AH62">
            <v>0</v>
          </cell>
          <cell r="AI62">
            <v>421</v>
          </cell>
          <cell r="AJ62">
            <v>103</v>
          </cell>
          <cell r="AK62">
            <v>16</v>
          </cell>
        </row>
        <row r="63">
          <cell r="C63">
            <v>350123011</v>
          </cell>
          <cell r="D63">
            <v>33</v>
          </cell>
          <cell r="E63">
            <v>2</v>
          </cell>
          <cell r="F63">
            <v>1</v>
          </cell>
          <cell r="G63">
            <v>3</v>
          </cell>
          <cell r="H63">
            <v>2</v>
          </cell>
          <cell r="I63">
            <v>1</v>
          </cell>
          <cell r="J63">
            <v>14</v>
          </cell>
          <cell r="K63">
            <v>12</v>
          </cell>
          <cell r="L63">
            <v>5</v>
          </cell>
          <cell r="M63">
            <v>1</v>
          </cell>
          <cell r="N63">
            <v>2</v>
          </cell>
          <cell r="O63">
            <v>6</v>
          </cell>
          <cell r="P63">
            <v>2</v>
          </cell>
          <cell r="Q63">
            <v>7</v>
          </cell>
          <cell r="R63">
            <v>3</v>
          </cell>
          <cell r="S63">
            <v>0</v>
          </cell>
          <cell r="T63">
            <v>1</v>
          </cell>
          <cell r="U63">
            <v>0</v>
          </cell>
          <cell r="V63">
            <v>0</v>
          </cell>
          <cell r="W63">
            <v>13</v>
          </cell>
          <cell r="X63">
            <v>28</v>
          </cell>
          <cell r="Y63">
            <v>1</v>
          </cell>
          <cell r="Z63">
            <v>1</v>
          </cell>
          <cell r="AA63">
            <v>1</v>
          </cell>
          <cell r="AB63">
            <v>0</v>
          </cell>
          <cell r="AC63">
            <v>0</v>
          </cell>
          <cell r="AD63">
            <v>0</v>
          </cell>
          <cell r="AE63">
            <v>35</v>
          </cell>
          <cell r="AF63">
            <v>0</v>
          </cell>
          <cell r="AG63">
            <v>0</v>
          </cell>
          <cell r="AH63">
            <v>0</v>
          </cell>
          <cell r="AI63">
            <v>174</v>
          </cell>
          <cell r="AJ63">
            <v>35</v>
          </cell>
          <cell r="AK63">
            <v>22</v>
          </cell>
        </row>
        <row r="64">
          <cell r="C64">
            <v>350123010</v>
          </cell>
          <cell r="D64">
            <v>3</v>
          </cell>
          <cell r="E64">
            <v>1</v>
          </cell>
          <cell r="F64">
            <v>3</v>
          </cell>
          <cell r="G64">
            <v>2</v>
          </cell>
          <cell r="H64">
            <v>0</v>
          </cell>
          <cell r="I64">
            <v>15</v>
          </cell>
          <cell r="J64">
            <v>32</v>
          </cell>
          <cell r="K64">
            <v>19</v>
          </cell>
          <cell r="L64">
            <v>0</v>
          </cell>
          <cell r="M64">
            <v>0</v>
          </cell>
          <cell r="N64">
            <v>21</v>
          </cell>
          <cell r="O64">
            <v>0</v>
          </cell>
          <cell r="P64">
            <v>2</v>
          </cell>
          <cell r="Q64">
            <v>10</v>
          </cell>
          <cell r="R64">
            <v>9</v>
          </cell>
          <cell r="S64">
            <v>7</v>
          </cell>
          <cell r="T64">
            <v>1</v>
          </cell>
          <cell r="U64">
            <v>0</v>
          </cell>
          <cell r="V64">
            <v>0</v>
          </cell>
          <cell r="W64">
            <v>0</v>
          </cell>
          <cell r="X64">
            <v>27</v>
          </cell>
          <cell r="Y64">
            <v>5</v>
          </cell>
          <cell r="Z64">
            <v>2</v>
          </cell>
          <cell r="AA64">
            <v>10</v>
          </cell>
          <cell r="AB64">
            <v>0</v>
          </cell>
          <cell r="AC64">
            <v>0</v>
          </cell>
          <cell r="AD64">
            <v>0</v>
          </cell>
          <cell r="AE64">
            <v>12</v>
          </cell>
          <cell r="AF64">
            <v>0</v>
          </cell>
          <cell r="AG64">
            <v>1</v>
          </cell>
          <cell r="AH64">
            <v>0</v>
          </cell>
          <cell r="AI64">
            <v>182</v>
          </cell>
          <cell r="AJ64">
            <v>32</v>
          </cell>
          <cell r="AK64">
            <v>19</v>
          </cell>
        </row>
        <row r="65">
          <cell r="C65">
            <v>350123009</v>
          </cell>
          <cell r="D65">
            <v>15</v>
          </cell>
          <cell r="E65">
            <v>0</v>
          </cell>
          <cell r="F65">
            <v>0</v>
          </cell>
          <cell r="G65">
            <v>2.5</v>
          </cell>
          <cell r="H65">
            <v>0</v>
          </cell>
          <cell r="I65">
            <v>1.5</v>
          </cell>
          <cell r="J65">
            <v>21</v>
          </cell>
          <cell r="K65">
            <v>11.5</v>
          </cell>
          <cell r="L65">
            <v>9.5</v>
          </cell>
          <cell r="M65">
            <v>35</v>
          </cell>
          <cell r="N65">
            <v>2.5</v>
          </cell>
          <cell r="O65">
            <v>5.5</v>
          </cell>
          <cell r="P65">
            <v>0</v>
          </cell>
          <cell r="Q65">
            <v>12</v>
          </cell>
          <cell r="R65">
            <v>2</v>
          </cell>
          <cell r="S65">
            <v>0</v>
          </cell>
          <cell r="T65">
            <v>9</v>
          </cell>
          <cell r="U65">
            <v>0</v>
          </cell>
          <cell r="V65">
            <v>0</v>
          </cell>
          <cell r="W65">
            <v>0</v>
          </cell>
          <cell r="X65">
            <v>6</v>
          </cell>
          <cell r="Y65">
            <v>0</v>
          </cell>
          <cell r="Z65">
            <v>2</v>
          </cell>
          <cell r="AA65">
            <v>3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138</v>
          </cell>
          <cell r="AJ65">
            <v>35</v>
          </cell>
          <cell r="AK65">
            <v>15</v>
          </cell>
        </row>
        <row r="66">
          <cell r="C66">
            <v>350123008</v>
          </cell>
          <cell r="D66">
            <v>10</v>
          </cell>
          <cell r="E66">
            <v>0</v>
          </cell>
          <cell r="F66">
            <v>0</v>
          </cell>
          <cell r="G66">
            <v>5</v>
          </cell>
          <cell r="H66">
            <v>33</v>
          </cell>
          <cell r="I66">
            <v>18</v>
          </cell>
          <cell r="J66">
            <v>77</v>
          </cell>
          <cell r="K66">
            <v>70</v>
          </cell>
          <cell r="L66">
            <v>110</v>
          </cell>
          <cell r="M66">
            <v>30</v>
          </cell>
          <cell r="N66">
            <v>40</v>
          </cell>
          <cell r="O66">
            <v>0</v>
          </cell>
          <cell r="P66">
            <v>0</v>
          </cell>
          <cell r="Q66">
            <v>40</v>
          </cell>
          <cell r="R66">
            <v>17</v>
          </cell>
          <cell r="S66">
            <v>0</v>
          </cell>
          <cell r="T66">
            <v>0</v>
          </cell>
          <cell r="U66">
            <v>0</v>
          </cell>
          <cell r="V66">
            <v>8</v>
          </cell>
          <cell r="W66">
            <v>10</v>
          </cell>
          <cell r="X66">
            <v>50</v>
          </cell>
          <cell r="Y66">
            <v>7</v>
          </cell>
          <cell r="Z66">
            <v>10</v>
          </cell>
          <cell r="AA66">
            <v>0</v>
          </cell>
          <cell r="AB66">
            <v>0</v>
          </cell>
          <cell r="AC66">
            <v>0</v>
          </cell>
          <cell r="AD66">
            <v>3</v>
          </cell>
          <cell r="AE66">
            <v>59</v>
          </cell>
          <cell r="AF66">
            <v>0</v>
          </cell>
          <cell r="AG66">
            <v>22</v>
          </cell>
          <cell r="AH66">
            <v>0</v>
          </cell>
          <cell r="AI66">
            <v>619</v>
          </cell>
          <cell r="AJ66">
            <v>110</v>
          </cell>
          <cell r="AK66">
            <v>19</v>
          </cell>
        </row>
        <row r="67">
          <cell r="C67">
            <v>350123007</v>
          </cell>
          <cell r="D67">
            <v>75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3</v>
          </cell>
          <cell r="J67">
            <v>22</v>
          </cell>
          <cell r="K67">
            <v>11</v>
          </cell>
          <cell r="L67">
            <v>10</v>
          </cell>
          <cell r="M67">
            <v>12</v>
          </cell>
          <cell r="N67">
            <v>0</v>
          </cell>
          <cell r="O67">
            <v>5</v>
          </cell>
          <cell r="P67">
            <v>0</v>
          </cell>
          <cell r="Q67">
            <v>0</v>
          </cell>
          <cell r="R67">
            <v>4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12</v>
          </cell>
          <cell r="X67">
            <v>0</v>
          </cell>
          <cell r="Y67">
            <v>0</v>
          </cell>
          <cell r="Z67">
            <v>24</v>
          </cell>
          <cell r="AA67">
            <v>2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182</v>
          </cell>
          <cell r="AJ67">
            <v>75</v>
          </cell>
          <cell r="AK67">
            <v>12</v>
          </cell>
        </row>
        <row r="68">
          <cell r="C68">
            <v>350123006</v>
          </cell>
          <cell r="D68">
            <v>9</v>
          </cell>
          <cell r="E68">
            <v>0</v>
          </cell>
          <cell r="F68">
            <v>2</v>
          </cell>
          <cell r="G68">
            <v>12</v>
          </cell>
          <cell r="H68">
            <v>2</v>
          </cell>
          <cell r="I68">
            <v>5</v>
          </cell>
          <cell r="J68">
            <v>15</v>
          </cell>
          <cell r="K68">
            <v>21</v>
          </cell>
          <cell r="L68">
            <v>11</v>
          </cell>
          <cell r="M68">
            <v>4</v>
          </cell>
          <cell r="N68">
            <v>20</v>
          </cell>
          <cell r="O68">
            <v>2</v>
          </cell>
          <cell r="P68">
            <v>14</v>
          </cell>
          <cell r="Q68">
            <v>3</v>
          </cell>
          <cell r="R68">
            <v>3</v>
          </cell>
          <cell r="S68">
            <v>0</v>
          </cell>
          <cell r="T68">
            <v>0</v>
          </cell>
          <cell r="U68">
            <v>0</v>
          </cell>
          <cell r="V68">
            <v>14</v>
          </cell>
          <cell r="W68">
            <v>0</v>
          </cell>
          <cell r="X68">
            <v>13</v>
          </cell>
          <cell r="Y68">
            <v>10</v>
          </cell>
          <cell r="Z68">
            <v>6</v>
          </cell>
          <cell r="AA68">
            <v>1</v>
          </cell>
          <cell r="AB68">
            <v>0</v>
          </cell>
          <cell r="AC68">
            <v>0</v>
          </cell>
          <cell r="AD68">
            <v>7</v>
          </cell>
          <cell r="AE68">
            <v>12</v>
          </cell>
          <cell r="AF68">
            <v>0</v>
          </cell>
          <cell r="AG68">
            <v>0</v>
          </cell>
          <cell r="AH68">
            <v>0</v>
          </cell>
          <cell r="AI68">
            <v>186</v>
          </cell>
          <cell r="AJ68">
            <v>21</v>
          </cell>
          <cell r="AK68">
            <v>21</v>
          </cell>
        </row>
        <row r="69">
          <cell r="C69">
            <v>350123005</v>
          </cell>
          <cell r="D69">
            <v>23</v>
          </cell>
          <cell r="E69">
            <v>0</v>
          </cell>
          <cell r="F69">
            <v>6</v>
          </cell>
          <cell r="G69">
            <v>21</v>
          </cell>
          <cell r="H69">
            <v>42</v>
          </cell>
          <cell r="I69">
            <v>19</v>
          </cell>
          <cell r="J69">
            <v>26</v>
          </cell>
          <cell r="K69">
            <v>45</v>
          </cell>
          <cell r="L69">
            <v>23</v>
          </cell>
          <cell r="M69">
            <v>11</v>
          </cell>
          <cell r="N69">
            <v>9</v>
          </cell>
          <cell r="O69">
            <v>0</v>
          </cell>
          <cell r="P69">
            <v>0</v>
          </cell>
          <cell r="Q69">
            <v>20</v>
          </cell>
          <cell r="R69">
            <v>18</v>
          </cell>
          <cell r="S69">
            <v>2</v>
          </cell>
          <cell r="T69">
            <v>0</v>
          </cell>
          <cell r="U69">
            <v>0</v>
          </cell>
          <cell r="V69">
            <v>0</v>
          </cell>
          <cell r="W69">
            <v>29</v>
          </cell>
          <cell r="X69">
            <v>20</v>
          </cell>
          <cell r="Y69">
            <v>22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6</v>
          </cell>
          <cell r="AE69">
            <v>42</v>
          </cell>
          <cell r="AF69">
            <v>0</v>
          </cell>
          <cell r="AG69">
            <v>0</v>
          </cell>
          <cell r="AH69">
            <v>0</v>
          </cell>
          <cell r="AI69">
            <v>384</v>
          </cell>
          <cell r="AJ69">
            <v>45</v>
          </cell>
          <cell r="AK69">
            <v>18</v>
          </cell>
        </row>
        <row r="70">
          <cell r="C70">
            <v>350123004</v>
          </cell>
          <cell r="D70">
            <v>72</v>
          </cell>
          <cell r="E70">
            <v>0</v>
          </cell>
          <cell r="F70">
            <v>0</v>
          </cell>
          <cell r="G70">
            <v>0</v>
          </cell>
          <cell r="H70">
            <v>12</v>
          </cell>
          <cell r="I70">
            <v>0</v>
          </cell>
          <cell r="J70">
            <v>52</v>
          </cell>
          <cell r="K70">
            <v>29</v>
          </cell>
          <cell r="L70">
            <v>0</v>
          </cell>
          <cell r="M70">
            <v>21</v>
          </cell>
          <cell r="N70">
            <v>46</v>
          </cell>
          <cell r="O70">
            <v>0</v>
          </cell>
          <cell r="P70">
            <v>0</v>
          </cell>
          <cell r="Q70">
            <v>20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20</v>
          </cell>
          <cell r="Y70">
            <v>0</v>
          </cell>
          <cell r="Z70">
            <v>0</v>
          </cell>
          <cell r="AA70">
            <v>4</v>
          </cell>
          <cell r="AB70">
            <v>0</v>
          </cell>
          <cell r="AC70">
            <v>0</v>
          </cell>
          <cell r="AD70">
            <v>0</v>
          </cell>
          <cell r="AE70">
            <v>17</v>
          </cell>
          <cell r="AF70">
            <v>3</v>
          </cell>
          <cell r="AG70">
            <v>0</v>
          </cell>
          <cell r="AH70">
            <v>0</v>
          </cell>
          <cell r="AI70">
            <v>296</v>
          </cell>
          <cell r="AJ70">
            <v>72</v>
          </cell>
          <cell r="AK70">
            <v>11</v>
          </cell>
        </row>
        <row r="71">
          <cell r="C71">
            <v>350123003</v>
          </cell>
          <cell r="D71">
            <v>30</v>
          </cell>
          <cell r="E71">
            <v>2</v>
          </cell>
          <cell r="F71">
            <v>0</v>
          </cell>
          <cell r="G71">
            <v>10</v>
          </cell>
          <cell r="H71">
            <v>74</v>
          </cell>
          <cell r="I71">
            <v>11</v>
          </cell>
          <cell r="J71">
            <v>0</v>
          </cell>
          <cell r="K71">
            <v>3</v>
          </cell>
          <cell r="L71">
            <v>0</v>
          </cell>
          <cell r="M71">
            <v>0</v>
          </cell>
          <cell r="N71">
            <v>29</v>
          </cell>
          <cell r="O71">
            <v>0</v>
          </cell>
          <cell r="P71">
            <v>0</v>
          </cell>
          <cell r="Q71">
            <v>29</v>
          </cell>
          <cell r="R71">
            <v>28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67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22</v>
          </cell>
          <cell r="AF71">
            <v>0</v>
          </cell>
          <cell r="AG71">
            <v>5</v>
          </cell>
          <cell r="AH71">
            <v>0</v>
          </cell>
          <cell r="AI71">
            <v>310</v>
          </cell>
          <cell r="AJ71">
            <v>74</v>
          </cell>
          <cell r="AK71">
            <v>12</v>
          </cell>
        </row>
        <row r="72">
          <cell r="C72">
            <v>350123002</v>
          </cell>
          <cell r="D72">
            <v>46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3</v>
          </cell>
          <cell r="J72">
            <v>19</v>
          </cell>
          <cell r="K72">
            <v>4</v>
          </cell>
          <cell r="L72">
            <v>0</v>
          </cell>
          <cell r="M72">
            <v>19</v>
          </cell>
          <cell r="N72">
            <v>37</v>
          </cell>
          <cell r="O72">
            <v>16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7</v>
          </cell>
          <cell r="X72">
            <v>45</v>
          </cell>
          <cell r="Y72">
            <v>0</v>
          </cell>
          <cell r="Z72">
            <v>13</v>
          </cell>
          <cell r="AA72">
            <v>2</v>
          </cell>
          <cell r="AB72">
            <v>0</v>
          </cell>
          <cell r="AC72">
            <v>0</v>
          </cell>
          <cell r="AD72">
            <v>4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215</v>
          </cell>
          <cell r="AJ72">
            <v>46</v>
          </cell>
          <cell r="AK72">
            <v>12</v>
          </cell>
        </row>
        <row r="73">
          <cell r="C73">
            <v>350123001</v>
          </cell>
          <cell r="D73">
            <v>5</v>
          </cell>
          <cell r="E73">
            <v>0</v>
          </cell>
          <cell r="F73">
            <v>0</v>
          </cell>
          <cell r="G73">
            <v>8</v>
          </cell>
          <cell r="H73">
            <v>0</v>
          </cell>
          <cell r="I73">
            <v>0</v>
          </cell>
          <cell r="J73">
            <v>27</v>
          </cell>
          <cell r="K73">
            <v>18</v>
          </cell>
          <cell r="L73">
            <v>7</v>
          </cell>
          <cell r="M73">
            <v>0</v>
          </cell>
          <cell r="N73">
            <v>52</v>
          </cell>
          <cell r="O73">
            <v>3</v>
          </cell>
          <cell r="P73">
            <v>0</v>
          </cell>
          <cell r="Q73">
            <v>3</v>
          </cell>
          <cell r="R73">
            <v>15</v>
          </cell>
          <cell r="S73">
            <v>9</v>
          </cell>
          <cell r="T73">
            <v>0</v>
          </cell>
          <cell r="U73">
            <v>0</v>
          </cell>
          <cell r="V73">
            <v>16</v>
          </cell>
          <cell r="W73">
            <v>0</v>
          </cell>
          <cell r="X73">
            <v>3</v>
          </cell>
          <cell r="Y73">
            <v>0</v>
          </cell>
          <cell r="Z73">
            <v>3</v>
          </cell>
          <cell r="AA73">
            <v>0</v>
          </cell>
          <cell r="AB73">
            <v>0</v>
          </cell>
          <cell r="AC73">
            <v>0</v>
          </cell>
          <cell r="AD73">
            <v>5</v>
          </cell>
          <cell r="AE73">
            <v>11</v>
          </cell>
          <cell r="AF73">
            <v>0</v>
          </cell>
          <cell r="AG73">
            <v>0</v>
          </cell>
          <cell r="AH73">
            <v>0</v>
          </cell>
          <cell r="AI73">
            <v>185</v>
          </cell>
          <cell r="AJ73">
            <v>52</v>
          </cell>
          <cell r="AK73">
            <v>15</v>
          </cell>
        </row>
        <row r="74">
          <cell r="C74">
            <v>350122031</v>
          </cell>
          <cell r="D74">
            <v>0</v>
          </cell>
          <cell r="E74">
            <v>15</v>
          </cell>
          <cell r="F74">
            <v>0</v>
          </cell>
          <cell r="G74">
            <v>0</v>
          </cell>
          <cell r="H74">
            <v>23</v>
          </cell>
          <cell r="I74">
            <v>11</v>
          </cell>
          <cell r="J74">
            <v>18</v>
          </cell>
          <cell r="K74">
            <v>6</v>
          </cell>
          <cell r="L74">
            <v>2</v>
          </cell>
          <cell r="M74">
            <v>0</v>
          </cell>
          <cell r="N74">
            <v>48</v>
          </cell>
          <cell r="O74">
            <v>0</v>
          </cell>
          <cell r="P74">
            <v>2</v>
          </cell>
          <cell r="Q74">
            <v>27</v>
          </cell>
          <cell r="R74">
            <v>37</v>
          </cell>
          <cell r="S74">
            <v>6</v>
          </cell>
          <cell r="T74">
            <v>0</v>
          </cell>
          <cell r="U74">
            <v>0</v>
          </cell>
          <cell r="V74">
            <v>8</v>
          </cell>
          <cell r="W74">
            <v>0</v>
          </cell>
          <cell r="X74">
            <v>4</v>
          </cell>
          <cell r="Y74">
            <v>0</v>
          </cell>
          <cell r="Z74">
            <v>0</v>
          </cell>
          <cell r="AA74">
            <v>27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234</v>
          </cell>
          <cell r="AJ74">
            <v>48</v>
          </cell>
          <cell r="AK74">
            <v>14</v>
          </cell>
        </row>
        <row r="75">
          <cell r="C75">
            <v>350122030</v>
          </cell>
          <cell r="D75">
            <v>0</v>
          </cell>
          <cell r="E75">
            <v>3</v>
          </cell>
          <cell r="F75">
            <v>0</v>
          </cell>
          <cell r="G75">
            <v>0</v>
          </cell>
          <cell r="H75">
            <v>11</v>
          </cell>
          <cell r="I75">
            <v>2</v>
          </cell>
          <cell r="J75">
            <v>13</v>
          </cell>
          <cell r="K75">
            <v>152</v>
          </cell>
          <cell r="L75">
            <v>9</v>
          </cell>
          <cell r="M75">
            <v>5</v>
          </cell>
          <cell r="N75">
            <v>17.5</v>
          </cell>
          <cell r="O75">
            <v>15</v>
          </cell>
          <cell r="P75">
            <v>21</v>
          </cell>
          <cell r="Q75">
            <v>2</v>
          </cell>
          <cell r="R75">
            <v>6</v>
          </cell>
          <cell r="S75">
            <v>0</v>
          </cell>
          <cell r="T75">
            <v>0</v>
          </cell>
          <cell r="U75">
            <v>0</v>
          </cell>
          <cell r="V75">
            <v>32</v>
          </cell>
          <cell r="W75">
            <v>67</v>
          </cell>
          <cell r="X75">
            <v>34</v>
          </cell>
          <cell r="Y75">
            <v>29</v>
          </cell>
          <cell r="Z75">
            <v>0</v>
          </cell>
          <cell r="AA75">
            <v>7</v>
          </cell>
          <cell r="AB75">
            <v>0</v>
          </cell>
          <cell r="AC75">
            <v>10</v>
          </cell>
          <cell r="AD75">
            <v>0</v>
          </cell>
          <cell r="AE75">
            <v>26</v>
          </cell>
          <cell r="AF75">
            <v>0</v>
          </cell>
          <cell r="AG75">
            <v>22</v>
          </cell>
          <cell r="AH75">
            <v>0</v>
          </cell>
          <cell r="AI75">
            <v>483.5</v>
          </cell>
          <cell r="AJ75">
            <v>152</v>
          </cell>
          <cell r="AK75">
            <v>20</v>
          </cell>
        </row>
        <row r="76">
          <cell r="C76">
            <v>350122029</v>
          </cell>
          <cell r="D76">
            <v>3</v>
          </cell>
          <cell r="E76">
            <v>9</v>
          </cell>
          <cell r="F76">
            <v>17</v>
          </cell>
          <cell r="G76">
            <v>0</v>
          </cell>
          <cell r="H76">
            <v>12</v>
          </cell>
          <cell r="I76">
            <v>1</v>
          </cell>
          <cell r="J76">
            <v>1</v>
          </cell>
          <cell r="K76">
            <v>9</v>
          </cell>
          <cell r="L76">
            <v>6</v>
          </cell>
          <cell r="M76">
            <v>2</v>
          </cell>
          <cell r="N76">
            <v>5</v>
          </cell>
          <cell r="O76">
            <v>0</v>
          </cell>
          <cell r="P76">
            <v>21</v>
          </cell>
          <cell r="Q76">
            <v>32</v>
          </cell>
          <cell r="R76">
            <v>2</v>
          </cell>
          <cell r="S76">
            <v>18</v>
          </cell>
          <cell r="T76">
            <v>0</v>
          </cell>
          <cell r="U76">
            <v>0</v>
          </cell>
          <cell r="V76">
            <v>26</v>
          </cell>
          <cell r="W76">
            <v>11</v>
          </cell>
          <cell r="X76">
            <v>12</v>
          </cell>
          <cell r="Y76">
            <v>58</v>
          </cell>
          <cell r="Z76">
            <v>0</v>
          </cell>
          <cell r="AA76">
            <v>3</v>
          </cell>
          <cell r="AB76">
            <v>2</v>
          </cell>
          <cell r="AC76">
            <v>0</v>
          </cell>
          <cell r="AD76">
            <v>4</v>
          </cell>
          <cell r="AE76">
            <v>0</v>
          </cell>
          <cell r="AF76">
            <v>0</v>
          </cell>
          <cell r="AG76">
            <v>8</v>
          </cell>
          <cell r="AH76">
            <v>5</v>
          </cell>
          <cell r="AI76">
            <v>267</v>
          </cell>
          <cell r="AJ76">
            <v>58</v>
          </cell>
          <cell r="AK76">
            <v>23</v>
          </cell>
        </row>
        <row r="77">
          <cell r="C77">
            <v>350122028</v>
          </cell>
          <cell r="D77">
            <v>5</v>
          </cell>
          <cell r="E77">
            <v>10</v>
          </cell>
          <cell r="F77">
            <v>8</v>
          </cell>
          <cell r="G77">
            <v>0</v>
          </cell>
          <cell r="H77">
            <v>60</v>
          </cell>
          <cell r="I77">
            <v>6</v>
          </cell>
          <cell r="J77">
            <v>10</v>
          </cell>
          <cell r="K77">
            <v>25</v>
          </cell>
          <cell r="L77">
            <v>5</v>
          </cell>
          <cell r="M77">
            <v>7</v>
          </cell>
          <cell r="N77">
            <v>14</v>
          </cell>
          <cell r="O77">
            <v>21</v>
          </cell>
          <cell r="P77">
            <v>10</v>
          </cell>
          <cell r="Q77">
            <v>48</v>
          </cell>
          <cell r="R77">
            <v>7</v>
          </cell>
          <cell r="S77">
            <v>30</v>
          </cell>
          <cell r="T77">
            <v>0</v>
          </cell>
          <cell r="U77">
            <v>0</v>
          </cell>
          <cell r="V77">
            <v>0</v>
          </cell>
          <cell r="W77">
            <v>50</v>
          </cell>
          <cell r="X77">
            <v>30</v>
          </cell>
          <cell r="Y77">
            <v>8</v>
          </cell>
          <cell r="Z77">
            <v>7</v>
          </cell>
          <cell r="AA77">
            <v>16</v>
          </cell>
          <cell r="AB77">
            <v>5</v>
          </cell>
          <cell r="AC77">
            <v>0</v>
          </cell>
          <cell r="AD77">
            <v>4</v>
          </cell>
          <cell r="AE77">
            <v>22</v>
          </cell>
          <cell r="AF77">
            <v>0</v>
          </cell>
          <cell r="AG77">
            <v>9</v>
          </cell>
          <cell r="AH77">
            <v>0</v>
          </cell>
          <cell r="AI77">
            <v>417</v>
          </cell>
          <cell r="AJ77">
            <v>60</v>
          </cell>
          <cell r="AK77">
            <v>24</v>
          </cell>
        </row>
        <row r="78">
          <cell r="C78">
            <v>350122027</v>
          </cell>
          <cell r="D78">
            <v>4</v>
          </cell>
          <cell r="E78">
            <v>19</v>
          </cell>
          <cell r="F78">
            <v>2</v>
          </cell>
          <cell r="G78">
            <v>0</v>
          </cell>
          <cell r="H78">
            <v>4.5</v>
          </cell>
          <cell r="I78">
            <v>14</v>
          </cell>
          <cell r="J78">
            <v>2</v>
          </cell>
          <cell r="K78">
            <v>4</v>
          </cell>
          <cell r="L78">
            <v>9.1999999999999993</v>
          </cell>
          <cell r="M78">
            <v>1</v>
          </cell>
          <cell r="N78">
            <v>71</v>
          </cell>
          <cell r="O78">
            <v>2</v>
          </cell>
          <cell r="P78">
            <v>2.5</v>
          </cell>
          <cell r="Q78">
            <v>5.5</v>
          </cell>
          <cell r="R78">
            <v>70</v>
          </cell>
          <cell r="S78">
            <v>3.2</v>
          </cell>
          <cell r="T78">
            <v>12</v>
          </cell>
          <cell r="U78">
            <v>0</v>
          </cell>
          <cell r="V78">
            <v>8</v>
          </cell>
          <cell r="W78">
            <v>9.1999999999999993</v>
          </cell>
          <cell r="X78">
            <v>3.5</v>
          </cell>
          <cell r="Y78">
            <v>1</v>
          </cell>
          <cell r="Z78">
            <v>1</v>
          </cell>
          <cell r="AA78">
            <v>18</v>
          </cell>
          <cell r="AB78">
            <v>0</v>
          </cell>
          <cell r="AC78">
            <v>0</v>
          </cell>
          <cell r="AD78">
            <v>2</v>
          </cell>
          <cell r="AE78">
            <v>6</v>
          </cell>
          <cell r="AF78">
            <v>0</v>
          </cell>
          <cell r="AG78">
            <v>4.5</v>
          </cell>
          <cell r="AH78">
            <v>0</v>
          </cell>
          <cell r="AI78">
            <v>279.09999999999997</v>
          </cell>
          <cell r="AJ78">
            <v>71</v>
          </cell>
          <cell r="AK78">
            <v>25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22</v>
          </cell>
          <cell r="G79">
            <v>11</v>
          </cell>
          <cell r="H79">
            <v>3</v>
          </cell>
          <cell r="I79">
            <v>4</v>
          </cell>
          <cell r="J79">
            <v>0</v>
          </cell>
          <cell r="K79">
            <v>10</v>
          </cell>
          <cell r="L79">
            <v>77.5</v>
          </cell>
          <cell r="M79">
            <v>45</v>
          </cell>
          <cell r="N79">
            <v>7.5</v>
          </cell>
          <cell r="O79">
            <v>4</v>
          </cell>
          <cell r="P79">
            <v>1</v>
          </cell>
          <cell r="Q79">
            <v>8.5</v>
          </cell>
          <cell r="R79">
            <v>5</v>
          </cell>
          <cell r="S79">
            <v>1</v>
          </cell>
          <cell r="T79">
            <v>0.5</v>
          </cell>
          <cell r="U79">
            <v>5.5</v>
          </cell>
          <cell r="V79">
            <v>0</v>
          </cell>
          <cell r="W79">
            <v>88.5</v>
          </cell>
          <cell r="X79">
            <v>32.5</v>
          </cell>
          <cell r="Y79">
            <v>6.5</v>
          </cell>
          <cell r="Z79">
            <v>0</v>
          </cell>
          <cell r="AA79">
            <v>4</v>
          </cell>
          <cell r="AB79">
            <v>1</v>
          </cell>
          <cell r="AC79">
            <v>0</v>
          </cell>
          <cell r="AD79">
            <v>47</v>
          </cell>
          <cell r="AE79">
            <v>7.5</v>
          </cell>
          <cell r="AF79">
            <v>17.5</v>
          </cell>
          <cell r="AG79">
            <v>2.5</v>
          </cell>
          <cell r="AH79">
            <v>22</v>
          </cell>
          <cell r="AI79">
            <v>434.5</v>
          </cell>
          <cell r="AJ79">
            <v>88.5</v>
          </cell>
          <cell r="AK79">
            <v>25</v>
          </cell>
        </row>
        <row r="80">
          <cell r="C80">
            <v>350122025</v>
          </cell>
          <cell r="D80">
            <v>10</v>
          </cell>
          <cell r="E80">
            <v>1</v>
          </cell>
          <cell r="F80">
            <v>22</v>
          </cell>
          <cell r="G80">
            <v>0</v>
          </cell>
          <cell r="H80">
            <v>4</v>
          </cell>
          <cell r="I80">
            <v>0</v>
          </cell>
          <cell r="J80">
            <v>4</v>
          </cell>
          <cell r="K80">
            <v>8</v>
          </cell>
          <cell r="L80">
            <v>3</v>
          </cell>
          <cell r="M80">
            <v>7</v>
          </cell>
          <cell r="N80">
            <v>6</v>
          </cell>
          <cell r="O80">
            <v>1</v>
          </cell>
          <cell r="P80">
            <v>0</v>
          </cell>
          <cell r="Q80">
            <v>9</v>
          </cell>
          <cell r="R80">
            <v>20</v>
          </cell>
          <cell r="S80">
            <v>4</v>
          </cell>
          <cell r="T80">
            <v>0</v>
          </cell>
          <cell r="U80">
            <v>0</v>
          </cell>
          <cell r="V80">
            <v>42</v>
          </cell>
          <cell r="W80">
            <v>6</v>
          </cell>
          <cell r="X80">
            <v>4</v>
          </cell>
          <cell r="Y80">
            <v>7</v>
          </cell>
          <cell r="Z80">
            <v>0</v>
          </cell>
          <cell r="AA80">
            <v>1</v>
          </cell>
          <cell r="AB80">
            <v>0</v>
          </cell>
          <cell r="AC80">
            <v>0</v>
          </cell>
          <cell r="AD80">
            <v>26</v>
          </cell>
          <cell r="AE80">
            <v>0</v>
          </cell>
          <cell r="AF80">
            <v>9</v>
          </cell>
          <cell r="AG80">
            <v>0</v>
          </cell>
          <cell r="AH80">
            <v>9</v>
          </cell>
          <cell r="AI80">
            <v>203</v>
          </cell>
          <cell r="AJ80">
            <v>42</v>
          </cell>
          <cell r="AK80">
            <v>21</v>
          </cell>
        </row>
        <row r="81">
          <cell r="C81">
            <v>350122024</v>
          </cell>
          <cell r="D81">
            <v>5</v>
          </cell>
          <cell r="E81">
            <v>7</v>
          </cell>
          <cell r="F81">
            <v>0</v>
          </cell>
          <cell r="G81">
            <v>0</v>
          </cell>
          <cell r="H81">
            <v>0</v>
          </cell>
          <cell r="I81">
            <v>6</v>
          </cell>
          <cell r="J81">
            <v>57</v>
          </cell>
          <cell r="K81">
            <v>58</v>
          </cell>
          <cell r="L81">
            <v>0</v>
          </cell>
          <cell r="M81">
            <v>0</v>
          </cell>
          <cell r="N81">
            <v>55</v>
          </cell>
          <cell r="O81">
            <v>0</v>
          </cell>
          <cell r="P81">
            <v>2</v>
          </cell>
          <cell r="Q81">
            <v>3</v>
          </cell>
          <cell r="R81">
            <v>10</v>
          </cell>
          <cell r="S81">
            <v>20</v>
          </cell>
          <cell r="T81">
            <v>30</v>
          </cell>
          <cell r="U81">
            <v>2</v>
          </cell>
          <cell r="V81">
            <v>5</v>
          </cell>
          <cell r="W81">
            <v>0</v>
          </cell>
          <cell r="X81">
            <v>3</v>
          </cell>
          <cell r="Y81">
            <v>0</v>
          </cell>
          <cell r="Z81">
            <v>3</v>
          </cell>
          <cell r="AA81">
            <v>41</v>
          </cell>
          <cell r="AB81">
            <v>0</v>
          </cell>
          <cell r="AC81">
            <v>0</v>
          </cell>
          <cell r="AD81">
            <v>1</v>
          </cell>
          <cell r="AE81">
            <v>33</v>
          </cell>
          <cell r="AF81">
            <v>0</v>
          </cell>
          <cell r="AG81">
            <v>0</v>
          </cell>
          <cell r="AH81">
            <v>0</v>
          </cell>
          <cell r="AI81">
            <v>341</v>
          </cell>
          <cell r="AJ81">
            <v>58</v>
          </cell>
          <cell r="AK81">
            <v>18</v>
          </cell>
        </row>
        <row r="82">
          <cell r="C82">
            <v>350122023</v>
          </cell>
          <cell r="D82">
            <v>1</v>
          </cell>
          <cell r="E82">
            <v>13.5</v>
          </cell>
          <cell r="F82">
            <v>8.5</v>
          </cell>
          <cell r="G82">
            <v>0</v>
          </cell>
          <cell r="H82">
            <v>3.5</v>
          </cell>
          <cell r="I82">
            <v>38</v>
          </cell>
          <cell r="J82">
            <v>6</v>
          </cell>
          <cell r="K82">
            <v>40.5</v>
          </cell>
          <cell r="L82">
            <v>22.8</v>
          </cell>
          <cell r="M82">
            <v>29.5</v>
          </cell>
          <cell r="N82">
            <v>33</v>
          </cell>
          <cell r="O82">
            <v>5</v>
          </cell>
          <cell r="P82">
            <v>5.8</v>
          </cell>
          <cell r="Q82">
            <v>3</v>
          </cell>
          <cell r="R82">
            <v>1</v>
          </cell>
          <cell r="S82">
            <v>13.5</v>
          </cell>
          <cell r="T82">
            <v>0</v>
          </cell>
          <cell r="U82">
            <v>0</v>
          </cell>
          <cell r="V82">
            <v>0</v>
          </cell>
          <cell r="W82">
            <v>44.5</v>
          </cell>
          <cell r="X82">
            <v>17.5</v>
          </cell>
          <cell r="Y82">
            <v>13</v>
          </cell>
          <cell r="Z82">
            <v>0</v>
          </cell>
          <cell r="AA82">
            <v>3</v>
          </cell>
          <cell r="AB82">
            <v>43</v>
          </cell>
          <cell r="AC82">
            <v>0</v>
          </cell>
          <cell r="AD82">
            <v>7.5</v>
          </cell>
          <cell r="AE82">
            <v>15.5</v>
          </cell>
          <cell r="AF82">
            <v>2.4</v>
          </cell>
          <cell r="AG82">
            <v>22.5</v>
          </cell>
          <cell r="AH82">
            <v>2.7</v>
          </cell>
          <cell r="AI82">
            <v>396.2</v>
          </cell>
          <cell r="AJ82">
            <v>44.5</v>
          </cell>
          <cell r="AK82">
            <v>25</v>
          </cell>
        </row>
        <row r="83">
          <cell r="C83">
            <v>350122022</v>
          </cell>
          <cell r="D83">
            <v>7</v>
          </cell>
          <cell r="E83">
            <v>5</v>
          </cell>
          <cell r="F83">
            <v>41</v>
          </cell>
          <cell r="G83">
            <v>0</v>
          </cell>
          <cell r="H83">
            <v>72</v>
          </cell>
          <cell r="I83">
            <v>13</v>
          </cell>
          <cell r="J83">
            <v>1</v>
          </cell>
          <cell r="K83">
            <v>19</v>
          </cell>
          <cell r="L83">
            <v>26</v>
          </cell>
          <cell r="M83">
            <v>6</v>
          </cell>
          <cell r="N83">
            <v>23</v>
          </cell>
          <cell r="O83">
            <v>2</v>
          </cell>
          <cell r="P83">
            <v>0</v>
          </cell>
          <cell r="Q83">
            <v>6</v>
          </cell>
          <cell r="R83">
            <v>26</v>
          </cell>
          <cell r="S83">
            <v>3</v>
          </cell>
          <cell r="T83">
            <v>0</v>
          </cell>
          <cell r="U83">
            <v>0</v>
          </cell>
          <cell r="V83">
            <v>6</v>
          </cell>
          <cell r="W83">
            <v>5</v>
          </cell>
          <cell r="X83">
            <v>19</v>
          </cell>
          <cell r="Y83">
            <v>1.5</v>
          </cell>
          <cell r="Z83">
            <v>2</v>
          </cell>
          <cell r="AA83">
            <v>28</v>
          </cell>
          <cell r="AB83">
            <v>0</v>
          </cell>
          <cell r="AC83">
            <v>1.5</v>
          </cell>
          <cell r="AD83">
            <v>0</v>
          </cell>
          <cell r="AE83">
            <v>18.5</v>
          </cell>
          <cell r="AF83">
            <v>0</v>
          </cell>
          <cell r="AG83">
            <v>1</v>
          </cell>
          <cell r="AH83">
            <v>0</v>
          </cell>
          <cell r="AI83">
            <v>332.5</v>
          </cell>
          <cell r="AJ83">
            <v>72</v>
          </cell>
          <cell r="AK83">
            <v>23</v>
          </cell>
        </row>
        <row r="84">
          <cell r="C84">
            <v>350122021</v>
          </cell>
          <cell r="D84">
            <v>0</v>
          </cell>
          <cell r="E84">
            <v>3</v>
          </cell>
          <cell r="F84">
            <v>14</v>
          </cell>
          <cell r="G84">
            <v>0</v>
          </cell>
          <cell r="H84">
            <v>0</v>
          </cell>
          <cell r="I84">
            <v>52</v>
          </cell>
          <cell r="J84">
            <v>13</v>
          </cell>
          <cell r="K84">
            <v>8</v>
          </cell>
          <cell r="L84">
            <v>47</v>
          </cell>
          <cell r="M84">
            <v>40</v>
          </cell>
          <cell r="N84">
            <v>8</v>
          </cell>
          <cell r="O84">
            <v>0</v>
          </cell>
          <cell r="P84">
            <v>0</v>
          </cell>
          <cell r="Q84">
            <v>20</v>
          </cell>
          <cell r="R84">
            <v>28</v>
          </cell>
          <cell r="S84">
            <v>0</v>
          </cell>
          <cell r="T84">
            <v>10</v>
          </cell>
          <cell r="U84">
            <v>0</v>
          </cell>
          <cell r="V84">
            <v>0</v>
          </cell>
          <cell r="W84">
            <v>96</v>
          </cell>
          <cell r="X84">
            <v>23</v>
          </cell>
          <cell r="Y84">
            <v>11</v>
          </cell>
          <cell r="Z84">
            <v>0</v>
          </cell>
          <cell r="AA84">
            <v>0</v>
          </cell>
          <cell r="AB84">
            <v>2</v>
          </cell>
          <cell r="AC84">
            <v>0</v>
          </cell>
          <cell r="AD84">
            <v>23</v>
          </cell>
          <cell r="AE84">
            <v>0</v>
          </cell>
          <cell r="AF84">
            <v>21</v>
          </cell>
          <cell r="AG84">
            <v>0</v>
          </cell>
          <cell r="AH84">
            <v>11</v>
          </cell>
          <cell r="AI84">
            <v>430</v>
          </cell>
          <cell r="AJ84">
            <v>96</v>
          </cell>
          <cell r="AK84">
            <v>18</v>
          </cell>
        </row>
        <row r="85">
          <cell r="C85">
            <v>350122020</v>
          </cell>
          <cell r="D85">
            <v>0</v>
          </cell>
          <cell r="E85">
            <v>12</v>
          </cell>
          <cell r="F85">
            <v>4</v>
          </cell>
          <cell r="G85">
            <v>0</v>
          </cell>
          <cell r="H85">
            <v>0</v>
          </cell>
          <cell r="I85">
            <v>29</v>
          </cell>
          <cell r="J85">
            <v>2</v>
          </cell>
          <cell r="K85">
            <v>15</v>
          </cell>
          <cell r="L85">
            <v>19</v>
          </cell>
          <cell r="M85">
            <v>48</v>
          </cell>
          <cell r="N85">
            <v>9</v>
          </cell>
          <cell r="O85">
            <v>11</v>
          </cell>
          <cell r="P85">
            <v>3</v>
          </cell>
          <cell r="Q85">
            <v>3</v>
          </cell>
          <cell r="R85">
            <v>0</v>
          </cell>
          <cell r="S85">
            <v>9</v>
          </cell>
          <cell r="T85">
            <v>0</v>
          </cell>
          <cell r="U85">
            <v>0</v>
          </cell>
          <cell r="V85">
            <v>15</v>
          </cell>
          <cell r="W85">
            <v>57</v>
          </cell>
          <cell r="X85">
            <v>21</v>
          </cell>
          <cell r="Y85">
            <v>11</v>
          </cell>
          <cell r="Z85">
            <v>0</v>
          </cell>
          <cell r="AA85">
            <v>1</v>
          </cell>
          <cell r="AB85">
            <v>17</v>
          </cell>
          <cell r="AC85">
            <v>0</v>
          </cell>
          <cell r="AD85">
            <v>19</v>
          </cell>
          <cell r="AE85">
            <v>4</v>
          </cell>
          <cell r="AF85">
            <v>2</v>
          </cell>
          <cell r="AG85">
            <v>16</v>
          </cell>
          <cell r="AH85">
            <v>2</v>
          </cell>
          <cell r="AI85">
            <v>329</v>
          </cell>
          <cell r="AJ85">
            <v>57</v>
          </cell>
          <cell r="AK85">
            <v>23</v>
          </cell>
        </row>
        <row r="86">
          <cell r="C86">
            <v>350122019</v>
          </cell>
          <cell r="D86">
            <v>2</v>
          </cell>
          <cell r="E86">
            <v>10</v>
          </cell>
          <cell r="F86">
            <v>14</v>
          </cell>
          <cell r="G86">
            <v>0</v>
          </cell>
          <cell r="H86">
            <v>47.5</v>
          </cell>
          <cell r="I86">
            <v>2</v>
          </cell>
          <cell r="J86">
            <v>3</v>
          </cell>
          <cell r="K86">
            <v>19</v>
          </cell>
          <cell r="L86">
            <v>5</v>
          </cell>
          <cell r="M86">
            <v>2</v>
          </cell>
          <cell r="N86">
            <v>10</v>
          </cell>
          <cell r="O86">
            <v>0</v>
          </cell>
          <cell r="P86">
            <v>12</v>
          </cell>
          <cell r="Q86">
            <v>17</v>
          </cell>
          <cell r="R86">
            <v>3.5</v>
          </cell>
          <cell r="S86">
            <v>62</v>
          </cell>
          <cell r="T86">
            <v>0</v>
          </cell>
          <cell r="U86">
            <v>0</v>
          </cell>
          <cell r="V86">
            <v>10</v>
          </cell>
          <cell r="W86">
            <v>40.5</v>
          </cell>
          <cell r="X86">
            <v>30</v>
          </cell>
          <cell r="Y86">
            <v>32</v>
          </cell>
          <cell r="Z86">
            <v>0</v>
          </cell>
          <cell r="AA86">
            <v>3</v>
          </cell>
          <cell r="AB86">
            <v>15</v>
          </cell>
          <cell r="AC86">
            <v>0</v>
          </cell>
          <cell r="AD86">
            <v>2</v>
          </cell>
          <cell r="AE86">
            <v>1</v>
          </cell>
          <cell r="AF86">
            <v>0</v>
          </cell>
          <cell r="AG86">
            <v>8</v>
          </cell>
          <cell r="AH86">
            <v>0</v>
          </cell>
          <cell r="AI86">
            <v>350.5</v>
          </cell>
          <cell r="AJ86">
            <v>62</v>
          </cell>
          <cell r="AK86">
            <v>23</v>
          </cell>
        </row>
        <row r="87">
          <cell r="C87">
            <v>350122018</v>
          </cell>
          <cell r="D87">
            <v>20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35</v>
          </cell>
          <cell r="L87">
            <v>24</v>
          </cell>
          <cell r="M87">
            <v>2</v>
          </cell>
          <cell r="N87">
            <v>32</v>
          </cell>
          <cell r="O87">
            <v>23</v>
          </cell>
          <cell r="P87">
            <v>26</v>
          </cell>
          <cell r="Q87">
            <v>0</v>
          </cell>
          <cell r="R87">
            <v>10</v>
          </cell>
          <cell r="S87">
            <v>20</v>
          </cell>
          <cell r="T87">
            <v>0</v>
          </cell>
          <cell r="U87">
            <v>0</v>
          </cell>
          <cell r="V87">
            <v>132</v>
          </cell>
          <cell r="W87">
            <v>0</v>
          </cell>
          <cell r="X87">
            <v>5</v>
          </cell>
          <cell r="Y87">
            <v>22</v>
          </cell>
          <cell r="Z87">
            <v>0</v>
          </cell>
          <cell r="AA87">
            <v>10</v>
          </cell>
          <cell r="AB87">
            <v>0</v>
          </cell>
          <cell r="AC87">
            <v>7</v>
          </cell>
          <cell r="AD87">
            <v>5</v>
          </cell>
          <cell r="AE87">
            <v>11</v>
          </cell>
          <cell r="AF87">
            <v>0</v>
          </cell>
          <cell r="AG87">
            <v>10</v>
          </cell>
          <cell r="AH87">
            <v>0</v>
          </cell>
          <cell r="AI87">
            <v>395</v>
          </cell>
          <cell r="AJ87">
            <v>132</v>
          </cell>
          <cell r="AK87">
            <v>18</v>
          </cell>
        </row>
        <row r="88">
          <cell r="C88">
            <v>350122017</v>
          </cell>
          <cell r="D88">
            <v>1</v>
          </cell>
          <cell r="E88">
            <v>0</v>
          </cell>
          <cell r="F88">
            <v>16</v>
          </cell>
          <cell r="G88">
            <v>0</v>
          </cell>
          <cell r="H88">
            <v>3</v>
          </cell>
          <cell r="I88">
            <v>41</v>
          </cell>
          <cell r="J88">
            <v>40</v>
          </cell>
          <cell r="K88">
            <v>42</v>
          </cell>
          <cell r="L88">
            <v>91</v>
          </cell>
          <cell r="M88">
            <v>50</v>
          </cell>
          <cell r="N88">
            <v>87</v>
          </cell>
          <cell r="O88">
            <v>0</v>
          </cell>
          <cell r="P88">
            <v>22</v>
          </cell>
          <cell r="Q88">
            <v>55</v>
          </cell>
          <cell r="R88">
            <v>7</v>
          </cell>
          <cell r="S88">
            <v>4</v>
          </cell>
          <cell r="T88">
            <v>0</v>
          </cell>
          <cell r="U88">
            <v>0</v>
          </cell>
          <cell r="V88">
            <v>8</v>
          </cell>
          <cell r="W88">
            <v>68</v>
          </cell>
          <cell r="X88">
            <v>58</v>
          </cell>
          <cell r="Y88">
            <v>67</v>
          </cell>
          <cell r="Z88">
            <v>0</v>
          </cell>
          <cell r="AA88">
            <v>3</v>
          </cell>
          <cell r="AB88">
            <v>4</v>
          </cell>
          <cell r="AC88">
            <v>0</v>
          </cell>
          <cell r="AD88">
            <v>20</v>
          </cell>
          <cell r="AE88">
            <v>0</v>
          </cell>
          <cell r="AF88">
            <v>0</v>
          </cell>
          <cell r="AG88">
            <v>9</v>
          </cell>
          <cell r="AH88">
            <v>61</v>
          </cell>
          <cell r="AI88">
            <v>757</v>
          </cell>
          <cell r="AJ88">
            <v>91</v>
          </cell>
          <cell r="AK88">
            <v>22</v>
          </cell>
        </row>
        <row r="89">
          <cell r="C89">
            <v>350122016</v>
          </cell>
          <cell r="D89">
            <v>14</v>
          </cell>
          <cell r="E89">
            <v>11</v>
          </cell>
          <cell r="F89">
            <v>57</v>
          </cell>
          <cell r="G89">
            <v>0</v>
          </cell>
          <cell r="H89">
            <v>89</v>
          </cell>
          <cell r="I89">
            <v>5</v>
          </cell>
          <cell r="J89">
            <v>2</v>
          </cell>
          <cell r="K89">
            <v>29</v>
          </cell>
          <cell r="L89">
            <v>10</v>
          </cell>
          <cell r="M89">
            <v>6</v>
          </cell>
          <cell r="N89">
            <v>9</v>
          </cell>
          <cell r="O89">
            <v>1</v>
          </cell>
          <cell r="P89">
            <v>0</v>
          </cell>
          <cell r="Q89">
            <v>3</v>
          </cell>
          <cell r="R89">
            <v>90</v>
          </cell>
          <cell r="S89">
            <v>36</v>
          </cell>
          <cell r="T89">
            <v>0</v>
          </cell>
          <cell r="U89">
            <v>0</v>
          </cell>
          <cell r="V89">
            <v>46</v>
          </cell>
          <cell r="W89">
            <v>1</v>
          </cell>
          <cell r="X89">
            <v>7</v>
          </cell>
          <cell r="Y89">
            <v>1</v>
          </cell>
          <cell r="Z89">
            <v>0</v>
          </cell>
          <cell r="AA89">
            <v>55</v>
          </cell>
          <cell r="AB89">
            <v>0</v>
          </cell>
          <cell r="AC89">
            <v>1.5</v>
          </cell>
          <cell r="AD89">
            <v>1</v>
          </cell>
          <cell r="AE89">
            <v>11</v>
          </cell>
          <cell r="AF89">
            <v>0</v>
          </cell>
          <cell r="AG89">
            <v>21</v>
          </cell>
          <cell r="AH89">
            <v>0</v>
          </cell>
          <cell r="AI89">
            <v>506.5</v>
          </cell>
          <cell r="AJ89">
            <v>90</v>
          </cell>
          <cell r="AK89">
            <v>23</v>
          </cell>
        </row>
        <row r="90">
          <cell r="C90">
            <v>350122015</v>
          </cell>
          <cell r="D90">
            <v>3</v>
          </cell>
          <cell r="E90">
            <v>7</v>
          </cell>
          <cell r="F90">
            <v>2</v>
          </cell>
          <cell r="G90">
            <v>0</v>
          </cell>
          <cell r="H90">
            <v>15</v>
          </cell>
          <cell r="I90">
            <v>10</v>
          </cell>
          <cell r="J90">
            <v>1</v>
          </cell>
          <cell r="K90">
            <v>8</v>
          </cell>
          <cell r="L90">
            <v>56</v>
          </cell>
          <cell r="M90">
            <v>2</v>
          </cell>
          <cell r="N90">
            <v>47</v>
          </cell>
          <cell r="O90">
            <v>42</v>
          </cell>
          <cell r="P90">
            <v>0</v>
          </cell>
          <cell r="Q90">
            <v>12</v>
          </cell>
          <cell r="R90">
            <v>17</v>
          </cell>
          <cell r="S90">
            <v>16</v>
          </cell>
          <cell r="T90">
            <v>1</v>
          </cell>
          <cell r="U90">
            <v>0</v>
          </cell>
          <cell r="V90">
            <v>11</v>
          </cell>
          <cell r="W90">
            <v>3</v>
          </cell>
          <cell r="X90">
            <v>61</v>
          </cell>
          <cell r="Y90">
            <v>2</v>
          </cell>
          <cell r="Z90">
            <v>0</v>
          </cell>
          <cell r="AA90">
            <v>9</v>
          </cell>
          <cell r="AB90">
            <v>0</v>
          </cell>
          <cell r="AC90">
            <v>0</v>
          </cell>
          <cell r="AD90">
            <v>0</v>
          </cell>
          <cell r="AE90">
            <v>1</v>
          </cell>
          <cell r="AF90">
            <v>0</v>
          </cell>
          <cell r="AG90">
            <v>0</v>
          </cell>
          <cell r="AH90">
            <v>0</v>
          </cell>
          <cell r="AI90">
            <v>326</v>
          </cell>
          <cell r="AJ90">
            <v>61</v>
          </cell>
          <cell r="AK90">
            <v>21</v>
          </cell>
        </row>
        <row r="91">
          <cell r="C91">
            <v>350122014</v>
          </cell>
          <cell r="D91">
            <v>11</v>
          </cell>
          <cell r="E91">
            <v>5</v>
          </cell>
          <cell r="F91">
            <v>2</v>
          </cell>
          <cell r="G91">
            <v>0</v>
          </cell>
          <cell r="H91">
            <v>23</v>
          </cell>
          <cell r="I91">
            <v>48</v>
          </cell>
          <cell r="J91">
            <v>13</v>
          </cell>
          <cell r="K91">
            <v>44</v>
          </cell>
          <cell r="L91">
            <v>11</v>
          </cell>
          <cell r="M91">
            <v>60</v>
          </cell>
          <cell r="N91">
            <v>10</v>
          </cell>
          <cell r="O91">
            <v>9</v>
          </cell>
          <cell r="P91">
            <v>25</v>
          </cell>
          <cell r="Q91">
            <v>0</v>
          </cell>
          <cell r="R91">
            <v>6</v>
          </cell>
          <cell r="S91">
            <v>35</v>
          </cell>
          <cell r="T91">
            <v>0</v>
          </cell>
          <cell r="U91">
            <v>0</v>
          </cell>
          <cell r="V91">
            <v>21</v>
          </cell>
          <cell r="W91">
            <v>20</v>
          </cell>
          <cell r="X91">
            <v>24</v>
          </cell>
          <cell r="Y91">
            <v>47</v>
          </cell>
          <cell r="Z91">
            <v>2</v>
          </cell>
          <cell r="AA91">
            <v>4</v>
          </cell>
          <cell r="AB91">
            <v>0</v>
          </cell>
          <cell r="AC91">
            <v>0</v>
          </cell>
          <cell r="AD91">
            <v>9</v>
          </cell>
          <cell r="AE91">
            <v>22</v>
          </cell>
          <cell r="AF91">
            <v>0</v>
          </cell>
          <cell r="AG91">
            <v>6</v>
          </cell>
          <cell r="AH91">
            <v>0</v>
          </cell>
          <cell r="AI91">
            <v>457</v>
          </cell>
          <cell r="AJ91">
            <v>60</v>
          </cell>
          <cell r="AK91">
            <v>23</v>
          </cell>
        </row>
        <row r="92">
          <cell r="C92">
            <v>350122013</v>
          </cell>
          <cell r="D92">
            <v>28</v>
          </cell>
          <cell r="E92">
            <v>16</v>
          </cell>
          <cell r="F92">
            <v>24</v>
          </cell>
          <cell r="G92">
            <v>0</v>
          </cell>
          <cell r="H92">
            <v>47</v>
          </cell>
          <cell r="I92">
            <v>23</v>
          </cell>
          <cell r="J92">
            <v>0</v>
          </cell>
          <cell r="K92">
            <v>19</v>
          </cell>
          <cell r="L92">
            <v>24</v>
          </cell>
          <cell r="M92">
            <v>43</v>
          </cell>
          <cell r="N92">
            <v>27</v>
          </cell>
          <cell r="O92">
            <v>9</v>
          </cell>
          <cell r="P92">
            <v>5</v>
          </cell>
          <cell r="Q92">
            <v>0</v>
          </cell>
          <cell r="R92">
            <v>47</v>
          </cell>
          <cell r="S92">
            <v>12</v>
          </cell>
          <cell r="T92">
            <v>0</v>
          </cell>
          <cell r="U92">
            <v>0</v>
          </cell>
          <cell r="V92">
            <v>12</v>
          </cell>
          <cell r="W92">
            <v>18</v>
          </cell>
          <cell r="X92">
            <v>9</v>
          </cell>
          <cell r="Y92">
            <v>9</v>
          </cell>
          <cell r="Z92">
            <v>3</v>
          </cell>
          <cell r="AA92">
            <v>68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443</v>
          </cell>
          <cell r="AJ92">
            <v>68</v>
          </cell>
          <cell r="AK92">
            <v>19</v>
          </cell>
        </row>
        <row r="93">
          <cell r="C93">
            <v>350122012</v>
          </cell>
          <cell r="D93">
            <v>4</v>
          </cell>
          <cell r="E93">
            <v>0</v>
          </cell>
          <cell r="F93">
            <v>26</v>
          </cell>
          <cell r="G93">
            <v>0</v>
          </cell>
          <cell r="H93">
            <v>51</v>
          </cell>
          <cell r="I93">
            <v>34</v>
          </cell>
          <cell r="J93">
            <v>0</v>
          </cell>
          <cell r="K93">
            <v>49</v>
          </cell>
          <cell r="L93">
            <v>12</v>
          </cell>
          <cell r="M93">
            <v>31</v>
          </cell>
          <cell r="N93">
            <v>16</v>
          </cell>
          <cell r="O93">
            <v>32</v>
          </cell>
          <cell r="P93">
            <v>48</v>
          </cell>
          <cell r="Q93">
            <v>0</v>
          </cell>
          <cell r="R93">
            <v>8</v>
          </cell>
          <cell r="S93">
            <v>24</v>
          </cell>
          <cell r="T93">
            <v>0</v>
          </cell>
          <cell r="U93">
            <v>0</v>
          </cell>
          <cell r="V93">
            <v>31</v>
          </cell>
          <cell r="W93">
            <v>0</v>
          </cell>
          <cell r="X93">
            <v>10</v>
          </cell>
          <cell r="Y93">
            <v>15</v>
          </cell>
          <cell r="Z93">
            <v>0</v>
          </cell>
          <cell r="AA93">
            <v>25</v>
          </cell>
          <cell r="AB93">
            <v>0</v>
          </cell>
          <cell r="AC93">
            <v>0</v>
          </cell>
          <cell r="AD93">
            <v>4</v>
          </cell>
          <cell r="AE93">
            <v>7</v>
          </cell>
          <cell r="AF93">
            <v>0</v>
          </cell>
          <cell r="AG93">
            <v>12</v>
          </cell>
          <cell r="AH93">
            <v>0</v>
          </cell>
          <cell r="AI93">
            <v>439</v>
          </cell>
          <cell r="AJ93">
            <v>51</v>
          </cell>
          <cell r="AK93">
            <v>19</v>
          </cell>
        </row>
        <row r="94">
          <cell r="C94">
            <v>350122011</v>
          </cell>
          <cell r="D94">
            <v>9</v>
          </cell>
          <cell r="E94">
            <v>0</v>
          </cell>
          <cell r="F94">
            <v>26</v>
          </cell>
          <cell r="G94">
            <v>0</v>
          </cell>
          <cell r="H94">
            <v>3</v>
          </cell>
          <cell r="I94">
            <v>0</v>
          </cell>
          <cell r="J94">
            <v>19</v>
          </cell>
          <cell r="K94">
            <v>19.5</v>
          </cell>
          <cell r="L94">
            <v>3</v>
          </cell>
          <cell r="M94">
            <v>3</v>
          </cell>
          <cell r="N94">
            <v>8.5</v>
          </cell>
          <cell r="O94">
            <v>2.5</v>
          </cell>
          <cell r="P94">
            <v>0</v>
          </cell>
          <cell r="Q94">
            <v>32</v>
          </cell>
          <cell r="R94">
            <v>17</v>
          </cell>
          <cell r="S94">
            <v>5</v>
          </cell>
          <cell r="T94">
            <v>0</v>
          </cell>
          <cell r="U94">
            <v>0</v>
          </cell>
          <cell r="V94">
            <v>12</v>
          </cell>
          <cell r="W94">
            <v>11</v>
          </cell>
          <cell r="X94">
            <v>3</v>
          </cell>
          <cell r="Y94">
            <v>0</v>
          </cell>
          <cell r="Z94">
            <v>1.5</v>
          </cell>
          <cell r="AA94">
            <v>0</v>
          </cell>
          <cell r="AB94">
            <v>0</v>
          </cell>
          <cell r="AC94">
            <v>0</v>
          </cell>
          <cell r="AD94">
            <v>19.5</v>
          </cell>
          <cell r="AE94">
            <v>9.5</v>
          </cell>
          <cell r="AF94">
            <v>9</v>
          </cell>
          <cell r="AG94">
            <v>0</v>
          </cell>
          <cell r="AH94">
            <v>8.5</v>
          </cell>
          <cell r="AI94">
            <v>221.5</v>
          </cell>
          <cell r="AJ94">
            <v>32</v>
          </cell>
          <cell r="AK94">
            <v>20</v>
          </cell>
        </row>
        <row r="95">
          <cell r="C95">
            <v>350122010</v>
          </cell>
          <cell r="D95">
            <v>2</v>
          </cell>
          <cell r="E95">
            <v>9</v>
          </cell>
          <cell r="F95">
            <v>11</v>
          </cell>
          <cell r="G95">
            <v>0</v>
          </cell>
          <cell r="H95">
            <v>51</v>
          </cell>
          <cell r="I95">
            <v>27</v>
          </cell>
          <cell r="J95">
            <v>5</v>
          </cell>
          <cell r="K95">
            <v>19</v>
          </cell>
          <cell r="L95">
            <v>49</v>
          </cell>
          <cell r="M95">
            <v>3.5</v>
          </cell>
          <cell r="N95">
            <v>15</v>
          </cell>
          <cell r="O95">
            <v>4</v>
          </cell>
          <cell r="P95">
            <v>2</v>
          </cell>
          <cell r="Q95">
            <v>9</v>
          </cell>
          <cell r="R95">
            <v>25</v>
          </cell>
          <cell r="S95">
            <v>2</v>
          </cell>
          <cell r="T95">
            <v>0</v>
          </cell>
          <cell r="U95">
            <v>0</v>
          </cell>
          <cell r="V95">
            <v>17</v>
          </cell>
          <cell r="W95">
            <v>4</v>
          </cell>
          <cell r="X95">
            <v>39</v>
          </cell>
          <cell r="Y95">
            <v>5</v>
          </cell>
          <cell r="Z95">
            <v>4</v>
          </cell>
          <cell r="AA95">
            <v>12</v>
          </cell>
          <cell r="AB95">
            <v>0</v>
          </cell>
          <cell r="AC95">
            <v>0</v>
          </cell>
          <cell r="AD95">
            <v>4</v>
          </cell>
          <cell r="AE95">
            <v>2</v>
          </cell>
          <cell r="AF95">
            <v>0</v>
          </cell>
          <cell r="AG95">
            <v>0</v>
          </cell>
          <cell r="AH95">
            <v>0</v>
          </cell>
          <cell r="AI95">
            <v>320.5</v>
          </cell>
          <cell r="AJ95">
            <v>51</v>
          </cell>
          <cell r="AK95">
            <v>23</v>
          </cell>
        </row>
        <row r="96">
          <cell r="C96">
            <v>350122009</v>
          </cell>
          <cell r="D96">
            <v>9</v>
          </cell>
          <cell r="E96">
            <v>2</v>
          </cell>
          <cell r="F96">
            <v>18</v>
          </cell>
          <cell r="G96">
            <v>0</v>
          </cell>
          <cell r="H96">
            <v>29</v>
          </cell>
          <cell r="I96">
            <v>5</v>
          </cell>
          <cell r="J96">
            <v>28</v>
          </cell>
          <cell r="K96">
            <v>10</v>
          </cell>
          <cell r="L96">
            <v>6</v>
          </cell>
          <cell r="M96">
            <v>27</v>
          </cell>
          <cell r="N96">
            <v>27</v>
          </cell>
          <cell r="O96">
            <v>0</v>
          </cell>
          <cell r="P96">
            <v>0</v>
          </cell>
          <cell r="Q96">
            <v>0</v>
          </cell>
          <cell r="R96">
            <v>7</v>
          </cell>
          <cell r="S96">
            <v>1</v>
          </cell>
          <cell r="T96">
            <v>0</v>
          </cell>
          <cell r="U96">
            <v>0</v>
          </cell>
          <cell r="V96">
            <v>0</v>
          </cell>
          <cell r="W96">
            <v>13</v>
          </cell>
          <cell r="X96">
            <v>13</v>
          </cell>
          <cell r="Y96">
            <v>38</v>
          </cell>
          <cell r="Z96">
            <v>2</v>
          </cell>
          <cell r="AA96">
            <v>11</v>
          </cell>
          <cell r="AB96">
            <v>0</v>
          </cell>
          <cell r="AC96">
            <v>0</v>
          </cell>
          <cell r="AD96">
            <v>4</v>
          </cell>
          <cell r="AE96">
            <v>6</v>
          </cell>
          <cell r="AF96">
            <v>4</v>
          </cell>
          <cell r="AG96">
            <v>0</v>
          </cell>
          <cell r="AH96">
            <v>0</v>
          </cell>
          <cell r="AI96">
            <v>260</v>
          </cell>
          <cell r="AJ96">
            <v>38</v>
          </cell>
          <cell r="AK96">
            <v>20</v>
          </cell>
        </row>
        <row r="97">
          <cell r="C97">
            <v>350122008</v>
          </cell>
          <cell r="D97">
            <v>3</v>
          </cell>
          <cell r="E97">
            <v>6</v>
          </cell>
          <cell r="F97">
            <v>1</v>
          </cell>
          <cell r="G97">
            <v>0</v>
          </cell>
          <cell r="H97">
            <v>22.5</v>
          </cell>
          <cell r="I97">
            <v>0</v>
          </cell>
          <cell r="J97">
            <v>12</v>
          </cell>
          <cell r="K97">
            <v>22.5</v>
          </cell>
          <cell r="L97">
            <v>8</v>
          </cell>
          <cell r="M97">
            <v>28.5</v>
          </cell>
          <cell r="N97">
            <v>16</v>
          </cell>
          <cell r="O97">
            <v>5.5</v>
          </cell>
          <cell r="P97">
            <v>0</v>
          </cell>
          <cell r="Q97">
            <v>3.5</v>
          </cell>
          <cell r="R97">
            <v>3</v>
          </cell>
          <cell r="S97">
            <v>11.5</v>
          </cell>
          <cell r="T97">
            <v>0</v>
          </cell>
          <cell r="U97">
            <v>0</v>
          </cell>
          <cell r="V97">
            <v>0</v>
          </cell>
          <cell r="W97">
            <v>30</v>
          </cell>
          <cell r="X97">
            <v>73</v>
          </cell>
          <cell r="Y97">
            <v>22.5</v>
          </cell>
          <cell r="Z97">
            <v>4</v>
          </cell>
          <cell r="AA97">
            <v>5</v>
          </cell>
          <cell r="AB97">
            <v>1</v>
          </cell>
          <cell r="AC97">
            <v>0</v>
          </cell>
          <cell r="AD97">
            <v>0</v>
          </cell>
          <cell r="AE97">
            <v>4.5</v>
          </cell>
          <cell r="AF97">
            <v>0</v>
          </cell>
          <cell r="AG97">
            <v>0</v>
          </cell>
          <cell r="AH97">
            <v>0</v>
          </cell>
          <cell r="AI97">
            <v>283</v>
          </cell>
          <cell r="AJ97">
            <v>73</v>
          </cell>
          <cell r="AK97">
            <v>20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15</v>
          </cell>
          <cell r="G98">
            <v>0</v>
          </cell>
          <cell r="H98">
            <v>0</v>
          </cell>
          <cell r="I98">
            <v>15</v>
          </cell>
          <cell r="J98">
            <v>6</v>
          </cell>
          <cell r="K98">
            <v>16</v>
          </cell>
          <cell r="L98">
            <v>23</v>
          </cell>
          <cell r="M98">
            <v>31</v>
          </cell>
          <cell r="N98">
            <v>19</v>
          </cell>
          <cell r="O98">
            <v>9</v>
          </cell>
          <cell r="P98">
            <v>5</v>
          </cell>
          <cell r="Q98">
            <v>2</v>
          </cell>
          <cell r="R98">
            <v>0</v>
          </cell>
          <cell r="S98">
            <v>0</v>
          </cell>
          <cell r="T98">
            <v>0</v>
          </cell>
          <cell r="U98">
            <v>34</v>
          </cell>
          <cell r="V98">
            <v>6</v>
          </cell>
          <cell r="W98">
            <v>77</v>
          </cell>
          <cell r="X98">
            <v>23</v>
          </cell>
          <cell r="Y98">
            <v>21</v>
          </cell>
          <cell r="Z98">
            <v>0</v>
          </cell>
          <cell r="AA98">
            <v>5</v>
          </cell>
          <cell r="AB98">
            <v>14</v>
          </cell>
          <cell r="AC98">
            <v>0</v>
          </cell>
          <cell r="AD98">
            <v>12</v>
          </cell>
          <cell r="AE98">
            <v>6</v>
          </cell>
          <cell r="AF98">
            <v>12</v>
          </cell>
          <cell r="AG98">
            <v>11</v>
          </cell>
          <cell r="AH98">
            <v>19</v>
          </cell>
          <cell r="AI98">
            <v>381</v>
          </cell>
          <cell r="AJ98">
            <v>77</v>
          </cell>
          <cell r="AK98">
            <v>22</v>
          </cell>
        </row>
        <row r="99">
          <cell r="C99">
            <v>350122006</v>
          </cell>
          <cell r="D99">
            <v>6</v>
          </cell>
          <cell r="E99">
            <v>7</v>
          </cell>
          <cell r="F99">
            <v>2</v>
          </cell>
          <cell r="G99">
            <v>0</v>
          </cell>
          <cell r="H99">
            <v>12</v>
          </cell>
          <cell r="I99">
            <v>15</v>
          </cell>
          <cell r="J99">
            <v>0</v>
          </cell>
          <cell r="K99">
            <v>37</v>
          </cell>
          <cell r="L99">
            <v>18</v>
          </cell>
          <cell r="M99">
            <v>14</v>
          </cell>
          <cell r="N99">
            <v>37</v>
          </cell>
          <cell r="O99">
            <v>5</v>
          </cell>
          <cell r="P99">
            <v>9</v>
          </cell>
          <cell r="Q99">
            <v>2</v>
          </cell>
          <cell r="R99">
            <v>0</v>
          </cell>
          <cell r="S99">
            <v>18</v>
          </cell>
          <cell r="T99">
            <v>0</v>
          </cell>
          <cell r="U99">
            <v>0</v>
          </cell>
          <cell r="V99">
            <v>42</v>
          </cell>
          <cell r="W99">
            <v>31</v>
          </cell>
          <cell r="X99">
            <v>29</v>
          </cell>
          <cell r="Y99">
            <v>21</v>
          </cell>
          <cell r="Z99">
            <v>0</v>
          </cell>
          <cell r="AA99">
            <v>2</v>
          </cell>
          <cell r="AB99">
            <v>21</v>
          </cell>
          <cell r="AC99">
            <v>0</v>
          </cell>
          <cell r="AD99">
            <v>6</v>
          </cell>
          <cell r="AE99">
            <v>12</v>
          </cell>
          <cell r="AF99">
            <v>0</v>
          </cell>
          <cell r="AG99">
            <v>9</v>
          </cell>
          <cell r="AH99">
            <v>1</v>
          </cell>
          <cell r="AI99">
            <v>356</v>
          </cell>
          <cell r="AJ99">
            <v>42</v>
          </cell>
          <cell r="AK99">
            <v>23</v>
          </cell>
        </row>
        <row r="100">
          <cell r="C100">
            <v>350122005</v>
          </cell>
          <cell r="D100">
            <v>4</v>
          </cell>
          <cell r="E100">
            <v>14</v>
          </cell>
          <cell r="F100">
            <v>4</v>
          </cell>
          <cell r="G100">
            <v>0</v>
          </cell>
          <cell r="H100">
            <v>25</v>
          </cell>
          <cell r="I100">
            <v>35</v>
          </cell>
          <cell r="J100">
            <v>16</v>
          </cell>
          <cell r="K100">
            <v>32</v>
          </cell>
          <cell r="L100">
            <v>7</v>
          </cell>
          <cell r="M100">
            <v>3</v>
          </cell>
          <cell r="N100">
            <v>13</v>
          </cell>
          <cell r="O100">
            <v>6</v>
          </cell>
          <cell r="P100">
            <v>16</v>
          </cell>
          <cell r="Q100">
            <v>33</v>
          </cell>
          <cell r="R100">
            <v>3</v>
          </cell>
          <cell r="S100">
            <v>6</v>
          </cell>
          <cell r="T100">
            <v>0</v>
          </cell>
          <cell r="U100">
            <v>0</v>
          </cell>
          <cell r="V100">
            <v>5</v>
          </cell>
          <cell r="W100">
            <v>14</v>
          </cell>
          <cell r="X100">
            <v>57</v>
          </cell>
          <cell r="Y100">
            <v>14</v>
          </cell>
          <cell r="Z100">
            <v>0</v>
          </cell>
          <cell r="AA100">
            <v>9</v>
          </cell>
          <cell r="AB100">
            <v>4</v>
          </cell>
          <cell r="AC100">
            <v>0</v>
          </cell>
          <cell r="AD100">
            <v>24</v>
          </cell>
          <cell r="AE100">
            <v>25</v>
          </cell>
          <cell r="AF100">
            <v>0</v>
          </cell>
          <cell r="AG100">
            <v>0</v>
          </cell>
          <cell r="AH100">
            <v>0</v>
          </cell>
          <cell r="AI100">
            <v>369</v>
          </cell>
          <cell r="AJ100">
            <v>57</v>
          </cell>
          <cell r="AK100">
            <v>23</v>
          </cell>
        </row>
        <row r="101">
          <cell r="C101">
            <v>350122004</v>
          </cell>
          <cell r="D101">
            <v>13</v>
          </cell>
          <cell r="E101">
            <v>4</v>
          </cell>
          <cell r="F101">
            <v>14</v>
          </cell>
          <cell r="G101">
            <v>0</v>
          </cell>
          <cell r="H101">
            <v>33</v>
          </cell>
          <cell r="I101">
            <v>7</v>
          </cell>
          <cell r="J101">
            <v>0</v>
          </cell>
          <cell r="K101">
            <v>28</v>
          </cell>
          <cell r="L101">
            <v>3</v>
          </cell>
          <cell r="M101">
            <v>67</v>
          </cell>
          <cell r="N101">
            <v>4</v>
          </cell>
          <cell r="O101">
            <v>2</v>
          </cell>
          <cell r="P101">
            <v>0</v>
          </cell>
          <cell r="Q101">
            <v>6</v>
          </cell>
          <cell r="R101">
            <v>42</v>
          </cell>
          <cell r="S101">
            <v>26</v>
          </cell>
          <cell r="T101">
            <v>0</v>
          </cell>
          <cell r="U101">
            <v>7</v>
          </cell>
          <cell r="V101">
            <v>11</v>
          </cell>
          <cell r="W101">
            <v>0</v>
          </cell>
          <cell r="X101">
            <v>21</v>
          </cell>
          <cell r="Y101">
            <v>0</v>
          </cell>
          <cell r="Z101">
            <v>0</v>
          </cell>
          <cell r="AA101">
            <v>68</v>
          </cell>
          <cell r="AB101">
            <v>0</v>
          </cell>
          <cell r="AC101">
            <v>0</v>
          </cell>
          <cell r="AD101">
            <v>0</v>
          </cell>
          <cell r="AE101">
            <v>4</v>
          </cell>
          <cell r="AF101">
            <v>0</v>
          </cell>
          <cell r="AG101">
            <v>32</v>
          </cell>
          <cell r="AH101">
            <v>0</v>
          </cell>
          <cell r="AI101">
            <v>392</v>
          </cell>
          <cell r="AJ101">
            <v>68</v>
          </cell>
          <cell r="AK101">
            <v>19</v>
          </cell>
        </row>
        <row r="102">
          <cell r="C102">
            <v>350122003</v>
          </cell>
          <cell r="D102">
            <v>2</v>
          </cell>
          <cell r="E102">
            <v>5</v>
          </cell>
          <cell r="F102">
            <v>10</v>
          </cell>
          <cell r="G102">
            <v>0</v>
          </cell>
          <cell r="H102">
            <v>21</v>
          </cell>
          <cell r="I102">
            <v>22</v>
          </cell>
          <cell r="J102">
            <v>4</v>
          </cell>
          <cell r="K102">
            <v>2</v>
          </cell>
          <cell r="L102">
            <v>42</v>
          </cell>
          <cell r="M102">
            <v>1</v>
          </cell>
          <cell r="N102">
            <v>42</v>
          </cell>
          <cell r="O102">
            <v>0</v>
          </cell>
          <cell r="P102">
            <v>0</v>
          </cell>
          <cell r="Q102">
            <v>1</v>
          </cell>
          <cell r="R102">
            <v>10</v>
          </cell>
          <cell r="S102">
            <v>0</v>
          </cell>
          <cell r="T102">
            <v>2</v>
          </cell>
          <cell r="U102">
            <v>0</v>
          </cell>
          <cell r="V102">
            <v>1</v>
          </cell>
          <cell r="W102">
            <v>17</v>
          </cell>
          <cell r="X102">
            <v>35</v>
          </cell>
          <cell r="Y102">
            <v>12</v>
          </cell>
          <cell r="Z102">
            <v>0</v>
          </cell>
          <cell r="AA102">
            <v>4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233</v>
          </cell>
          <cell r="AJ102">
            <v>42</v>
          </cell>
          <cell r="AK102">
            <v>18</v>
          </cell>
        </row>
        <row r="103">
          <cell r="C103">
            <v>350122002</v>
          </cell>
          <cell r="D103">
            <v>12</v>
          </cell>
          <cell r="E103">
            <v>1</v>
          </cell>
          <cell r="F103">
            <v>35</v>
          </cell>
          <cell r="G103">
            <v>3</v>
          </cell>
          <cell r="H103">
            <v>47</v>
          </cell>
          <cell r="I103">
            <v>12</v>
          </cell>
          <cell r="J103">
            <v>14</v>
          </cell>
          <cell r="K103">
            <v>10</v>
          </cell>
          <cell r="L103">
            <v>16</v>
          </cell>
          <cell r="M103">
            <v>18</v>
          </cell>
          <cell r="N103">
            <v>19</v>
          </cell>
          <cell r="O103">
            <v>0</v>
          </cell>
          <cell r="P103">
            <v>0</v>
          </cell>
          <cell r="Q103">
            <v>2</v>
          </cell>
          <cell r="R103">
            <v>19</v>
          </cell>
          <cell r="S103">
            <v>2</v>
          </cell>
          <cell r="T103">
            <v>0</v>
          </cell>
          <cell r="U103">
            <v>0</v>
          </cell>
          <cell r="V103">
            <v>0</v>
          </cell>
          <cell r="W103">
            <v>25</v>
          </cell>
          <cell r="X103">
            <v>47</v>
          </cell>
          <cell r="Y103">
            <v>18</v>
          </cell>
          <cell r="Z103">
            <v>27</v>
          </cell>
          <cell r="AA103">
            <v>6</v>
          </cell>
          <cell r="AB103">
            <v>0</v>
          </cell>
          <cell r="AC103">
            <v>0</v>
          </cell>
          <cell r="AD103">
            <v>0</v>
          </cell>
          <cell r="AE103">
            <v>7</v>
          </cell>
          <cell r="AF103">
            <v>0</v>
          </cell>
          <cell r="AG103">
            <v>5</v>
          </cell>
          <cell r="AH103">
            <v>0</v>
          </cell>
          <cell r="AI103">
            <v>345</v>
          </cell>
          <cell r="AJ103">
            <v>47</v>
          </cell>
          <cell r="AK103">
            <v>21</v>
          </cell>
        </row>
        <row r="104">
          <cell r="C104">
            <v>350122001</v>
          </cell>
          <cell r="D104">
            <v>6</v>
          </cell>
          <cell r="E104">
            <v>6</v>
          </cell>
          <cell r="F104">
            <v>20</v>
          </cell>
          <cell r="G104">
            <v>1</v>
          </cell>
          <cell r="H104">
            <v>57</v>
          </cell>
          <cell r="I104">
            <v>41</v>
          </cell>
          <cell r="J104">
            <v>5</v>
          </cell>
          <cell r="K104">
            <v>21</v>
          </cell>
          <cell r="L104">
            <v>14</v>
          </cell>
          <cell r="M104">
            <v>2</v>
          </cell>
          <cell r="N104">
            <v>22</v>
          </cell>
          <cell r="O104">
            <v>0</v>
          </cell>
          <cell r="P104">
            <v>1</v>
          </cell>
          <cell r="Q104">
            <v>18</v>
          </cell>
          <cell r="R104">
            <v>18</v>
          </cell>
          <cell r="S104">
            <v>2</v>
          </cell>
          <cell r="T104">
            <v>0</v>
          </cell>
          <cell r="U104">
            <v>0</v>
          </cell>
          <cell r="V104">
            <v>10</v>
          </cell>
          <cell r="W104">
            <v>9</v>
          </cell>
          <cell r="X104">
            <v>24</v>
          </cell>
          <cell r="Y104">
            <v>2</v>
          </cell>
          <cell r="Z104">
            <v>1</v>
          </cell>
          <cell r="AA104">
            <v>40</v>
          </cell>
          <cell r="AB104">
            <v>0</v>
          </cell>
          <cell r="AC104">
            <v>0</v>
          </cell>
          <cell r="AD104">
            <v>5</v>
          </cell>
          <cell r="AE104">
            <v>2</v>
          </cell>
          <cell r="AF104">
            <v>0</v>
          </cell>
          <cell r="AG104">
            <v>0</v>
          </cell>
          <cell r="AH104">
            <v>0</v>
          </cell>
          <cell r="AI104">
            <v>327</v>
          </cell>
          <cell r="AJ104">
            <v>57</v>
          </cell>
          <cell r="AK104">
            <v>23</v>
          </cell>
        </row>
        <row r="105">
          <cell r="C105">
            <v>350619001</v>
          </cell>
          <cell r="D105">
            <v>0</v>
          </cell>
          <cell r="E105">
            <v>12</v>
          </cell>
          <cell r="F105">
            <v>20</v>
          </cell>
          <cell r="G105">
            <v>11</v>
          </cell>
          <cell r="H105">
            <v>0</v>
          </cell>
          <cell r="I105">
            <v>10</v>
          </cell>
          <cell r="J105">
            <v>7</v>
          </cell>
          <cell r="K105">
            <v>9</v>
          </cell>
          <cell r="L105">
            <v>12</v>
          </cell>
          <cell r="M105">
            <v>5.5</v>
          </cell>
          <cell r="N105">
            <v>10</v>
          </cell>
          <cell r="O105">
            <v>7</v>
          </cell>
          <cell r="P105">
            <v>0</v>
          </cell>
          <cell r="Q105">
            <v>2</v>
          </cell>
          <cell r="R105">
            <v>2</v>
          </cell>
          <cell r="S105">
            <v>6</v>
          </cell>
          <cell r="T105">
            <v>15</v>
          </cell>
          <cell r="U105">
            <v>0</v>
          </cell>
          <cell r="V105">
            <v>0</v>
          </cell>
          <cell r="W105">
            <v>54</v>
          </cell>
          <cell r="X105">
            <v>11</v>
          </cell>
          <cell r="Y105">
            <v>44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45</v>
          </cell>
          <cell r="AE105">
            <v>16</v>
          </cell>
          <cell r="AF105">
            <v>0</v>
          </cell>
          <cell r="AG105">
            <v>3</v>
          </cell>
          <cell r="AH105">
            <v>82</v>
          </cell>
          <cell r="AI105">
            <v>383.5</v>
          </cell>
          <cell r="AJ105">
            <v>82</v>
          </cell>
          <cell r="AK105">
            <v>21</v>
          </cell>
        </row>
        <row r="106">
          <cell r="C106">
            <v>350619002</v>
          </cell>
          <cell r="D106">
            <v>0</v>
          </cell>
          <cell r="E106">
            <v>0</v>
          </cell>
          <cell r="F106">
            <v>10</v>
          </cell>
          <cell r="G106">
            <v>0</v>
          </cell>
          <cell r="H106">
            <v>0</v>
          </cell>
          <cell r="I106">
            <v>15</v>
          </cell>
          <cell r="J106">
            <v>62</v>
          </cell>
          <cell r="K106">
            <v>14</v>
          </cell>
          <cell r="L106">
            <v>8</v>
          </cell>
          <cell r="M106">
            <v>10</v>
          </cell>
          <cell r="N106">
            <v>43</v>
          </cell>
          <cell r="O106">
            <v>7</v>
          </cell>
          <cell r="P106">
            <v>0</v>
          </cell>
          <cell r="Q106">
            <v>22</v>
          </cell>
          <cell r="R106">
            <v>16</v>
          </cell>
          <cell r="S106">
            <v>60</v>
          </cell>
          <cell r="T106">
            <v>43</v>
          </cell>
          <cell r="U106">
            <v>0</v>
          </cell>
          <cell r="V106">
            <v>5</v>
          </cell>
          <cell r="W106">
            <v>0</v>
          </cell>
          <cell r="X106">
            <v>0</v>
          </cell>
          <cell r="Y106">
            <v>88</v>
          </cell>
          <cell r="Z106">
            <v>0</v>
          </cell>
          <cell r="AA106">
            <v>5</v>
          </cell>
          <cell r="AB106">
            <v>0</v>
          </cell>
          <cell r="AC106">
            <v>0</v>
          </cell>
          <cell r="AD106">
            <v>20</v>
          </cell>
          <cell r="AE106">
            <v>5</v>
          </cell>
          <cell r="AF106">
            <v>10</v>
          </cell>
          <cell r="AG106">
            <v>0</v>
          </cell>
          <cell r="AH106">
            <v>98</v>
          </cell>
          <cell r="AI106">
            <v>541</v>
          </cell>
          <cell r="AJ106">
            <v>98</v>
          </cell>
          <cell r="AK106">
            <v>19</v>
          </cell>
        </row>
        <row r="107">
          <cell r="C107">
            <v>350619003</v>
          </cell>
          <cell r="D107">
            <v>16</v>
          </cell>
          <cell r="E107">
            <v>0</v>
          </cell>
          <cell r="F107">
            <v>22</v>
          </cell>
          <cell r="G107">
            <v>0</v>
          </cell>
          <cell r="H107">
            <v>0</v>
          </cell>
          <cell r="I107">
            <v>0</v>
          </cell>
          <cell r="J107">
            <v>73</v>
          </cell>
          <cell r="K107">
            <v>22</v>
          </cell>
          <cell r="L107">
            <v>5</v>
          </cell>
          <cell r="M107">
            <v>10</v>
          </cell>
          <cell r="N107">
            <v>19</v>
          </cell>
          <cell r="O107">
            <v>0</v>
          </cell>
          <cell r="P107">
            <v>0</v>
          </cell>
          <cell r="Q107">
            <v>31</v>
          </cell>
          <cell r="R107">
            <v>12</v>
          </cell>
          <cell r="S107">
            <v>30</v>
          </cell>
          <cell r="T107">
            <v>100</v>
          </cell>
          <cell r="U107">
            <v>0</v>
          </cell>
          <cell r="V107">
            <v>0</v>
          </cell>
          <cell r="W107">
            <v>0</v>
          </cell>
          <cell r="X107">
            <v>11</v>
          </cell>
          <cell r="Y107">
            <v>22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41</v>
          </cell>
          <cell r="AE107">
            <v>0</v>
          </cell>
          <cell r="AF107">
            <v>0</v>
          </cell>
          <cell r="AG107">
            <v>16</v>
          </cell>
          <cell r="AH107">
            <v>56</v>
          </cell>
          <cell r="AI107">
            <v>486</v>
          </cell>
          <cell r="AJ107">
            <v>100</v>
          </cell>
          <cell r="AK107">
            <v>16</v>
          </cell>
        </row>
        <row r="108">
          <cell r="C108">
            <v>350619004</v>
          </cell>
          <cell r="D108">
            <v>6</v>
          </cell>
          <cell r="E108">
            <v>0</v>
          </cell>
          <cell r="F108">
            <v>37</v>
          </cell>
          <cell r="G108">
            <v>15</v>
          </cell>
          <cell r="H108">
            <v>0</v>
          </cell>
          <cell r="I108">
            <v>12</v>
          </cell>
          <cell r="J108">
            <v>17</v>
          </cell>
          <cell r="K108">
            <v>11</v>
          </cell>
          <cell r="L108">
            <v>5</v>
          </cell>
          <cell r="M108">
            <v>27</v>
          </cell>
          <cell r="N108">
            <v>12</v>
          </cell>
          <cell r="O108">
            <v>0</v>
          </cell>
          <cell r="P108">
            <v>8</v>
          </cell>
          <cell r="Q108">
            <v>31</v>
          </cell>
          <cell r="R108">
            <v>8</v>
          </cell>
          <cell r="S108">
            <v>35</v>
          </cell>
          <cell r="T108">
            <v>17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21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51</v>
          </cell>
          <cell r="AE108">
            <v>0</v>
          </cell>
          <cell r="AF108">
            <v>0</v>
          </cell>
          <cell r="AG108">
            <v>11</v>
          </cell>
          <cell r="AH108">
            <v>58</v>
          </cell>
          <cell r="AI108">
            <v>382</v>
          </cell>
          <cell r="AJ108">
            <v>58</v>
          </cell>
          <cell r="AK108">
            <v>18</v>
          </cell>
        </row>
        <row r="109">
          <cell r="C109">
            <v>350619005</v>
          </cell>
          <cell r="D109">
            <v>0</v>
          </cell>
          <cell r="E109">
            <v>0</v>
          </cell>
          <cell r="F109">
            <v>5</v>
          </cell>
          <cell r="G109">
            <v>0</v>
          </cell>
          <cell r="H109">
            <v>0</v>
          </cell>
          <cell r="I109">
            <v>39</v>
          </cell>
          <cell r="J109">
            <v>46</v>
          </cell>
          <cell r="K109">
            <v>0</v>
          </cell>
          <cell r="L109">
            <v>38</v>
          </cell>
          <cell r="M109">
            <v>0</v>
          </cell>
          <cell r="N109">
            <v>10</v>
          </cell>
          <cell r="O109">
            <v>15</v>
          </cell>
          <cell r="P109">
            <v>0</v>
          </cell>
          <cell r="Q109">
            <v>38</v>
          </cell>
          <cell r="R109">
            <v>36</v>
          </cell>
          <cell r="S109">
            <v>34</v>
          </cell>
          <cell r="T109">
            <v>25</v>
          </cell>
          <cell r="U109">
            <v>0</v>
          </cell>
          <cell r="V109">
            <v>0</v>
          </cell>
          <cell r="W109">
            <v>0</v>
          </cell>
          <cell r="X109">
            <v>5</v>
          </cell>
          <cell r="Y109">
            <v>110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15</v>
          </cell>
          <cell r="AE109">
            <v>0</v>
          </cell>
          <cell r="AF109">
            <v>30</v>
          </cell>
          <cell r="AG109">
            <v>0</v>
          </cell>
          <cell r="AH109">
            <v>50</v>
          </cell>
          <cell r="AI109">
            <v>496</v>
          </cell>
          <cell r="AJ109">
            <v>110</v>
          </cell>
          <cell r="AK109">
            <v>15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15</v>
          </cell>
          <cell r="G110">
            <v>0</v>
          </cell>
          <cell r="H110">
            <v>0</v>
          </cell>
          <cell r="I110">
            <v>24</v>
          </cell>
          <cell r="J110">
            <v>93</v>
          </cell>
          <cell r="K110">
            <v>21</v>
          </cell>
          <cell r="L110">
            <v>5</v>
          </cell>
          <cell r="M110">
            <v>7</v>
          </cell>
          <cell r="N110">
            <v>51</v>
          </cell>
          <cell r="O110">
            <v>7</v>
          </cell>
          <cell r="P110">
            <v>13</v>
          </cell>
          <cell r="Q110">
            <v>41</v>
          </cell>
          <cell r="R110">
            <v>7</v>
          </cell>
          <cell r="S110">
            <v>55</v>
          </cell>
          <cell r="T110">
            <v>83</v>
          </cell>
          <cell r="U110">
            <v>0</v>
          </cell>
          <cell r="V110">
            <v>0</v>
          </cell>
          <cell r="W110">
            <v>3</v>
          </cell>
          <cell r="X110">
            <v>3</v>
          </cell>
          <cell r="Y110">
            <v>34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49</v>
          </cell>
          <cell r="AE110">
            <v>7</v>
          </cell>
          <cell r="AF110">
            <v>15</v>
          </cell>
          <cell r="AG110">
            <v>0</v>
          </cell>
          <cell r="AH110">
            <v>91</v>
          </cell>
          <cell r="AI110">
            <v>624</v>
          </cell>
          <cell r="AJ110">
            <v>93</v>
          </cell>
          <cell r="AK110">
            <v>20</v>
          </cell>
        </row>
        <row r="111">
          <cell r="C111">
            <v>350619007</v>
          </cell>
          <cell r="D111">
            <v>19</v>
          </cell>
          <cell r="E111">
            <v>0</v>
          </cell>
          <cell r="F111">
            <v>34</v>
          </cell>
          <cell r="G111">
            <v>0</v>
          </cell>
          <cell r="H111">
            <v>0</v>
          </cell>
          <cell r="I111">
            <v>5</v>
          </cell>
          <cell r="J111">
            <v>48</v>
          </cell>
          <cell r="K111">
            <v>12</v>
          </cell>
          <cell r="L111">
            <v>6</v>
          </cell>
          <cell r="M111">
            <v>12</v>
          </cell>
          <cell r="N111">
            <v>23</v>
          </cell>
          <cell r="O111">
            <v>0</v>
          </cell>
          <cell r="P111">
            <v>0</v>
          </cell>
          <cell r="Q111">
            <v>20</v>
          </cell>
          <cell r="R111">
            <v>15</v>
          </cell>
          <cell r="S111">
            <v>16</v>
          </cell>
          <cell r="T111">
            <v>78</v>
          </cell>
          <cell r="U111">
            <v>0</v>
          </cell>
          <cell r="V111">
            <v>0</v>
          </cell>
          <cell r="W111">
            <v>0</v>
          </cell>
          <cell r="X111">
            <v>9</v>
          </cell>
          <cell r="Y111">
            <v>47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17</v>
          </cell>
          <cell r="AE111">
            <v>0</v>
          </cell>
          <cell r="AF111">
            <v>0</v>
          </cell>
          <cell r="AG111">
            <v>30</v>
          </cell>
          <cell r="AH111">
            <v>42</v>
          </cell>
          <cell r="AI111">
            <v>433</v>
          </cell>
          <cell r="AJ111">
            <v>78</v>
          </cell>
          <cell r="AK111">
            <v>17</v>
          </cell>
        </row>
        <row r="112">
          <cell r="C112">
            <v>350619008</v>
          </cell>
          <cell r="D112">
            <v>8</v>
          </cell>
          <cell r="E112">
            <v>0</v>
          </cell>
          <cell r="F112">
            <v>10</v>
          </cell>
          <cell r="G112">
            <v>0</v>
          </cell>
          <cell r="H112">
            <v>0</v>
          </cell>
          <cell r="I112">
            <v>7</v>
          </cell>
          <cell r="J112">
            <v>35</v>
          </cell>
          <cell r="K112">
            <v>10</v>
          </cell>
          <cell r="L112">
            <v>18</v>
          </cell>
          <cell r="M112">
            <v>7</v>
          </cell>
          <cell r="N112">
            <v>53</v>
          </cell>
          <cell r="O112">
            <v>0</v>
          </cell>
          <cell r="P112">
            <v>7</v>
          </cell>
          <cell r="Q112">
            <v>28</v>
          </cell>
          <cell r="R112">
            <v>40</v>
          </cell>
          <cell r="S112">
            <v>29</v>
          </cell>
          <cell r="T112">
            <v>50</v>
          </cell>
          <cell r="U112">
            <v>0</v>
          </cell>
          <cell r="V112">
            <v>0</v>
          </cell>
          <cell r="W112">
            <v>5</v>
          </cell>
          <cell r="X112">
            <v>10</v>
          </cell>
          <cell r="Y112">
            <v>21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16</v>
          </cell>
          <cell r="AE112">
            <v>7</v>
          </cell>
          <cell r="AF112">
            <v>0</v>
          </cell>
          <cell r="AG112">
            <v>18</v>
          </cell>
          <cell r="AH112">
            <v>85</v>
          </cell>
          <cell r="AI112">
            <v>464</v>
          </cell>
          <cell r="AJ112">
            <v>85</v>
          </cell>
          <cell r="AK112">
            <v>20</v>
          </cell>
        </row>
        <row r="113">
          <cell r="C113">
            <v>350619009</v>
          </cell>
          <cell r="D113">
            <v>5</v>
          </cell>
          <cell r="E113">
            <v>10</v>
          </cell>
          <cell r="F113">
            <v>0</v>
          </cell>
          <cell r="G113">
            <v>0</v>
          </cell>
          <cell r="H113">
            <v>0</v>
          </cell>
          <cell r="I113">
            <v>36</v>
          </cell>
          <cell r="J113">
            <v>43</v>
          </cell>
          <cell r="K113">
            <v>8</v>
          </cell>
          <cell r="L113">
            <v>24</v>
          </cell>
          <cell r="M113">
            <v>6</v>
          </cell>
          <cell r="N113">
            <v>42</v>
          </cell>
          <cell r="O113">
            <v>0</v>
          </cell>
          <cell r="P113">
            <v>0</v>
          </cell>
          <cell r="Q113">
            <v>19</v>
          </cell>
          <cell r="R113">
            <v>27</v>
          </cell>
          <cell r="S113">
            <v>30</v>
          </cell>
          <cell r="T113">
            <v>28</v>
          </cell>
          <cell r="U113">
            <v>0</v>
          </cell>
          <cell r="V113">
            <v>0</v>
          </cell>
          <cell r="W113">
            <v>10</v>
          </cell>
          <cell r="X113">
            <v>15</v>
          </cell>
          <cell r="Y113">
            <v>28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9</v>
          </cell>
          <cell r="AE113">
            <v>8</v>
          </cell>
          <cell r="AF113">
            <v>0</v>
          </cell>
          <cell r="AG113">
            <v>16</v>
          </cell>
          <cell r="AH113">
            <v>47</v>
          </cell>
          <cell r="AI113">
            <v>411</v>
          </cell>
          <cell r="AJ113">
            <v>47</v>
          </cell>
          <cell r="AK113">
            <v>19</v>
          </cell>
        </row>
        <row r="114">
          <cell r="C114">
            <v>350619010</v>
          </cell>
          <cell r="D114">
            <v>7</v>
          </cell>
          <cell r="E114">
            <v>8</v>
          </cell>
          <cell r="F114">
            <v>5</v>
          </cell>
          <cell r="G114">
            <v>0</v>
          </cell>
          <cell r="H114">
            <v>0</v>
          </cell>
          <cell r="I114">
            <v>23</v>
          </cell>
          <cell r="J114">
            <v>38</v>
          </cell>
          <cell r="K114">
            <v>14</v>
          </cell>
          <cell r="L114">
            <v>20</v>
          </cell>
          <cell r="M114">
            <v>8</v>
          </cell>
          <cell r="N114">
            <v>42</v>
          </cell>
          <cell r="O114">
            <v>0</v>
          </cell>
          <cell r="P114">
            <v>8</v>
          </cell>
          <cell r="Q114">
            <v>30</v>
          </cell>
          <cell r="R114">
            <v>41</v>
          </cell>
          <cell r="S114">
            <v>28</v>
          </cell>
          <cell r="T114">
            <v>65</v>
          </cell>
          <cell r="U114">
            <v>0</v>
          </cell>
          <cell r="V114">
            <v>0</v>
          </cell>
          <cell r="W114">
            <v>5</v>
          </cell>
          <cell r="X114">
            <v>10</v>
          </cell>
          <cell r="Y114">
            <v>50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15</v>
          </cell>
          <cell r="AE114">
            <v>0</v>
          </cell>
          <cell r="AF114">
            <v>0</v>
          </cell>
          <cell r="AG114">
            <v>17</v>
          </cell>
          <cell r="AH114">
            <v>69</v>
          </cell>
          <cell r="AI114">
            <v>503</v>
          </cell>
          <cell r="AJ114">
            <v>69</v>
          </cell>
          <cell r="AK114">
            <v>20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20</v>
          </cell>
          <cell r="G115">
            <v>0</v>
          </cell>
          <cell r="H115">
            <v>0</v>
          </cell>
          <cell r="I115">
            <v>32</v>
          </cell>
          <cell r="J115">
            <v>32</v>
          </cell>
          <cell r="K115">
            <v>39</v>
          </cell>
          <cell r="L115">
            <v>18</v>
          </cell>
          <cell r="M115">
            <v>11</v>
          </cell>
          <cell r="N115">
            <v>8</v>
          </cell>
          <cell r="O115">
            <v>0</v>
          </cell>
          <cell r="P115">
            <v>8</v>
          </cell>
          <cell r="Q115">
            <v>29</v>
          </cell>
          <cell r="R115">
            <v>10</v>
          </cell>
          <cell r="S115">
            <v>15</v>
          </cell>
          <cell r="T115">
            <v>51</v>
          </cell>
          <cell r="U115">
            <v>0</v>
          </cell>
          <cell r="V115">
            <v>39</v>
          </cell>
          <cell r="W115">
            <v>35</v>
          </cell>
          <cell r="X115">
            <v>51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34</v>
          </cell>
          <cell r="AE115">
            <v>0</v>
          </cell>
          <cell r="AF115">
            <v>0</v>
          </cell>
          <cell r="AG115">
            <v>0</v>
          </cell>
          <cell r="AH115">
            <v>66</v>
          </cell>
          <cell r="AI115">
            <v>498</v>
          </cell>
          <cell r="AJ115">
            <v>66</v>
          </cell>
          <cell r="AK115">
            <v>17</v>
          </cell>
        </row>
        <row r="116">
          <cell r="C116">
            <v>350619012</v>
          </cell>
          <cell r="D116">
            <v>19</v>
          </cell>
          <cell r="E116">
            <v>0</v>
          </cell>
          <cell r="F116">
            <v>32</v>
          </cell>
          <cell r="G116">
            <v>5</v>
          </cell>
          <cell r="H116">
            <v>0</v>
          </cell>
          <cell r="I116">
            <v>5</v>
          </cell>
          <cell r="J116">
            <v>30</v>
          </cell>
          <cell r="K116">
            <v>10</v>
          </cell>
          <cell r="L116">
            <v>21</v>
          </cell>
          <cell r="M116">
            <v>9</v>
          </cell>
          <cell r="N116">
            <v>28</v>
          </cell>
          <cell r="O116">
            <v>0</v>
          </cell>
          <cell r="P116">
            <v>5</v>
          </cell>
          <cell r="Q116">
            <v>27</v>
          </cell>
          <cell r="R116">
            <v>37</v>
          </cell>
          <cell r="S116">
            <v>20</v>
          </cell>
          <cell r="T116">
            <v>76</v>
          </cell>
          <cell r="U116">
            <v>0</v>
          </cell>
          <cell r="V116">
            <v>0</v>
          </cell>
          <cell r="W116">
            <v>7</v>
          </cell>
          <cell r="X116">
            <v>8</v>
          </cell>
          <cell r="Y116">
            <v>55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15</v>
          </cell>
          <cell r="AE116">
            <v>5</v>
          </cell>
          <cell r="AF116">
            <v>0</v>
          </cell>
          <cell r="AG116">
            <v>13</v>
          </cell>
          <cell r="AH116">
            <v>73</v>
          </cell>
          <cell r="AI116">
            <v>500</v>
          </cell>
          <cell r="AJ116">
            <v>76</v>
          </cell>
          <cell r="AK116">
            <v>21</v>
          </cell>
        </row>
        <row r="117">
          <cell r="C117">
            <v>350619013</v>
          </cell>
          <cell r="D117">
            <v>5</v>
          </cell>
          <cell r="E117">
            <v>35</v>
          </cell>
          <cell r="F117">
            <v>26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106</v>
          </cell>
          <cell r="N117">
            <v>7</v>
          </cell>
          <cell r="O117">
            <v>16</v>
          </cell>
          <cell r="P117">
            <v>0</v>
          </cell>
          <cell r="Q117">
            <v>0</v>
          </cell>
          <cell r="R117">
            <v>5</v>
          </cell>
          <cell r="S117">
            <v>59</v>
          </cell>
          <cell r="T117">
            <v>6</v>
          </cell>
          <cell r="U117">
            <v>0</v>
          </cell>
          <cell r="V117">
            <v>0</v>
          </cell>
          <cell r="W117">
            <v>25</v>
          </cell>
          <cell r="X117">
            <v>0</v>
          </cell>
          <cell r="Y117">
            <v>6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29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325</v>
          </cell>
          <cell r="AJ117">
            <v>106</v>
          </cell>
          <cell r="AK117">
            <v>12</v>
          </cell>
        </row>
        <row r="118">
          <cell r="C118">
            <v>350619014</v>
          </cell>
          <cell r="D118">
            <v>0</v>
          </cell>
          <cell r="E118">
            <v>21</v>
          </cell>
          <cell r="F118">
            <v>22</v>
          </cell>
          <cell r="G118">
            <v>0</v>
          </cell>
          <cell r="H118">
            <v>0</v>
          </cell>
          <cell r="I118">
            <v>0</v>
          </cell>
          <cell r="J118">
            <v>33</v>
          </cell>
          <cell r="K118">
            <v>0</v>
          </cell>
          <cell r="L118">
            <v>12</v>
          </cell>
          <cell r="M118">
            <v>21</v>
          </cell>
          <cell r="N118">
            <v>35</v>
          </cell>
          <cell r="O118">
            <v>0</v>
          </cell>
          <cell r="P118">
            <v>0</v>
          </cell>
          <cell r="Q118">
            <v>33</v>
          </cell>
          <cell r="R118">
            <v>0</v>
          </cell>
          <cell r="S118">
            <v>5</v>
          </cell>
          <cell r="T118">
            <v>35</v>
          </cell>
          <cell r="U118">
            <v>0</v>
          </cell>
          <cell r="V118">
            <v>0</v>
          </cell>
          <cell r="W118">
            <v>0</v>
          </cell>
          <cell r="X118">
            <v>15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16</v>
          </cell>
          <cell r="AE118">
            <v>0</v>
          </cell>
          <cell r="AF118">
            <v>0</v>
          </cell>
          <cell r="AG118">
            <v>5</v>
          </cell>
          <cell r="AH118">
            <v>15</v>
          </cell>
          <cell r="AI118">
            <v>268</v>
          </cell>
          <cell r="AJ118">
            <v>35</v>
          </cell>
          <cell r="AK118">
            <v>13</v>
          </cell>
        </row>
        <row r="119">
          <cell r="C119">
            <v>350619015</v>
          </cell>
          <cell r="D119">
            <v>11</v>
          </cell>
          <cell r="E119">
            <v>0</v>
          </cell>
          <cell r="F119">
            <v>15</v>
          </cell>
          <cell r="G119">
            <v>5</v>
          </cell>
          <cell r="H119">
            <v>0</v>
          </cell>
          <cell r="I119">
            <v>0</v>
          </cell>
          <cell r="J119">
            <v>14</v>
          </cell>
          <cell r="K119">
            <v>7</v>
          </cell>
          <cell r="L119">
            <v>11</v>
          </cell>
          <cell r="M119">
            <v>12</v>
          </cell>
          <cell r="N119">
            <v>27</v>
          </cell>
          <cell r="O119">
            <v>0</v>
          </cell>
          <cell r="P119">
            <v>0</v>
          </cell>
          <cell r="Q119">
            <v>11</v>
          </cell>
          <cell r="R119">
            <v>21</v>
          </cell>
          <cell r="S119">
            <v>19</v>
          </cell>
          <cell r="T119">
            <v>43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38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7</v>
          </cell>
          <cell r="AE119">
            <v>0</v>
          </cell>
          <cell r="AF119">
            <v>0</v>
          </cell>
          <cell r="AG119">
            <v>37</v>
          </cell>
          <cell r="AH119">
            <v>66</v>
          </cell>
          <cell r="AI119">
            <v>344</v>
          </cell>
          <cell r="AJ119">
            <v>66</v>
          </cell>
          <cell r="AK119">
            <v>16</v>
          </cell>
        </row>
        <row r="120">
          <cell r="C120">
            <v>350619016</v>
          </cell>
          <cell r="D120">
            <v>5</v>
          </cell>
          <cell r="E120">
            <v>7</v>
          </cell>
          <cell r="F120">
            <v>30</v>
          </cell>
          <cell r="G120">
            <v>0</v>
          </cell>
          <cell r="H120">
            <v>0</v>
          </cell>
          <cell r="I120">
            <v>0</v>
          </cell>
          <cell r="J120">
            <v>14</v>
          </cell>
          <cell r="K120">
            <v>5</v>
          </cell>
          <cell r="L120">
            <v>0</v>
          </cell>
          <cell r="M120">
            <v>16</v>
          </cell>
          <cell r="N120">
            <v>6</v>
          </cell>
          <cell r="O120">
            <v>0</v>
          </cell>
          <cell r="P120">
            <v>0</v>
          </cell>
          <cell r="Q120">
            <v>22</v>
          </cell>
          <cell r="R120">
            <v>0</v>
          </cell>
          <cell r="S120">
            <v>63</v>
          </cell>
          <cell r="T120">
            <v>0</v>
          </cell>
          <cell r="U120">
            <v>0</v>
          </cell>
          <cell r="V120">
            <v>0</v>
          </cell>
          <cell r="W120">
            <v>6</v>
          </cell>
          <cell r="X120">
            <v>0</v>
          </cell>
          <cell r="Y120">
            <v>7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11</v>
          </cell>
          <cell r="AE120">
            <v>0</v>
          </cell>
          <cell r="AF120">
            <v>0</v>
          </cell>
          <cell r="AG120">
            <v>76</v>
          </cell>
          <cell r="AH120">
            <v>43</v>
          </cell>
          <cell r="AI120">
            <v>311</v>
          </cell>
          <cell r="AJ120">
            <v>76</v>
          </cell>
          <cell r="AK120">
            <v>14</v>
          </cell>
        </row>
        <row r="121">
          <cell r="C121">
            <v>350619017</v>
          </cell>
          <cell r="D121">
            <v>0</v>
          </cell>
          <cell r="E121">
            <v>20</v>
          </cell>
          <cell r="F121">
            <v>19</v>
          </cell>
          <cell r="G121">
            <v>0</v>
          </cell>
          <cell r="H121">
            <v>0</v>
          </cell>
          <cell r="I121">
            <v>40</v>
          </cell>
          <cell r="J121">
            <v>0</v>
          </cell>
          <cell r="K121">
            <v>0</v>
          </cell>
          <cell r="L121">
            <v>14</v>
          </cell>
          <cell r="M121">
            <v>19</v>
          </cell>
          <cell r="N121">
            <v>40</v>
          </cell>
          <cell r="O121">
            <v>0</v>
          </cell>
          <cell r="P121">
            <v>0</v>
          </cell>
          <cell r="Q121">
            <v>39</v>
          </cell>
          <cell r="R121">
            <v>0</v>
          </cell>
          <cell r="S121">
            <v>25</v>
          </cell>
          <cell r="T121">
            <v>30</v>
          </cell>
          <cell r="U121">
            <v>0</v>
          </cell>
          <cell r="V121">
            <v>0</v>
          </cell>
          <cell r="W121">
            <v>0</v>
          </cell>
          <cell r="X121">
            <v>17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18</v>
          </cell>
          <cell r="AE121">
            <v>0</v>
          </cell>
          <cell r="AF121">
            <v>0</v>
          </cell>
          <cell r="AG121">
            <v>6</v>
          </cell>
          <cell r="AH121">
            <v>14</v>
          </cell>
          <cell r="AI121">
            <v>301</v>
          </cell>
          <cell r="AJ121">
            <v>40</v>
          </cell>
          <cell r="AK121">
            <v>13</v>
          </cell>
        </row>
        <row r="122">
          <cell r="C122">
            <v>350619018</v>
          </cell>
          <cell r="D122">
            <v>5</v>
          </cell>
          <cell r="E122">
            <v>7</v>
          </cell>
          <cell r="F122">
            <v>23</v>
          </cell>
          <cell r="G122">
            <v>9</v>
          </cell>
          <cell r="H122">
            <v>8</v>
          </cell>
          <cell r="I122">
            <v>12</v>
          </cell>
          <cell r="J122">
            <v>0</v>
          </cell>
          <cell r="K122">
            <v>9</v>
          </cell>
          <cell r="L122">
            <v>10</v>
          </cell>
          <cell r="M122">
            <v>120</v>
          </cell>
          <cell r="N122">
            <v>10</v>
          </cell>
          <cell r="O122">
            <v>0</v>
          </cell>
          <cell r="P122">
            <v>7</v>
          </cell>
          <cell r="Q122">
            <v>5</v>
          </cell>
          <cell r="R122">
            <v>8</v>
          </cell>
          <cell r="S122">
            <v>42</v>
          </cell>
          <cell r="T122">
            <v>7</v>
          </cell>
          <cell r="U122">
            <v>0</v>
          </cell>
          <cell r="V122">
            <v>8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6</v>
          </cell>
          <cell r="AE122">
            <v>9</v>
          </cell>
          <cell r="AF122">
            <v>9</v>
          </cell>
          <cell r="AG122">
            <v>17</v>
          </cell>
          <cell r="AH122">
            <v>8</v>
          </cell>
          <cell r="AI122">
            <v>339</v>
          </cell>
          <cell r="AJ122">
            <v>120</v>
          </cell>
          <cell r="AK122">
            <v>21</v>
          </cell>
        </row>
        <row r="123">
          <cell r="C123">
            <v>350619019</v>
          </cell>
          <cell r="D123">
            <v>3</v>
          </cell>
          <cell r="E123">
            <v>22</v>
          </cell>
          <cell r="F123">
            <v>22</v>
          </cell>
          <cell r="G123">
            <v>0</v>
          </cell>
          <cell r="H123">
            <v>0</v>
          </cell>
          <cell r="I123">
            <v>3</v>
          </cell>
          <cell r="J123">
            <v>35</v>
          </cell>
          <cell r="K123">
            <v>0</v>
          </cell>
          <cell r="L123">
            <v>11</v>
          </cell>
          <cell r="M123">
            <v>20</v>
          </cell>
          <cell r="N123">
            <v>36</v>
          </cell>
          <cell r="O123">
            <v>0</v>
          </cell>
          <cell r="P123">
            <v>0</v>
          </cell>
          <cell r="Q123">
            <v>32</v>
          </cell>
          <cell r="R123">
            <v>3</v>
          </cell>
          <cell r="S123">
            <v>24</v>
          </cell>
          <cell r="T123">
            <v>38</v>
          </cell>
          <cell r="U123">
            <v>0</v>
          </cell>
          <cell r="V123">
            <v>0</v>
          </cell>
          <cell r="W123">
            <v>11</v>
          </cell>
          <cell r="X123">
            <v>16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16</v>
          </cell>
          <cell r="AE123">
            <v>0</v>
          </cell>
          <cell r="AF123">
            <v>0</v>
          </cell>
          <cell r="AG123">
            <v>4</v>
          </cell>
          <cell r="AH123">
            <v>13</v>
          </cell>
          <cell r="AI123">
            <v>309</v>
          </cell>
          <cell r="AJ123">
            <v>38</v>
          </cell>
          <cell r="AK123">
            <v>17</v>
          </cell>
        </row>
        <row r="124">
          <cell r="C124">
            <v>350619020</v>
          </cell>
          <cell r="D124">
            <v>28</v>
          </cell>
          <cell r="E124">
            <v>15</v>
          </cell>
          <cell r="F124">
            <v>0</v>
          </cell>
          <cell r="G124">
            <v>27</v>
          </cell>
          <cell r="H124">
            <v>0</v>
          </cell>
          <cell r="I124">
            <v>8</v>
          </cell>
          <cell r="J124">
            <v>15</v>
          </cell>
          <cell r="K124">
            <v>20</v>
          </cell>
          <cell r="L124">
            <v>36</v>
          </cell>
          <cell r="M124">
            <v>20</v>
          </cell>
          <cell r="N124">
            <v>23</v>
          </cell>
          <cell r="O124">
            <v>0</v>
          </cell>
          <cell r="P124">
            <v>0</v>
          </cell>
          <cell r="Q124">
            <v>0</v>
          </cell>
          <cell r="R124">
            <v>10</v>
          </cell>
          <cell r="S124">
            <v>26</v>
          </cell>
          <cell r="T124">
            <v>35</v>
          </cell>
          <cell r="U124">
            <v>0</v>
          </cell>
          <cell r="V124">
            <v>0</v>
          </cell>
          <cell r="W124">
            <v>13</v>
          </cell>
          <cell r="X124">
            <v>18</v>
          </cell>
          <cell r="Y124">
            <v>18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45</v>
          </cell>
          <cell r="AE124">
            <v>0</v>
          </cell>
          <cell r="AF124">
            <v>0</v>
          </cell>
          <cell r="AG124">
            <v>18</v>
          </cell>
          <cell r="AH124">
            <v>18</v>
          </cell>
          <cell r="AI124">
            <v>393</v>
          </cell>
          <cell r="AJ124">
            <v>45</v>
          </cell>
          <cell r="AK124">
            <v>18</v>
          </cell>
        </row>
        <row r="125">
          <cell r="C125">
            <v>350619021</v>
          </cell>
          <cell r="D125">
            <v>5</v>
          </cell>
          <cell r="E125">
            <v>20</v>
          </cell>
          <cell r="F125">
            <v>24</v>
          </cell>
          <cell r="G125">
            <v>13</v>
          </cell>
          <cell r="H125">
            <v>1</v>
          </cell>
          <cell r="I125">
            <v>6</v>
          </cell>
          <cell r="J125">
            <v>13</v>
          </cell>
          <cell r="K125">
            <v>8</v>
          </cell>
          <cell r="L125">
            <v>6</v>
          </cell>
          <cell r="M125">
            <v>84</v>
          </cell>
          <cell r="N125">
            <v>62</v>
          </cell>
          <cell r="O125">
            <v>0</v>
          </cell>
          <cell r="P125">
            <v>0</v>
          </cell>
          <cell r="Q125">
            <v>7</v>
          </cell>
          <cell r="R125">
            <v>10</v>
          </cell>
          <cell r="S125">
            <v>60</v>
          </cell>
          <cell r="T125">
            <v>28</v>
          </cell>
          <cell r="U125">
            <v>5</v>
          </cell>
          <cell r="V125">
            <v>3</v>
          </cell>
          <cell r="W125">
            <v>27</v>
          </cell>
          <cell r="X125">
            <v>12</v>
          </cell>
          <cell r="Y125">
            <v>25</v>
          </cell>
          <cell r="Z125">
            <v>1</v>
          </cell>
          <cell r="AA125">
            <v>4</v>
          </cell>
          <cell r="AB125">
            <v>0</v>
          </cell>
          <cell r="AC125">
            <v>0</v>
          </cell>
          <cell r="AD125">
            <v>8</v>
          </cell>
          <cell r="AE125">
            <v>0</v>
          </cell>
          <cell r="AF125">
            <v>0</v>
          </cell>
          <cell r="AG125">
            <v>5</v>
          </cell>
          <cell r="AH125">
            <v>17</v>
          </cell>
          <cell r="AI125">
            <v>454</v>
          </cell>
          <cell r="AJ125">
            <v>84</v>
          </cell>
          <cell r="AK125">
            <v>25</v>
          </cell>
        </row>
        <row r="126">
          <cell r="C126">
            <v>350619022</v>
          </cell>
          <cell r="D126">
            <v>11</v>
          </cell>
          <cell r="E126">
            <v>17</v>
          </cell>
          <cell r="F126">
            <v>5</v>
          </cell>
          <cell r="G126">
            <v>21</v>
          </cell>
          <cell r="H126">
            <v>6</v>
          </cell>
          <cell r="I126">
            <v>0</v>
          </cell>
          <cell r="J126">
            <v>0</v>
          </cell>
          <cell r="K126">
            <v>14</v>
          </cell>
          <cell r="L126">
            <v>112</v>
          </cell>
          <cell r="M126">
            <v>107</v>
          </cell>
          <cell r="N126">
            <v>35</v>
          </cell>
          <cell r="O126">
            <v>9</v>
          </cell>
          <cell r="P126">
            <v>3</v>
          </cell>
          <cell r="Q126">
            <v>22</v>
          </cell>
          <cell r="R126">
            <v>36</v>
          </cell>
          <cell r="S126">
            <v>18</v>
          </cell>
          <cell r="T126">
            <v>46</v>
          </cell>
          <cell r="U126">
            <v>0</v>
          </cell>
          <cell r="V126">
            <v>5</v>
          </cell>
          <cell r="W126">
            <v>2</v>
          </cell>
          <cell r="X126">
            <v>0</v>
          </cell>
          <cell r="Y126">
            <v>40</v>
          </cell>
          <cell r="Z126">
            <v>12</v>
          </cell>
          <cell r="AA126">
            <v>28</v>
          </cell>
          <cell r="AB126">
            <v>0</v>
          </cell>
          <cell r="AC126">
            <v>7</v>
          </cell>
          <cell r="AD126">
            <v>3</v>
          </cell>
          <cell r="AE126">
            <v>0</v>
          </cell>
          <cell r="AF126">
            <v>30</v>
          </cell>
          <cell r="AG126">
            <v>3</v>
          </cell>
          <cell r="AH126">
            <v>6</v>
          </cell>
          <cell r="AI126">
            <v>598</v>
          </cell>
          <cell r="AJ126">
            <v>112</v>
          </cell>
          <cell r="AK126">
            <v>25</v>
          </cell>
        </row>
        <row r="127">
          <cell r="C127">
            <v>350619023</v>
          </cell>
          <cell r="D127">
            <v>9</v>
          </cell>
          <cell r="E127">
            <v>14</v>
          </cell>
          <cell r="F127">
            <v>5</v>
          </cell>
          <cell r="G127">
            <v>10</v>
          </cell>
          <cell r="H127">
            <v>4</v>
          </cell>
          <cell r="I127">
            <v>0</v>
          </cell>
          <cell r="J127">
            <v>0</v>
          </cell>
          <cell r="K127">
            <v>12</v>
          </cell>
          <cell r="L127">
            <v>25</v>
          </cell>
          <cell r="M127">
            <v>69</v>
          </cell>
          <cell r="N127">
            <v>10</v>
          </cell>
          <cell r="O127">
            <v>7</v>
          </cell>
          <cell r="P127">
            <v>21</v>
          </cell>
          <cell r="Q127">
            <v>18</v>
          </cell>
          <cell r="R127">
            <v>29</v>
          </cell>
          <cell r="S127">
            <v>7</v>
          </cell>
          <cell r="T127">
            <v>24</v>
          </cell>
          <cell r="U127">
            <v>0</v>
          </cell>
          <cell r="V127">
            <v>11</v>
          </cell>
          <cell r="W127">
            <v>29</v>
          </cell>
          <cell r="X127">
            <v>0</v>
          </cell>
          <cell r="Y127">
            <v>37</v>
          </cell>
          <cell r="Z127">
            <v>10</v>
          </cell>
          <cell r="AA127">
            <v>23</v>
          </cell>
          <cell r="AB127">
            <v>0</v>
          </cell>
          <cell r="AC127">
            <v>0</v>
          </cell>
          <cell r="AD127">
            <v>11</v>
          </cell>
          <cell r="AE127">
            <v>0</v>
          </cell>
          <cell r="AF127">
            <v>5</v>
          </cell>
          <cell r="AG127">
            <v>13</v>
          </cell>
          <cell r="AH127">
            <v>10</v>
          </cell>
          <cell r="AI127">
            <v>413</v>
          </cell>
          <cell r="AJ127">
            <v>69</v>
          </cell>
          <cell r="AK127">
            <v>24</v>
          </cell>
        </row>
        <row r="128">
          <cell r="C128">
            <v>350619024</v>
          </cell>
          <cell r="D128">
            <v>4</v>
          </cell>
          <cell r="E128">
            <v>22</v>
          </cell>
          <cell r="F128">
            <v>27</v>
          </cell>
          <cell r="G128">
            <v>10</v>
          </cell>
          <cell r="H128">
            <v>0</v>
          </cell>
          <cell r="I128">
            <v>3</v>
          </cell>
          <cell r="J128">
            <v>16</v>
          </cell>
          <cell r="K128">
            <v>12</v>
          </cell>
          <cell r="L128">
            <v>14</v>
          </cell>
          <cell r="M128">
            <v>78</v>
          </cell>
          <cell r="N128">
            <v>59</v>
          </cell>
          <cell r="O128">
            <v>0</v>
          </cell>
          <cell r="P128">
            <v>0</v>
          </cell>
          <cell r="Q128">
            <v>12</v>
          </cell>
          <cell r="R128">
            <v>18</v>
          </cell>
          <cell r="S128">
            <v>65</v>
          </cell>
          <cell r="T128">
            <v>21</v>
          </cell>
          <cell r="U128">
            <v>9</v>
          </cell>
          <cell r="V128">
            <v>6</v>
          </cell>
          <cell r="W128">
            <v>36</v>
          </cell>
          <cell r="X128">
            <v>16</v>
          </cell>
          <cell r="Y128">
            <v>30</v>
          </cell>
          <cell r="Z128">
            <v>0</v>
          </cell>
          <cell r="AA128">
            <v>2</v>
          </cell>
          <cell r="AB128">
            <v>0</v>
          </cell>
          <cell r="AC128">
            <v>0</v>
          </cell>
          <cell r="AD128">
            <v>11</v>
          </cell>
          <cell r="AE128">
            <v>0</v>
          </cell>
          <cell r="AF128">
            <v>0</v>
          </cell>
          <cell r="AG128">
            <v>3</v>
          </cell>
          <cell r="AH128">
            <v>12</v>
          </cell>
          <cell r="AI128">
            <v>486</v>
          </cell>
          <cell r="AJ128">
            <v>78</v>
          </cell>
          <cell r="AK128">
            <v>23</v>
          </cell>
        </row>
        <row r="129">
          <cell r="C129">
            <v>350619025</v>
          </cell>
          <cell r="D129">
            <v>0</v>
          </cell>
          <cell r="E129">
            <v>15</v>
          </cell>
          <cell r="F129">
            <v>30</v>
          </cell>
          <cell r="G129">
            <v>14</v>
          </cell>
          <cell r="H129">
            <v>0</v>
          </cell>
          <cell r="I129">
            <v>8</v>
          </cell>
          <cell r="J129">
            <v>24</v>
          </cell>
          <cell r="K129">
            <v>6</v>
          </cell>
          <cell r="L129">
            <v>6</v>
          </cell>
          <cell r="M129">
            <v>63</v>
          </cell>
          <cell r="N129">
            <v>20</v>
          </cell>
          <cell r="O129">
            <v>0</v>
          </cell>
          <cell r="P129">
            <v>0</v>
          </cell>
          <cell r="Q129">
            <v>21</v>
          </cell>
          <cell r="R129">
            <v>65</v>
          </cell>
          <cell r="S129">
            <v>72</v>
          </cell>
          <cell r="T129">
            <v>8</v>
          </cell>
          <cell r="U129">
            <v>0</v>
          </cell>
          <cell r="V129">
            <v>0</v>
          </cell>
          <cell r="W129">
            <v>21</v>
          </cell>
          <cell r="X129">
            <v>11</v>
          </cell>
          <cell r="Y129">
            <v>37</v>
          </cell>
          <cell r="Z129">
            <v>4</v>
          </cell>
          <cell r="AA129">
            <v>2</v>
          </cell>
          <cell r="AB129">
            <v>0</v>
          </cell>
          <cell r="AC129">
            <v>0</v>
          </cell>
          <cell r="AD129">
            <v>14</v>
          </cell>
          <cell r="AE129">
            <v>0</v>
          </cell>
          <cell r="AF129">
            <v>0</v>
          </cell>
          <cell r="AG129">
            <v>2</v>
          </cell>
          <cell r="AH129">
            <v>17</v>
          </cell>
          <cell r="AI129">
            <v>460</v>
          </cell>
          <cell r="AJ129">
            <v>72</v>
          </cell>
          <cell r="AK129">
            <v>21</v>
          </cell>
        </row>
        <row r="130">
          <cell r="C130">
            <v>350619026</v>
          </cell>
          <cell r="D130">
            <v>32</v>
          </cell>
          <cell r="E130">
            <v>39</v>
          </cell>
          <cell r="F130">
            <v>24</v>
          </cell>
          <cell r="G130">
            <v>14</v>
          </cell>
          <cell r="H130">
            <v>17</v>
          </cell>
          <cell r="I130">
            <v>11</v>
          </cell>
          <cell r="J130">
            <v>7</v>
          </cell>
          <cell r="K130">
            <v>17</v>
          </cell>
          <cell r="L130">
            <v>18</v>
          </cell>
          <cell r="M130">
            <v>73</v>
          </cell>
          <cell r="N130">
            <v>85</v>
          </cell>
          <cell r="O130">
            <v>31</v>
          </cell>
          <cell r="P130">
            <v>24</v>
          </cell>
          <cell r="Q130">
            <v>6</v>
          </cell>
          <cell r="R130">
            <v>40</v>
          </cell>
          <cell r="S130">
            <v>35</v>
          </cell>
          <cell r="T130">
            <v>40</v>
          </cell>
          <cell r="U130">
            <v>11</v>
          </cell>
          <cell r="V130">
            <v>35</v>
          </cell>
          <cell r="W130">
            <v>33</v>
          </cell>
          <cell r="X130">
            <v>30</v>
          </cell>
          <cell r="Y130">
            <v>45</v>
          </cell>
          <cell r="Z130">
            <v>14</v>
          </cell>
          <cell r="AA130">
            <v>0</v>
          </cell>
          <cell r="AB130">
            <v>0</v>
          </cell>
          <cell r="AC130">
            <v>5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12</v>
          </cell>
          <cell r="AI130">
            <v>698</v>
          </cell>
          <cell r="AJ130">
            <v>85</v>
          </cell>
          <cell r="AK130">
            <v>25</v>
          </cell>
        </row>
        <row r="131">
          <cell r="C131">
            <v>350619027</v>
          </cell>
          <cell r="D131">
            <v>4</v>
          </cell>
          <cell r="E131">
            <v>3</v>
          </cell>
          <cell r="F131">
            <v>15</v>
          </cell>
          <cell r="G131">
            <v>22</v>
          </cell>
          <cell r="H131">
            <v>0</v>
          </cell>
          <cell r="I131">
            <v>7</v>
          </cell>
          <cell r="J131">
            <v>8</v>
          </cell>
          <cell r="K131">
            <v>5</v>
          </cell>
          <cell r="L131">
            <v>17</v>
          </cell>
          <cell r="M131">
            <v>5</v>
          </cell>
          <cell r="N131">
            <v>14</v>
          </cell>
          <cell r="O131">
            <v>6</v>
          </cell>
          <cell r="P131">
            <v>0</v>
          </cell>
          <cell r="Q131">
            <v>4</v>
          </cell>
          <cell r="R131">
            <v>2</v>
          </cell>
          <cell r="S131">
            <v>8</v>
          </cell>
          <cell r="T131">
            <v>15</v>
          </cell>
          <cell r="U131">
            <v>0</v>
          </cell>
          <cell r="V131">
            <v>0</v>
          </cell>
          <cell r="W131">
            <v>50</v>
          </cell>
          <cell r="X131">
            <v>4</v>
          </cell>
          <cell r="Y131">
            <v>11</v>
          </cell>
          <cell r="Z131">
            <v>1</v>
          </cell>
          <cell r="AA131">
            <v>0</v>
          </cell>
          <cell r="AB131">
            <v>0</v>
          </cell>
          <cell r="AC131">
            <v>0</v>
          </cell>
          <cell r="AD131">
            <v>39</v>
          </cell>
          <cell r="AE131">
            <v>0</v>
          </cell>
          <cell r="AF131">
            <v>0</v>
          </cell>
          <cell r="AG131">
            <v>5</v>
          </cell>
          <cell r="AH131">
            <v>70</v>
          </cell>
          <cell r="AI131">
            <v>315</v>
          </cell>
          <cell r="AJ131">
            <v>70</v>
          </cell>
          <cell r="AK131">
            <v>22</v>
          </cell>
        </row>
        <row r="132">
          <cell r="C132">
            <v>350619028</v>
          </cell>
          <cell r="D132">
            <v>0</v>
          </cell>
          <cell r="E132">
            <v>6</v>
          </cell>
          <cell r="F132">
            <v>9</v>
          </cell>
          <cell r="G132">
            <v>6</v>
          </cell>
          <cell r="H132">
            <v>0</v>
          </cell>
          <cell r="I132">
            <v>0</v>
          </cell>
          <cell r="J132">
            <v>6</v>
          </cell>
          <cell r="K132">
            <v>24</v>
          </cell>
          <cell r="L132">
            <v>5</v>
          </cell>
          <cell r="M132">
            <v>32</v>
          </cell>
          <cell r="N132">
            <v>10</v>
          </cell>
          <cell r="O132">
            <v>0</v>
          </cell>
          <cell r="P132">
            <v>6</v>
          </cell>
          <cell r="Q132">
            <v>9</v>
          </cell>
          <cell r="R132">
            <v>12</v>
          </cell>
          <cell r="S132">
            <v>29</v>
          </cell>
          <cell r="T132">
            <v>32</v>
          </cell>
          <cell r="U132">
            <v>5</v>
          </cell>
          <cell r="V132">
            <v>0</v>
          </cell>
          <cell r="W132">
            <v>9</v>
          </cell>
          <cell r="X132">
            <v>25</v>
          </cell>
          <cell r="Y132">
            <v>59</v>
          </cell>
          <cell r="Z132">
            <v>0</v>
          </cell>
          <cell r="AA132">
            <v>6</v>
          </cell>
          <cell r="AB132">
            <v>0</v>
          </cell>
          <cell r="AC132">
            <v>0</v>
          </cell>
          <cell r="AD132">
            <v>15</v>
          </cell>
          <cell r="AE132">
            <v>0</v>
          </cell>
          <cell r="AF132">
            <v>0</v>
          </cell>
          <cell r="AG132">
            <v>5</v>
          </cell>
          <cell r="AH132">
            <v>65</v>
          </cell>
          <cell r="AI132">
            <v>375</v>
          </cell>
          <cell r="AJ132">
            <v>65</v>
          </cell>
          <cell r="AK132">
            <v>21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38</v>
          </cell>
          <cell r="G133">
            <v>5</v>
          </cell>
          <cell r="H133">
            <v>0</v>
          </cell>
          <cell r="I133">
            <v>0</v>
          </cell>
          <cell r="J133">
            <v>0</v>
          </cell>
          <cell r="K133">
            <v>20</v>
          </cell>
          <cell r="L133">
            <v>0</v>
          </cell>
          <cell r="M133">
            <v>38</v>
          </cell>
          <cell r="N133">
            <v>10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30</v>
          </cell>
          <cell r="T133">
            <v>35</v>
          </cell>
          <cell r="U133">
            <v>8</v>
          </cell>
          <cell r="V133">
            <v>0</v>
          </cell>
          <cell r="W133">
            <v>38</v>
          </cell>
          <cell r="X133">
            <v>0</v>
          </cell>
          <cell r="Y133">
            <v>60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20</v>
          </cell>
          <cell r="AE133">
            <v>0</v>
          </cell>
          <cell r="AF133">
            <v>0</v>
          </cell>
          <cell r="AG133">
            <v>5</v>
          </cell>
          <cell r="AH133">
            <v>65</v>
          </cell>
          <cell r="AI133">
            <v>372</v>
          </cell>
          <cell r="AJ133">
            <v>65</v>
          </cell>
          <cell r="AK133">
            <v>13</v>
          </cell>
        </row>
        <row r="134">
          <cell r="C134">
            <v>350619030</v>
          </cell>
          <cell r="D134">
            <v>0</v>
          </cell>
          <cell r="E134">
            <v>8</v>
          </cell>
          <cell r="F134">
            <v>7</v>
          </cell>
          <cell r="G134">
            <v>10</v>
          </cell>
          <cell r="H134">
            <v>5</v>
          </cell>
          <cell r="I134">
            <v>0</v>
          </cell>
          <cell r="J134">
            <v>0</v>
          </cell>
          <cell r="K134">
            <v>5</v>
          </cell>
          <cell r="L134">
            <v>10</v>
          </cell>
          <cell r="M134">
            <v>15</v>
          </cell>
          <cell r="N134">
            <v>17</v>
          </cell>
          <cell r="O134">
            <v>15</v>
          </cell>
          <cell r="P134">
            <v>0</v>
          </cell>
          <cell r="Q134">
            <v>5</v>
          </cell>
          <cell r="R134">
            <v>0</v>
          </cell>
          <cell r="S134">
            <v>17</v>
          </cell>
          <cell r="T134">
            <v>15</v>
          </cell>
          <cell r="U134">
            <v>0</v>
          </cell>
          <cell r="V134">
            <v>0</v>
          </cell>
          <cell r="W134">
            <v>22</v>
          </cell>
          <cell r="X134">
            <v>14</v>
          </cell>
          <cell r="Y134">
            <v>40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14</v>
          </cell>
          <cell r="AE134">
            <v>0</v>
          </cell>
          <cell r="AF134">
            <v>0</v>
          </cell>
          <cell r="AG134">
            <v>5</v>
          </cell>
          <cell r="AH134">
            <v>30</v>
          </cell>
          <cell r="AI134">
            <v>254</v>
          </cell>
          <cell r="AJ134">
            <v>40</v>
          </cell>
          <cell r="AK134">
            <v>18</v>
          </cell>
        </row>
        <row r="135">
          <cell r="C135">
            <v>350619031</v>
          </cell>
          <cell r="D135">
            <v>0</v>
          </cell>
          <cell r="E135">
            <v>13</v>
          </cell>
          <cell r="F135">
            <v>11</v>
          </cell>
          <cell r="G135">
            <v>2</v>
          </cell>
          <cell r="H135">
            <v>0</v>
          </cell>
          <cell r="I135">
            <v>3</v>
          </cell>
          <cell r="J135">
            <v>5</v>
          </cell>
          <cell r="K135">
            <v>7</v>
          </cell>
          <cell r="L135">
            <v>3</v>
          </cell>
          <cell r="M135">
            <v>72</v>
          </cell>
          <cell r="N135">
            <v>13</v>
          </cell>
          <cell r="O135">
            <v>0</v>
          </cell>
          <cell r="P135">
            <v>0</v>
          </cell>
          <cell r="Q135">
            <v>3</v>
          </cell>
          <cell r="R135">
            <v>15</v>
          </cell>
          <cell r="S135">
            <v>41</v>
          </cell>
          <cell r="T135">
            <v>32</v>
          </cell>
          <cell r="U135">
            <v>11</v>
          </cell>
          <cell r="V135">
            <v>19</v>
          </cell>
          <cell r="W135">
            <v>13</v>
          </cell>
          <cell r="X135">
            <v>2</v>
          </cell>
          <cell r="Y135">
            <v>54</v>
          </cell>
          <cell r="Z135">
            <v>0</v>
          </cell>
          <cell r="AA135">
            <v>5</v>
          </cell>
          <cell r="AB135">
            <v>0</v>
          </cell>
          <cell r="AC135">
            <v>0</v>
          </cell>
          <cell r="AD135">
            <v>12</v>
          </cell>
          <cell r="AE135">
            <v>9</v>
          </cell>
          <cell r="AF135">
            <v>0</v>
          </cell>
          <cell r="AG135">
            <v>0</v>
          </cell>
          <cell r="AH135">
            <v>59</v>
          </cell>
          <cell r="AI135">
            <v>404</v>
          </cell>
          <cell r="AJ135">
            <v>72</v>
          </cell>
          <cell r="AK135">
            <v>22</v>
          </cell>
        </row>
        <row r="136">
          <cell r="C136">
            <v>350619032</v>
          </cell>
          <cell r="D136">
            <v>0</v>
          </cell>
          <cell r="E136">
            <v>25</v>
          </cell>
          <cell r="F136">
            <v>0</v>
          </cell>
          <cell r="G136">
            <v>3</v>
          </cell>
          <cell r="H136">
            <v>0</v>
          </cell>
          <cell r="I136">
            <v>0</v>
          </cell>
          <cell r="J136">
            <v>0</v>
          </cell>
          <cell r="K136">
            <v>25</v>
          </cell>
          <cell r="L136">
            <v>0</v>
          </cell>
          <cell r="M136">
            <v>58</v>
          </cell>
          <cell r="N136">
            <v>6</v>
          </cell>
          <cell r="O136">
            <v>25</v>
          </cell>
          <cell r="P136">
            <v>3</v>
          </cell>
          <cell r="Q136">
            <v>18</v>
          </cell>
          <cell r="R136">
            <v>29</v>
          </cell>
          <cell r="S136">
            <v>56</v>
          </cell>
          <cell r="T136">
            <v>20</v>
          </cell>
          <cell r="U136">
            <v>28</v>
          </cell>
          <cell r="V136">
            <v>28</v>
          </cell>
          <cell r="W136">
            <v>8</v>
          </cell>
          <cell r="X136">
            <v>0</v>
          </cell>
          <cell r="Y136">
            <v>7</v>
          </cell>
          <cell r="Z136">
            <v>2</v>
          </cell>
          <cell r="AA136">
            <v>15</v>
          </cell>
          <cell r="AB136">
            <v>13</v>
          </cell>
          <cell r="AC136">
            <v>0</v>
          </cell>
          <cell r="AD136">
            <v>20</v>
          </cell>
          <cell r="AE136">
            <v>6</v>
          </cell>
          <cell r="AF136">
            <v>0</v>
          </cell>
          <cell r="AG136">
            <v>1</v>
          </cell>
          <cell r="AH136">
            <v>8</v>
          </cell>
          <cell r="AI136">
            <v>404</v>
          </cell>
          <cell r="AJ136">
            <v>58</v>
          </cell>
          <cell r="AK136">
            <v>22</v>
          </cell>
        </row>
        <row r="137">
          <cell r="C137">
            <v>350619033</v>
          </cell>
          <cell r="D137">
            <v>0</v>
          </cell>
          <cell r="E137">
            <v>57</v>
          </cell>
          <cell r="F137">
            <v>13</v>
          </cell>
          <cell r="G137">
            <v>9</v>
          </cell>
          <cell r="H137">
            <v>0</v>
          </cell>
          <cell r="I137">
            <v>12</v>
          </cell>
          <cell r="J137">
            <v>0</v>
          </cell>
          <cell r="K137">
            <v>6</v>
          </cell>
          <cell r="L137">
            <v>11</v>
          </cell>
          <cell r="M137">
            <v>31</v>
          </cell>
          <cell r="N137">
            <v>11</v>
          </cell>
          <cell r="O137">
            <v>2</v>
          </cell>
          <cell r="P137">
            <v>0</v>
          </cell>
          <cell r="Q137">
            <v>18</v>
          </cell>
          <cell r="R137">
            <v>64</v>
          </cell>
          <cell r="S137">
            <v>27</v>
          </cell>
          <cell r="T137">
            <v>67</v>
          </cell>
          <cell r="U137">
            <v>4</v>
          </cell>
          <cell r="V137">
            <v>6</v>
          </cell>
          <cell r="W137">
            <v>19</v>
          </cell>
          <cell r="X137">
            <v>15</v>
          </cell>
          <cell r="Y137">
            <v>34</v>
          </cell>
          <cell r="Z137">
            <v>4</v>
          </cell>
          <cell r="AA137">
            <v>8</v>
          </cell>
          <cell r="AB137">
            <v>0</v>
          </cell>
          <cell r="AC137">
            <v>0</v>
          </cell>
          <cell r="AD137">
            <v>11</v>
          </cell>
          <cell r="AE137">
            <v>0</v>
          </cell>
          <cell r="AF137">
            <v>0</v>
          </cell>
          <cell r="AG137">
            <v>0</v>
          </cell>
          <cell r="AH137">
            <v>27</v>
          </cell>
          <cell r="AI137">
            <v>456</v>
          </cell>
          <cell r="AJ137">
            <v>67</v>
          </cell>
          <cell r="AK137">
            <v>22</v>
          </cell>
        </row>
        <row r="138">
          <cell r="C138">
            <v>350619034</v>
          </cell>
          <cell r="D138">
            <v>0</v>
          </cell>
          <cell r="E138">
            <v>48</v>
          </cell>
          <cell r="F138">
            <v>5</v>
          </cell>
          <cell r="G138">
            <v>3</v>
          </cell>
          <cell r="H138">
            <v>0</v>
          </cell>
          <cell r="I138">
            <v>10</v>
          </cell>
          <cell r="J138">
            <v>0</v>
          </cell>
          <cell r="K138">
            <v>5</v>
          </cell>
          <cell r="L138">
            <v>2</v>
          </cell>
          <cell r="M138">
            <v>33</v>
          </cell>
          <cell r="N138">
            <v>10</v>
          </cell>
          <cell r="O138">
            <v>5</v>
          </cell>
          <cell r="P138">
            <v>0</v>
          </cell>
          <cell r="Q138">
            <v>10</v>
          </cell>
          <cell r="R138">
            <v>41</v>
          </cell>
          <cell r="S138">
            <v>51</v>
          </cell>
          <cell r="T138">
            <v>45</v>
          </cell>
          <cell r="U138">
            <v>25</v>
          </cell>
          <cell r="V138">
            <v>6</v>
          </cell>
          <cell r="W138">
            <v>4</v>
          </cell>
          <cell r="X138">
            <v>0</v>
          </cell>
          <cell r="Y138">
            <v>25</v>
          </cell>
          <cell r="Z138">
            <v>6</v>
          </cell>
          <cell r="AA138">
            <v>11</v>
          </cell>
          <cell r="AB138">
            <v>0</v>
          </cell>
          <cell r="AC138">
            <v>0</v>
          </cell>
          <cell r="AD138">
            <v>13</v>
          </cell>
          <cell r="AE138">
            <v>0</v>
          </cell>
          <cell r="AF138">
            <v>0</v>
          </cell>
          <cell r="AG138">
            <v>0</v>
          </cell>
          <cell r="AH138">
            <v>9</v>
          </cell>
          <cell r="AI138">
            <v>367</v>
          </cell>
          <cell r="AJ138">
            <v>51</v>
          </cell>
          <cell r="AK138">
            <v>21</v>
          </cell>
        </row>
        <row r="139">
          <cell r="C139">
            <v>350619035</v>
          </cell>
          <cell r="D139">
            <v>10</v>
          </cell>
          <cell r="E139">
            <v>12</v>
          </cell>
          <cell r="F139">
            <v>18</v>
          </cell>
          <cell r="G139">
            <v>0</v>
          </cell>
          <cell r="H139">
            <v>4</v>
          </cell>
          <cell r="I139">
            <v>0</v>
          </cell>
          <cell r="J139">
            <v>11</v>
          </cell>
          <cell r="K139">
            <v>21</v>
          </cell>
          <cell r="L139">
            <v>19</v>
          </cell>
          <cell r="M139">
            <v>13</v>
          </cell>
          <cell r="N139">
            <v>20</v>
          </cell>
          <cell r="O139">
            <v>5</v>
          </cell>
          <cell r="P139">
            <v>14</v>
          </cell>
          <cell r="Q139">
            <v>16</v>
          </cell>
          <cell r="R139">
            <v>18</v>
          </cell>
          <cell r="S139">
            <v>15</v>
          </cell>
          <cell r="T139">
            <v>0</v>
          </cell>
          <cell r="U139">
            <v>10</v>
          </cell>
          <cell r="V139">
            <v>12</v>
          </cell>
          <cell r="W139">
            <v>17</v>
          </cell>
          <cell r="X139">
            <v>8</v>
          </cell>
          <cell r="Y139">
            <v>10</v>
          </cell>
          <cell r="Z139">
            <v>0</v>
          </cell>
          <cell r="AA139">
            <v>0</v>
          </cell>
          <cell r="AB139">
            <v>0</v>
          </cell>
          <cell r="AC139">
            <v>10</v>
          </cell>
          <cell r="AD139">
            <v>5</v>
          </cell>
          <cell r="AE139">
            <v>0</v>
          </cell>
          <cell r="AF139">
            <v>16</v>
          </cell>
          <cell r="AG139">
            <v>10</v>
          </cell>
          <cell r="AH139">
            <v>24</v>
          </cell>
          <cell r="AI139">
            <v>318</v>
          </cell>
          <cell r="AJ139">
            <v>24</v>
          </cell>
          <cell r="AK139">
            <v>24</v>
          </cell>
        </row>
        <row r="140">
          <cell r="C140">
            <v>350619036</v>
          </cell>
          <cell r="D140">
            <v>0</v>
          </cell>
          <cell r="E140">
            <v>10</v>
          </cell>
          <cell r="F140">
            <v>29</v>
          </cell>
          <cell r="G140">
            <v>6</v>
          </cell>
          <cell r="H140">
            <v>0</v>
          </cell>
          <cell r="I140">
            <v>0</v>
          </cell>
          <cell r="J140">
            <v>30</v>
          </cell>
          <cell r="K140">
            <v>5</v>
          </cell>
          <cell r="L140">
            <v>10</v>
          </cell>
          <cell r="M140">
            <v>37</v>
          </cell>
          <cell r="N140">
            <v>11</v>
          </cell>
          <cell r="O140">
            <v>0</v>
          </cell>
          <cell r="P140">
            <v>5</v>
          </cell>
          <cell r="Q140">
            <v>8</v>
          </cell>
          <cell r="R140">
            <v>10</v>
          </cell>
          <cell r="S140">
            <v>14</v>
          </cell>
          <cell r="T140">
            <v>29</v>
          </cell>
          <cell r="U140">
            <v>15</v>
          </cell>
          <cell r="V140">
            <v>0</v>
          </cell>
          <cell r="W140">
            <v>7</v>
          </cell>
          <cell r="X140">
            <v>18</v>
          </cell>
          <cell r="Y140">
            <v>47</v>
          </cell>
          <cell r="Z140">
            <v>0</v>
          </cell>
          <cell r="AA140">
            <v>10</v>
          </cell>
          <cell r="AB140">
            <v>0</v>
          </cell>
          <cell r="AC140">
            <v>0</v>
          </cell>
          <cell r="AD140">
            <v>14</v>
          </cell>
          <cell r="AE140">
            <v>0</v>
          </cell>
          <cell r="AF140">
            <v>0</v>
          </cell>
          <cell r="AG140">
            <v>0</v>
          </cell>
          <cell r="AH140">
            <v>64</v>
          </cell>
          <cell r="AI140">
            <v>379</v>
          </cell>
          <cell r="AJ140">
            <v>64</v>
          </cell>
          <cell r="AK140">
            <v>20</v>
          </cell>
        </row>
        <row r="141">
          <cell r="C141">
            <v>350620001</v>
          </cell>
          <cell r="D141">
            <v>6</v>
          </cell>
          <cell r="E141">
            <v>2</v>
          </cell>
          <cell r="F141">
            <v>9</v>
          </cell>
          <cell r="G141">
            <v>4</v>
          </cell>
          <cell r="H141">
            <v>0</v>
          </cell>
          <cell r="I141">
            <v>7</v>
          </cell>
          <cell r="J141">
            <v>21</v>
          </cell>
          <cell r="K141">
            <v>24</v>
          </cell>
          <cell r="L141">
            <v>25</v>
          </cell>
          <cell r="M141">
            <v>3</v>
          </cell>
          <cell r="N141">
            <v>18</v>
          </cell>
          <cell r="O141">
            <v>3</v>
          </cell>
          <cell r="P141">
            <v>1</v>
          </cell>
          <cell r="Q141">
            <v>7</v>
          </cell>
          <cell r="R141">
            <v>3</v>
          </cell>
          <cell r="S141">
            <v>0</v>
          </cell>
          <cell r="T141">
            <v>31</v>
          </cell>
          <cell r="U141">
            <v>0</v>
          </cell>
          <cell r="V141">
            <v>0</v>
          </cell>
          <cell r="W141">
            <v>3</v>
          </cell>
          <cell r="X141">
            <v>56</v>
          </cell>
          <cell r="Y141">
            <v>6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12</v>
          </cell>
          <cell r="AE141">
            <v>0</v>
          </cell>
          <cell r="AF141">
            <v>0</v>
          </cell>
          <cell r="AG141">
            <v>35</v>
          </cell>
          <cell r="AH141">
            <v>50</v>
          </cell>
          <cell r="AI141">
            <v>326</v>
          </cell>
          <cell r="AJ141">
            <v>56</v>
          </cell>
          <cell r="AK141">
            <v>21</v>
          </cell>
        </row>
        <row r="142">
          <cell r="C142">
            <v>350620002</v>
          </cell>
          <cell r="D142">
            <v>4</v>
          </cell>
          <cell r="E142">
            <v>6</v>
          </cell>
          <cell r="F142">
            <v>5</v>
          </cell>
          <cell r="G142">
            <v>3</v>
          </cell>
          <cell r="H142">
            <v>0</v>
          </cell>
          <cell r="I142">
            <v>16</v>
          </cell>
          <cell r="J142">
            <v>31</v>
          </cell>
          <cell r="K142">
            <v>53</v>
          </cell>
          <cell r="L142">
            <v>5</v>
          </cell>
          <cell r="M142">
            <v>16</v>
          </cell>
          <cell r="N142">
            <v>26</v>
          </cell>
          <cell r="O142">
            <v>5</v>
          </cell>
          <cell r="P142">
            <v>0</v>
          </cell>
          <cell r="Q142">
            <v>2</v>
          </cell>
          <cell r="R142">
            <v>4</v>
          </cell>
          <cell r="S142">
            <v>2</v>
          </cell>
          <cell r="T142">
            <v>23</v>
          </cell>
          <cell r="U142">
            <v>3</v>
          </cell>
          <cell r="V142">
            <v>0</v>
          </cell>
          <cell r="W142">
            <v>2</v>
          </cell>
          <cell r="X142">
            <v>51</v>
          </cell>
          <cell r="Y142">
            <v>13</v>
          </cell>
          <cell r="Z142">
            <v>3</v>
          </cell>
          <cell r="AA142">
            <v>0</v>
          </cell>
          <cell r="AB142">
            <v>0</v>
          </cell>
          <cell r="AC142">
            <v>0</v>
          </cell>
          <cell r="AD142">
            <v>14</v>
          </cell>
          <cell r="AE142">
            <v>0</v>
          </cell>
          <cell r="AF142">
            <v>0</v>
          </cell>
          <cell r="AG142">
            <v>2</v>
          </cell>
          <cell r="AH142">
            <v>35</v>
          </cell>
          <cell r="AI142">
            <v>324</v>
          </cell>
          <cell r="AJ142">
            <v>53</v>
          </cell>
          <cell r="AK142">
            <v>23</v>
          </cell>
        </row>
        <row r="143">
          <cell r="C143">
            <v>350620003</v>
          </cell>
          <cell r="D143">
            <v>3</v>
          </cell>
          <cell r="E143">
            <v>7</v>
          </cell>
          <cell r="F143">
            <v>15</v>
          </cell>
          <cell r="G143">
            <v>13</v>
          </cell>
          <cell r="H143">
            <v>1</v>
          </cell>
          <cell r="I143">
            <v>53</v>
          </cell>
          <cell r="J143">
            <v>0</v>
          </cell>
          <cell r="K143">
            <v>4</v>
          </cell>
          <cell r="L143">
            <v>44</v>
          </cell>
          <cell r="M143">
            <v>4</v>
          </cell>
          <cell r="N143">
            <v>14</v>
          </cell>
          <cell r="O143">
            <v>0</v>
          </cell>
          <cell r="P143">
            <v>0</v>
          </cell>
          <cell r="Q143">
            <v>1</v>
          </cell>
          <cell r="R143">
            <v>0</v>
          </cell>
          <cell r="S143">
            <v>0</v>
          </cell>
          <cell r="T143">
            <v>50</v>
          </cell>
          <cell r="U143">
            <v>2</v>
          </cell>
          <cell r="V143">
            <v>2</v>
          </cell>
          <cell r="W143">
            <v>0</v>
          </cell>
          <cell r="X143">
            <v>15</v>
          </cell>
          <cell r="Y143">
            <v>8</v>
          </cell>
          <cell r="Z143">
            <v>2</v>
          </cell>
          <cell r="AA143">
            <v>0</v>
          </cell>
          <cell r="AB143">
            <v>0</v>
          </cell>
          <cell r="AC143">
            <v>0</v>
          </cell>
          <cell r="AD143">
            <v>50</v>
          </cell>
          <cell r="AE143">
            <v>0</v>
          </cell>
          <cell r="AF143">
            <v>0</v>
          </cell>
          <cell r="AG143">
            <v>79</v>
          </cell>
          <cell r="AH143">
            <v>54</v>
          </cell>
          <cell r="AI143">
            <v>421</v>
          </cell>
          <cell r="AJ143">
            <v>79</v>
          </cell>
          <cell r="AK143">
            <v>20</v>
          </cell>
        </row>
        <row r="144">
          <cell r="C144">
            <v>350620004</v>
          </cell>
          <cell r="D144">
            <v>3</v>
          </cell>
          <cell r="E144">
            <v>3</v>
          </cell>
          <cell r="F144">
            <v>20</v>
          </cell>
          <cell r="G144">
            <v>5</v>
          </cell>
          <cell r="H144">
            <v>1</v>
          </cell>
          <cell r="I144">
            <v>30</v>
          </cell>
          <cell r="J144">
            <v>17</v>
          </cell>
          <cell r="K144">
            <v>18</v>
          </cell>
          <cell r="L144">
            <v>33</v>
          </cell>
          <cell r="M144">
            <v>4</v>
          </cell>
          <cell r="N144">
            <v>12</v>
          </cell>
          <cell r="O144">
            <v>2</v>
          </cell>
          <cell r="P144">
            <v>0</v>
          </cell>
          <cell r="Q144">
            <v>2</v>
          </cell>
          <cell r="R144">
            <v>7</v>
          </cell>
          <cell r="S144">
            <v>1</v>
          </cell>
          <cell r="T144">
            <v>30</v>
          </cell>
          <cell r="U144">
            <v>0</v>
          </cell>
          <cell r="V144">
            <v>0</v>
          </cell>
          <cell r="W144">
            <v>3</v>
          </cell>
          <cell r="X144">
            <v>0</v>
          </cell>
          <cell r="Y144">
            <v>5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20</v>
          </cell>
          <cell r="AE144">
            <v>0</v>
          </cell>
          <cell r="AF144">
            <v>0</v>
          </cell>
          <cell r="AG144">
            <v>27</v>
          </cell>
          <cell r="AH144">
            <v>36</v>
          </cell>
          <cell r="AI144">
            <v>279</v>
          </cell>
          <cell r="AJ144">
            <v>36</v>
          </cell>
          <cell r="AK144">
            <v>21</v>
          </cell>
        </row>
        <row r="145">
          <cell r="C145">
            <v>350620005</v>
          </cell>
          <cell r="D145">
            <v>3</v>
          </cell>
          <cell r="E145">
            <v>4</v>
          </cell>
          <cell r="F145">
            <v>12</v>
          </cell>
          <cell r="G145">
            <v>7</v>
          </cell>
          <cell r="H145">
            <v>2</v>
          </cell>
          <cell r="I145">
            <v>36</v>
          </cell>
          <cell r="J145">
            <v>24</v>
          </cell>
          <cell r="K145">
            <v>9</v>
          </cell>
          <cell r="L145">
            <v>35</v>
          </cell>
          <cell r="M145">
            <v>5</v>
          </cell>
          <cell r="N145">
            <v>18</v>
          </cell>
          <cell r="O145">
            <v>3</v>
          </cell>
          <cell r="P145">
            <v>0</v>
          </cell>
          <cell r="Q145">
            <v>3</v>
          </cell>
          <cell r="R145">
            <v>3</v>
          </cell>
          <cell r="S145">
            <v>2</v>
          </cell>
          <cell r="T145">
            <v>31</v>
          </cell>
          <cell r="U145">
            <v>0</v>
          </cell>
          <cell r="V145">
            <v>3</v>
          </cell>
          <cell r="W145">
            <v>3</v>
          </cell>
          <cell r="X145">
            <v>37</v>
          </cell>
          <cell r="Y145">
            <v>6</v>
          </cell>
          <cell r="Z145">
            <v>2</v>
          </cell>
          <cell r="AA145">
            <v>2</v>
          </cell>
          <cell r="AB145">
            <v>0</v>
          </cell>
          <cell r="AC145">
            <v>0</v>
          </cell>
          <cell r="AD145">
            <v>23</v>
          </cell>
          <cell r="AE145">
            <v>0</v>
          </cell>
          <cell r="AF145">
            <v>0</v>
          </cell>
          <cell r="AG145">
            <v>19</v>
          </cell>
          <cell r="AH145">
            <v>50</v>
          </cell>
          <cell r="AI145">
            <v>342</v>
          </cell>
          <cell r="AJ145">
            <v>50</v>
          </cell>
          <cell r="AK145">
            <v>25</v>
          </cell>
        </row>
        <row r="146">
          <cell r="C146">
            <v>350620006</v>
          </cell>
          <cell r="D146">
            <v>4</v>
          </cell>
          <cell r="E146">
            <v>8</v>
          </cell>
          <cell r="F146">
            <v>15</v>
          </cell>
          <cell r="G146">
            <v>19</v>
          </cell>
          <cell r="H146">
            <v>2</v>
          </cell>
          <cell r="I146">
            <v>17</v>
          </cell>
          <cell r="J146">
            <v>5</v>
          </cell>
          <cell r="K146">
            <v>6</v>
          </cell>
          <cell r="L146">
            <v>29</v>
          </cell>
          <cell r="M146">
            <v>6</v>
          </cell>
          <cell r="N146">
            <v>12</v>
          </cell>
          <cell r="O146">
            <v>1</v>
          </cell>
          <cell r="P146">
            <v>0</v>
          </cell>
          <cell r="Q146">
            <v>2</v>
          </cell>
          <cell r="R146">
            <v>2</v>
          </cell>
          <cell r="S146">
            <v>2</v>
          </cell>
          <cell r="T146">
            <v>30</v>
          </cell>
          <cell r="U146">
            <v>1</v>
          </cell>
          <cell r="V146">
            <v>1</v>
          </cell>
          <cell r="W146">
            <v>1</v>
          </cell>
          <cell r="X146">
            <v>5</v>
          </cell>
          <cell r="Y146">
            <v>31</v>
          </cell>
          <cell r="Z146">
            <v>6</v>
          </cell>
          <cell r="AA146">
            <v>0</v>
          </cell>
          <cell r="AB146">
            <v>0</v>
          </cell>
          <cell r="AC146">
            <v>0</v>
          </cell>
          <cell r="AD146">
            <v>20</v>
          </cell>
          <cell r="AE146">
            <v>0</v>
          </cell>
          <cell r="AF146">
            <v>0</v>
          </cell>
          <cell r="AG146">
            <v>7</v>
          </cell>
          <cell r="AH146">
            <v>84</v>
          </cell>
          <cell r="AI146">
            <v>316</v>
          </cell>
          <cell r="AJ146">
            <v>84</v>
          </cell>
          <cell r="AK146">
            <v>25</v>
          </cell>
        </row>
        <row r="147">
          <cell r="C147">
            <v>350620007</v>
          </cell>
          <cell r="D147">
            <v>5</v>
          </cell>
          <cell r="E147">
            <v>11</v>
          </cell>
          <cell r="F147">
            <v>15</v>
          </cell>
          <cell r="G147">
            <v>0</v>
          </cell>
          <cell r="H147">
            <v>0</v>
          </cell>
          <cell r="I147">
            <v>3</v>
          </cell>
          <cell r="J147">
            <v>7</v>
          </cell>
          <cell r="K147">
            <v>9</v>
          </cell>
          <cell r="L147">
            <v>12</v>
          </cell>
          <cell r="M147">
            <v>10</v>
          </cell>
          <cell r="N147">
            <v>3</v>
          </cell>
          <cell r="O147">
            <v>4</v>
          </cell>
          <cell r="P147">
            <v>3</v>
          </cell>
          <cell r="Q147">
            <v>5</v>
          </cell>
          <cell r="R147">
            <v>0</v>
          </cell>
          <cell r="S147">
            <v>10</v>
          </cell>
          <cell r="T147">
            <v>10</v>
          </cell>
          <cell r="U147">
            <v>11</v>
          </cell>
          <cell r="V147">
            <v>3</v>
          </cell>
          <cell r="W147">
            <v>4</v>
          </cell>
          <cell r="X147">
            <v>0</v>
          </cell>
          <cell r="Y147">
            <v>10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13</v>
          </cell>
          <cell r="AE147">
            <v>4</v>
          </cell>
          <cell r="AF147">
            <v>0</v>
          </cell>
          <cell r="AG147">
            <v>6</v>
          </cell>
          <cell r="AH147">
            <v>23</v>
          </cell>
          <cell r="AI147">
            <v>181</v>
          </cell>
          <cell r="AJ147">
            <v>23</v>
          </cell>
          <cell r="AK147">
            <v>22</v>
          </cell>
        </row>
        <row r="148">
          <cell r="C148">
            <v>350620008</v>
          </cell>
          <cell r="D148">
            <v>2</v>
          </cell>
          <cell r="E148">
            <v>7</v>
          </cell>
          <cell r="F148">
            <v>37</v>
          </cell>
          <cell r="G148">
            <v>5</v>
          </cell>
          <cell r="H148">
            <v>14</v>
          </cell>
          <cell r="I148">
            <v>12</v>
          </cell>
          <cell r="J148">
            <v>5</v>
          </cell>
          <cell r="K148">
            <v>6</v>
          </cell>
          <cell r="L148">
            <v>28</v>
          </cell>
          <cell r="M148">
            <v>7</v>
          </cell>
          <cell r="N148">
            <v>25</v>
          </cell>
          <cell r="O148">
            <v>0</v>
          </cell>
          <cell r="P148">
            <v>0</v>
          </cell>
          <cell r="Q148">
            <v>2</v>
          </cell>
          <cell r="R148">
            <v>3</v>
          </cell>
          <cell r="S148">
            <v>0</v>
          </cell>
          <cell r="T148">
            <v>23</v>
          </cell>
          <cell r="U148">
            <v>30</v>
          </cell>
          <cell r="V148">
            <v>0</v>
          </cell>
          <cell r="W148">
            <v>10</v>
          </cell>
          <cell r="X148">
            <v>5</v>
          </cell>
          <cell r="Y148">
            <v>20</v>
          </cell>
          <cell r="Z148">
            <v>2</v>
          </cell>
          <cell r="AA148">
            <v>0</v>
          </cell>
          <cell r="AB148">
            <v>0</v>
          </cell>
          <cell r="AC148">
            <v>0</v>
          </cell>
          <cell r="AD148">
            <v>25</v>
          </cell>
          <cell r="AE148">
            <v>0</v>
          </cell>
          <cell r="AF148">
            <v>0</v>
          </cell>
          <cell r="AG148">
            <v>0</v>
          </cell>
          <cell r="AH148">
            <v>57</v>
          </cell>
          <cell r="AI148">
            <v>325</v>
          </cell>
          <cell r="AJ148">
            <v>57</v>
          </cell>
          <cell r="AK148">
            <v>21</v>
          </cell>
        </row>
        <row r="149">
          <cell r="C149">
            <v>350620009</v>
          </cell>
          <cell r="D149">
            <v>5</v>
          </cell>
          <cell r="E149">
            <v>13</v>
          </cell>
          <cell r="F149">
            <v>24</v>
          </cell>
          <cell r="G149">
            <v>7</v>
          </cell>
          <cell r="H149">
            <v>0</v>
          </cell>
          <cell r="I149">
            <v>18</v>
          </cell>
          <cell r="J149">
            <v>6</v>
          </cell>
          <cell r="K149">
            <v>17</v>
          </cell>
          <cell r="L149">
            <v>49</v>
          </cell>
          <cell r="M149">
            <v>11</v>
          </cell>
          <cell r="N149">
            <v>32</v>
          </cell>
          <cell r="O149">
            <v>4</v>
          </cell>
          <cell r="P149">
            <v>43</v>
          </cell>
          <cell r="Q149">
            <v>2</v>
          </cell>
          <cell r="R149">
            <v>1</v>
          </cell>
          <cell r="S149">
            <v>15</v>
          </cell>
          <cell r="T149">
            <v>41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38</v>
          </cell>
          <cell r="Z149">
            <v>0</v>
          </cell>
          <cell r="AA149">
            <v>24</v>
          </cell>
          <cell r="AB149">
            <v>0</v>
          </cell>
          <cell r="AC149">
            <v>0</v>
          </cell>
          <cell r="AD149">
            <v>58</v>
          </cell>
          <cell r="AE149">
            <v>10</v>
          </cell>
          <cell r="AF149">
            <v>0</v>
          </cell>
          <cell r="AG149">
            <v>21</v>
          </cell>
          <cell r="AH149">
            <v>10</v>
          </cell>
          <cell r="AI149">
            <v>449</v>
          </cell>
          <cell r="AJ149">
            <v>58</v>
          </cell>
          <cell r="AK149">
            <v>22</v>
          </cell>
        </row>
        <row r="150">
          <cell r="C150">
            <v>350620010</v>
          </cell>
          <cell r="D150">
            <v>17</v>
          </cell>
          <cell r="E150">
            <v>12</v>
          </cell>
          <cell r="F150">
            <v>39</v>
          </cell>
          <cell r="G150">
            <v>26</v>
          </cell>
          <cell r="H150">
            <v>2</v>
          </cell>
          <cell r="I150">
            <v>0</v>
          </cell>
          <cell r="J150">
            <v>6</v>
          </cell>
          <cell r="K150">
            <v>11</v>
          </cell>
          <cell r="L150">
            <v>18</v>
          </cell>
          <cell r="M150">
            <v>0</v>
          </cell>
          <cell r="N150">
            <v>36</v>
          </cell>
          <cell r="O150">
            <v>8</v>
          </cell>
          <cell r="P150">
            <v>2</v>
          </cell>
          <cell r="Q150">
            <v>0</v>
          </cell>
          <cell r="R150">
            <v>0</v>
          </cell>
          <cell r="S150">
            <v>5</v>
          </cell>
          <cell r="T150">
            <v>33</v>
          </cell>
          <cell r="U150">
            <v>4</v>
          </cell>
          <cell r="V150">
            <v>0</v>
          </cell>
          <cell r="W150">
            <v>0</v>
          </cell>
          <cell r="X150">
            <v>0</v>
          </cell>
          <cell r="Y150">
            <v>13</v>
          </cell>
          <cell r="Z150">
            <v>0</v>
          </cell>
          <cell r="AA150">
            <v>0</v>
          </cell>
          <cell r="AB150">
            <v>6</v>
          </cell>
          <cell r="AC150">
            <v>0</v>
          </cell>
          <cell r="AD150">
            <v>18</v>
          </cell>
          <cell r="AE150">
            <v>2</v>
          </cell>
          <cell r="AF150">
            <v>0</v>
          </cell>
          <cell r="AG150">
            <v>16</v>
          </cell>
          <cell r="AH150">
            <v>7</v>
          </cell>
          <cell r="AI150">
            <v>281</v>
          </cell>
          <cell r="AJ150">
            <v>39</v>
          </cell>
          <cell r="AK150">
            <v>20</v>
          </cell>
        </row>
        <row r="151">
          <cell r="C151">
            <v>350620011</v>
          </cell>
          <cell r="D151">
            <v>3</v>
          </cell>
          <cell r="E151">
            <v>18</v>
          </cell>
          <cell r="F151">
            <v>12</v>
          </cell>
          <cell r="G151">
            <v>5</v>
          </cell>
          <cell r="H151">
            <v>0</v>
          </cell>
          <cell r="I151">
            <v>2</v>
          </cell>
          <cell r="J151">
            <v>4</v>
          </cell>
          <cell r="K151">
            <v>22</v>
          </cell>
          <cell r="L151">
            <v>4</v>
          </cell>
          <cell r="M151">
            <v>2</v>
          </cell>
          <cell r="N151">
            <v>61</v>
          </cell>
          <cell r="O151">
            <v>13</v>
          </cell>
          <cell r="P151">
            <v>0</v>
          </cell>
          <cell r="Q151">
            <v>4</v>
          </cell>
          <cell r="R151">
            <v>0</v>
          </cell>
          <cell r="S151">
            <v>4</v>
          </cell>
          <cell r="T151">
            <v>32</v>
          </cell>
          <cell r="U151">
            <v>2</v>
          </cell>
          <cell r="V151">
            <v>0</v>
          </cell>
          <cell r="W151">
            <v>2</v>
          </cell>
          <cell r="X151">
            <v>3</v>
          </cell>
          <cell r="Y151">
            <v>20</v>
          </cell>
          <cell r="Z151">
            <v>0</v>
          </cell>
          <cell r="AA151">
            <v>2</v>
          </cell>
          <cell r="AB151">
            <v>0</v>
          </cell>
          <cell r="AC151">
            <v>0</v>
          </cell>
          <cell r="AD151">
            <v>45</v>
          </cell>
          <cell r="AE151">
            <v>0</v>
          </cell>
          <cell r="AF151">
            <v>0</v>
          </cell>
          <cell r="AG151">
            <v>2</v>
          </cell>
          <cell r="AH151">
            <v>11</v>
          </cell>
          <cell r="AI151">
            <v>273</v>
          </cell>
          <cell r="AJ151">
            <v>61</v>
          </cell>
          <cell r="AK151">
            <v>22</v>
          </cell>
        </row>
        <row r="152">
          <cell r="C152">
            <v>350620012</v>
          </cell>
          <cell r="D152">
            <v>10</v>
          </cell>
          <cell r="E152">
            <v>9</v>
          </cell>
          <cell r="F152">
            <v>24</v>
          </cell>
          <cell r="G152">
            <v>5</v>
          </cell>
          <cell r="H152">
            <v>0</v>
          </cell>
          <cell r="I152">
            <v>4</v>
          </cell>
          <cell r="J152">
            <v>2</v>
          </cell>
          <cell r="K152">
            <v>10</v>
          </cell>
          <cell r="L152">
            <v>23</v>
          </cell>
          <cell r="M152">
            <v>5</v>
          </cell>
          <cell r="N152">
            <v>45</v>
          </cell>
          <cell r="O152">
            <v>6</v>
          </cell>
          <cell r="P152">
            <v>23</v>
          </cell>
          <cell r="Q152">
            <v>2</v>
          </cell>
          <cell r="R152">
            <v>0</v>
          </cell>
          <cell r="S152">
            <v>12</v>
          </cell>
          <cell r="T152">
            <v>20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27</v>
          </cell>
          <cell r="Z152">
            <v>0</v>
          </cell>
          <cell r="AA152">
            <v>6</v>
          </cell>
          <cell r="AB152">
            <v>0</v>
          </cell>
          <cell r="AC152">
            <v>0</v>
          </cell>
          <cell r="AD152">
            <v>33</v>
          </cell>
          <cell r="AE152">
            <v>36</v>
          </cell>
          <cell r="AF152">
            <v>0</v>
          </cell>
          <cell r="AG152">
            <v>9</v>
          </cell>
          <cell r="AH152">
            <v>4</v>
          </cell>
          <cell r="AI152">
            <v>315</v>
          </cell>
          <cell r="AJ152">
            <v>45</v>
          </cell>
          <cell r="AK152">
            <v>21</v>
          </cell>
        </row>
        <row r="153">
          <cell r="C153">
            <v>350620013</v>
          </cell>
          <cell r="D153">
            <v>18</v>
          </cell>
          <cell r="E153">
            <v>14</v>
          </cell>
          <cell r="F153">
            <v>36</v>
          </cell>
          <cell r="G153">
            <v>15</v>
          </cell>
          <cell r="H153">
            <v>3</v>
          </cell>
          <cell r="I153">
            <v>0</v>
          </cell>
          <cell r="J153">
            <v>0</v>
          </cell>
          <cell r="K153">
            <v>22</v>
          </cell>
          <cell r="L153">
            <v>17</v>
          </cell>
          <cell r="M153">
            <v>13</v>
          </cell>
          <cell r="N153">
            <v>54</v>
          </cell>
          <cell r="O153">
            <v>15</v>
          </cell>
          <cell r="P153">
            <v>46</v>
          </cell>
          <cell r="Q153">
            <v>3</v>
          </cell>
          <cell r="R153">
            <v>6</v>
          </cell>
          <cell r="S153">
            <v>7</v>
          </cell>
          <cell r="T153">
            <v>36</v>
          </cell>
          <cell r="U153">
            <v>3</v>
          </cell>
          <cell r="V153">
            <v>0</v>
          </cell>
          <cell r="W153">
            <v>0</v>
          </cell>
          <cell r="X153">
            <v>0</v>
          </cell>
          <cell r="Y153">
            <v>7</v>
          </cell>
          <cell r="Z153">
            <v>0</v>
          </cell>
          <cell r="AA153">
            <v>8</v>
          </cell>
          <cell r="AB153">
            <v>0</v>
          </cell>
          <cell r="AC153">
            <v>3</v>
          </cell>
          <cell r="AD153">
            <v>6</v>
          </cell>
          <cell r="AE153">
            <v>2</v>
          </cell>
          <cell r="AF153">
            <v>0</v>
          </cell>
          <cell r="AG153">
            <v>27</v>
          </cell>
          <cell r="AH153">
            <v>4</v>
          </cell>
          <cell r="AI153">
            <v>365</v>
          </cell>
          <cell r="AJ153">
            <v>54</v>
          </cell>
          <cell r="AK153">
            <v>23</v>
          </cell>
        </row>
        <row r="154">
          <cell r="C154">
            <v>350620014</v>
          </cell>
          <cell r="D154">
            <v>0</v>
          </cell>
          <cell r="E154">
            <v>18</v>
          </cell>
          <cell r="F154">
            <v>20</v>
          </cell>
          <cell r="G154">
            <v>2</v>
          </cell>
          <cell r="H154">
            <v>2</v>
          </cell>
          <cell r="I154">
            <v>5</v>
          </cell>
          <cell r="J154">
            <v>5</v>
          </cell>
          <cell r="K154">
            <v>16</v>
          </cell>
          <cell r="L154">
            <v>4</v>
          </cell>
          <cell r="M154">
            <v>30</v>
          </cell>
          <cell r="N154">
            <v>16</v>
          </cell>
          <cell r="O154">
            <v>2</v>
          </cell>
          <cell r="P154">
            <v>0</v>
          </cell>
          <cell r="Q154">
            <v>6</v>
          </cell>
          <cell r="R154">
            <v>2</v>
          </cell>
          <cell r="S154">
            <v>6</v>
          </cell>
          <cell r="T154">
            <v>28</v>
          </cell>
          <cell r="U154">
            <v>33</v>
          </cell>
          <cell r="V154">
            <v>6</v>
          </cell>
          <cell r="W154">
            <v>3</v>
          </cell>
          <cell r="X154">
            <v>0</v>
          </cell>
          <cell r="Y154">
            <v>19</v>
          </cell>
          <cell r="Z154">
            <v>4</v>
          </cell>
          <cell r="AA154">
            <v>0</v>
          </cell>
          <cell r="AB154">
            <v>0</v>
          </cell>
          <cell r="AC154">
            <v>0</v>
          </cell>
          <cell r="AD154">
            <v>20</v>
          </cell>
          <cell r="AE154">
            <v>2</v>
          </cell>
          <cell r="AF154">
            <v>0</v>
          </cell>
          <cell r="AG154">
            <v>2</v>
          </cell>
          <cell r="AH154">
            <v>17</v>
          </cell>
          <cell r="AI154">
            <v>268</v>
          </cell>
          <cell r="AJ154">
            <v>33</v>
          </cell>
          <cell r="AK154">
            <v>24</v>
          </cell>
        </row>
        <row r="155">
          <cell r="C155">
            <v>350620015</v>
          </cell>
          <cell r="D155">
            <v>3</v>
          </cell>
          <cell r="E155">
            <v>8</v>
          </cell>
          <cell r="F155">
            <v>14</v>
          </cell>
          <cell r="G155">
            <v>0</v>
          </cell>
          <cell r="H155">
            <v>2</v>
          </cell>
          <cell r="I155">
            <v>1</v>
          </cell>
          <cell r="J155">
            <v>0</v>
          </cell>
          <cell r="K155">
            <v>11</v>
          </cell>
          <cell r="L155">
            <v>27</v>
          </cell>
          <cell r="M155">
            <v>34</v>
          </cell>
          <cell r="N155">
            <v>15</v>
          </cell>
          <cell r="O155">
            <v>2</v>
          </cell>
          <cell r="P155">
            <v>0</v>
          </cell>
          <cell r="Q155">
            <v>0</v>
          </cell>
          <cell r="R155">
            <v>0</v>
          </cell>
          <cell r="S155">
            <v>17</v>
          </cell>
          <cell r="T155">
            <v>41</v>
          </cell>
          <cell r="U155">
            <v>22</v>
          </cell>
          <cell r="V155">
            <v>0</v>
          </cell>
          <cell r="W155">
            <v>0</v>
          </cell>
          <cell r="X155">
            <v>0</v>
          </cell>
          <cell r="Y155">
            <v>20</v>
          </cell>
          <cell r="Z155">
            <v>6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6</v>
          </cell>
          <cell r="AF155">
            <v>0</v>
          </cell>
          <cell r="AG155">
            <v>0</v>
          </cell>
          <cell r="AH155">
            <v>0</v>
          </cell>
          <cell r="AI155">
            <v>229</v>
          </cell>
          <cell r="AJ155">
            <v>41</v>
          </cell>
          <cell r="AK155">
            <v>16</v>
          </cell>
        </row>
        <row r="156">
          <cell r="C156">
            <v>350620016</v>
          </cell>
          <cell r="D156">
            <v>2</v>
          </cell>
          <cell r="E156">
            <v>0.6</v>
          </cell>
          <cell r="F156">
            <v>16</v>
          </cell>
          <cell r="G156">
            <v>0</v>
          </cell>
          <cell r="H156">
            <v>1</v>
          </cell>
          <cell r="I156">
            <v>1</v>
          </cell>
          <cell r="J156">
            <v>1</v>
          </cell>
          <cell r="K156">
            <v>10</v>
          </cell>
          <cell r="L156">
            <v>36</v>
          </cell>
          <cell r="M156">
            <v>29</v>
          </cell>
          <cell r="N156">
            <v>14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16</v>
          </cell>
          <cell r="T156">
            <v>37</v>
          </cell>
          <cell r="U156">
            <v>20</v>
          </cell>
          <cell r="V156">
            <v>0</v>
          </cell>
          <cell r="W156">
            <v>0</v>
          </cell>
          <cell r="X156">
            <v>0</v>
          </cell>
          <cell r="Y156">
            <v>19</v>
          </cell>
          <cell r="Z156">
            <v>3</v>
          </cell>
          <cell r="AA156">
            <v>0</v>
          </cell>
          <cell r="AB156">
            <v>0</v>
          </cell>
          <cell r="AC156">
            <v>8</v>
          </cell>
          <cell r="AD156">
            <v>6</v>
          </cell>
          <cell r="AE156">
            <v>0</v>
          </cell>
          <cell r="AF156">
            <v>0</v>
          </cell>
          <cell r="AG156">
            <v>0</v>
          </cell>
          <cell r="AH156">
            <v>27</v>
          </cell>
          <cell r="AI156">
            <v>246.6</v>
          </cell>
          <cell r="AJ156">
            <v>37</v>
          </cell>
          <cell r="AK156">
            <v>18</v>
          </cell>
        </row>
        <row r="157">
          <cell r="C157">
            <v>350620017</v>
          </cell>
          <cell r="D157">
            <v>3</v>
          </cell>
          <cell r="E157">
            <v>21</v>
          </cell>
          <cell r="F157">
            <v>4</v>
          </cell>
          <cell r="G157">
            <v>7</v>
          </cell>
          <cell r="H157">
            <v>0</v>
          </cell>
          <cell r="I157">
            <v>5</v>
          </cell>
          <cell r="J157">
            <v>0</v>
          </cell>
          <cell r="K157">
            <v>15</v>
          </cell>
          <cell r="L157">
            <v>16</v>
          </cell>
          <cell r="M157">
            <v>25</v>
          </cell>
          <cell r="N157">
            <v>14</v>
          </cell>
          <cell r="O157">
            <v>74</v>
          </cell>
          <cell r="P157">
            <v>0</v>
          </cell>
          <cell r="Q157">
            <v>3</v>
          </cell>
          <cell r="R157">
            <v>4</v>
          </cell>
          <cell r="S157">
            <v>40</v>
          </cell>
          <cell r="T157">
            <v>20</v>
          </cell>
          <cell r="U157">
            <v>13</v>
          </cell>
          <cell r="V157">
            <v>0</v>
          </cell>
          <cell r="W157">
            <v>0</v>
          </cell>
          <cell r="X157">
            <v>0</v>
          </cell>
          <cell r="Y157">
            <v>6</v>
          </cell>
          <cell r="Z157">
            <v>0</v>
          </cell>
          <cell r="AA157">
            <v>40</v>
          </cell>
          <cell r="AB157">
            <v>0</v>
          </cell>
          <cell r="AC157">
            <v>0</v>
          </cell>
          <cell r="AD157">
            <v>14</v>
          </cell>
          <cell r="AE157">
            <v>0</v>
          </cell>
          <cell r="AF157">
            <v>0</v>
          </cell>
          <cell r="AG157">
            <v>2</v>
          </cell>
          <cell r="AH157">
            <v>3</v>
          </cell>
          <cell r="AI157">
            <v>329</v>
          </cell>
          <cell r="AJ157">
            <v>74</v>
          </cell>
          <cell r="AK157">
            <v>20</v>
          </cell>
        </row>
        <row r="158">
          <cell r="C158">
            <v>350620018</v>
          </cell>
          <cell r="D158">
            <v>36</v>
          </cell>
          <cell r="E158">
            <v>3</v>
          </cell>
          <cell r="F158">
            <v>0</v>
          </cell>
          <cell r="G158">
            <v>10</v>
          </cell>
          <cell r="H158">
            <v>0</v>
          </cell>
          <cell r="I158">
            <v>0</v>
          </cell>
          <cell r="J158">
            <v>0</v>
          </cell>
          <cell r="K158">
            <v>14</v>
          </cell>
          <cell r="L158">
            <v>24</v>
          </cell>
          <cell r="M158">
            <v>30</v>
          </cell>
          <cell r="N158">
            <v>10</v>
          </cell>
          <cell r="O158">
            <v>25</v>
          </cell>
          <cell r="P158">
            <v>0</v>
          </cell>
          <cell r="Q158">
            <v>0</v>
          </cell>
          <cell r="R158">
            <v>3</v>
          </cell>
          <cell r="S158">
            <v>24</v>
          </cell>
          <cell r="T158">
            <v>24</v>
          </cell>
          <cell r="U158">
            <v>3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20</v>
          </cell>
          <cell r="AB158">
            <v>0</v>
          </cell>
          <cell r="AC158">
            <v>0</v>
          </cell>
          <cell r="AD158">
            <v>0</v>
          </cell>
          <cell r="AE158">
            <v>5</v>
          </cell>
          <cell r="AF158">
            <v>0</v>
          </cell>
          <cell r="AG158">
            <v>25</v>
          </cell>
          <cell r="AH158">
            <v>6</v>
          </cell>
          <cell r="AI158">
            <v>262</v>
          </cell>
          <cell r="AJ158">
            <v>36</v>
          </cell>
          <cell r="AK158">
            <v>16</v>
          </cell>
        </row>
        <row r="159">
          <cell r="C159">
            <v>350620019</v>
          </cell>
          <cell r="D159">
            <v>14</v>
          </cell>
          <cell r="E159">
            <v>16</v>
          </cell>
          <cell r="F159">
            <v>0</v>
          </cell>
          <cell r="G159">
            <v>8</v>
          </cell>
          <cell r="H159">
            <v>21</v>
          </cell>
          <cell r="I159">
            <v>0</v>
          </cell>
          <cell r="J159">
            <v>0</v>
          </cell>
          <cell r="K159">
            <v>18</v>
          </cell>
          <cell r="L159">
            <v>42</v>
          </cell>
          <cell r="M159">
            <v>21</v>
          </cell>
          <cell r="N159">
            <v>36</v>
          </cell>
          <cell r="O159">
            <v>12</v>
          </cell>
          <cell r="P159">
            <v>0</v>
          </cell>
          <cell r="Q159">
            <v>16</v>
          </cell>
          <cell r="R159">
            <v>42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28</v>
          </cell>
          <cell r="AB159">
            <v>0</v>
          </cell>
          <cell r="AC159">
            <v>0</v>
          </cell>
          <cell r="AD159">
            <v>16</v>
          </cell>
          <cell r="AE159">
            <v>20</v>
          </cell>
          <cell r="AF159">
            <v>0</v>
          </cell>
          <cell r="AG159">
            <v>24</v>
          </cell>
          <cell r="AH159">
            <v>38</v>
          </cell>
          <cell r="AI159">
            <v>372</v>
          </cell>
          <cell r="AJ159">
            <v>42</v>
          </cell>
          <cell r="AK159">
            <v>16</v>
          </cell>
        </row>
        <row r="160">
          <cell r="C160">
            <v>350620020</v>
          </cell>
          <cell r="D160">
            <v>0</v>
          </cell>
          <cell r="E160">
            <v>2</v>
          </cell>
          <cell r="F160">
            <v>14</v>
          </cell>
          <cell r="G160">
            <v>3</v>
          </cell>
          <cell r="H160">
            <v>0</v>
          </cell>
          <cell r="I160">
            <v>0</v>
          </cell>
          <cell r="J160">
            <v>32</v>
          </cell>
          <cell r="K160">
            <v>61</v>
          </cell>
          <cell r="L160">
            <v>4</v>
          </cell>
          <cell r="M160">
            <v>2</v>
          </cell>
          <cell r="N160">
            <v>14</v>
          </cell>
          <cell r="O160">
            <v>3</v>
          </cell>
          <cell r="P160">
            <v>0</v>
          </cell>
          <cell r="Q160">
            <v>2</v>
          </cell>
          <cell r="R160">
            <v>3</v>
          </cell>
          <cell r="S160">
            <v>0</v>
          </cell>
          <cell r="T160">
            <v>4</v>
          </cell>
          <cell r="U160">
            <v>0</v>
          </cell>
          <cell r="V160">
            <v>0</v>
          </cell>
          <cell r="W160">
            <v>9</v>
          </cell>
          <cell r="X160">
            <v>50</v>
          </cell>
          <cell r="Y160">
            <v>12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7</v>
          </cell>
          <cell r="AE160">
            <v>0</v>
          </cell>
          <cell r="AF160">
            <v>0</v>
          </cell>
          <cell r="AG160">
            <v>34</v>
          </cell>
          <cell r="AH160">
            <v>48</v>
          </cell>
          <cell r="AI160">
            <v>304</v>
          </cell>
          <cell r="AJ160">
            <v>61</v>
          </cell>
          <cell r="AK160">
            <v>18</v>
          </cell>
        </row>
        <row r="161">
          <cell r="C161">
            <v>350621001</v>
          </cell>
          <cell r="D161">
            <v>4</v>
          </cell>
          <cell r="E161">
            <v>10</v>
          </cell>
          <cell r="F161">
            <v>54</v>
          </cell>
          <cell r="G161">
            <v>0</v>
          </cell>
          <cell r="H161">
            <v>2</v>
          </cell>
          <cell r="I161">
            <v>0</v>
          </cell>
          <cell r="J161">
            <v>0</v>
          </cell>
          <cell r="K161">
            <v>7</v>
          </cell>
          <cell r="L161">
            <v>0</v>
          </cell>
          <cell r="M161">
            <v>9</v>
          </cell>
          <cell r="N161">
            <v>114</v>
          </cell>
          <cell r="O161">
            <v>13</v>
          </cell>
          <cell r="P161">
            <v>0</v>
          </cell>
          <cell r="Q161">
            <v>24</v>
          </cell>
          <cell r="R161">
            <v>3</v>
          </cell>
          <cell r="S161">
            <v>14</v>
          </cell>
          <cell r="T161">
            <v>8</v>
          </cell>
          <cell r="U161">
            <v>10</v>
          </cell>
          <cell r="V161">
            <v>9</v>
          </cell>
          <cell r="W161">
            <v>0</v>
          </cell>
          <cell r="X161">
            <v>4</v>
          </cell>
          <cell r="Y161">
            <v>0</v>
          </cell>
          <cell r="Z161">
            <v>8</v>
          </cell>
          <cell r="AA161">
            <v>0</v>
          </cell>
          <cell r="AB161">
            <v>0</v>
          </cell>
          <cell r="AC161">
            <v>0</v>
          </cell>
          <cell r="AD161">
            <v>2</v>
          </cell>
          <cell r="AE161">
            <v>0</v>
          </cell>
          <cell r="AF161">
            <v>0</v>
          </cell>
          <cell r="AG161">
            <v>0</v>
          </cell>
          <cell r="AH161">
            <v>85</v>
          </cell>
          <cell r="AI161">
            <v>380</v>
          </cell>
          <cell r="AJ161">
            <v>114</v>
          </cell>
          <cell r="AK161">
            <v>18</v>
          </cell>
        </row>
        <row r="162">
          <cell r="C162">
            <v>350621002</v>
          </cell>
          <cell r="D162">
            <v>6</v>
          </cell>
          <cell r="E162">
            <v>4</v>
          </cell>
          <cell r="F162">
            <v>29</v>
          </cell>
          <cell r="G162">
            <v>0</v>
          </cell>
          <cell r="H162">
            <v>7</v>
          </cell>
          <cell r="I162">
            <v>0</v>
          </cell>
          <cell r="J162">
            <v>6</v>
          </cell>
          <cell r="K162">
            <v>33</v>
          </cell>
          <cell r="L162">
            <v>41</v>
          </cell>
          <cell r="M162">
            <v>32</v>
          </cell>
          <cell r="N162">
            <v>8</v>
          </cell>
          <cell r="O162">
            <v>2</v>
          </cell>
          <cell r="P162">
            <v>6</v>
          </cell>
          <cell r="Q162">
            <v>49</v>
          </cell>
          <cell r="R162">
            <v>4</v>
          </cell>
          <cell r="S162">
            <v>12</v>
          </cell>
          <cell r="T162">
            <v>5</v>
          </cell>
          <cell r="U162">
            <v>0</v>
          </cell>
          <cell r="V162">
            <v>1</v>
          </cell>
          <cell r="W162">
            <v>3</v>
          </cell>
          <cell r="X162">
            <v>0</v>
          </cell>
          <cell r="Y162">
            <v>2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</v>
          </cell>
          <cell r="AE162">
            <v>0</v>
          </cell>
          <cell r="AF162">
            <v>0</v>
          </cell>
          <cell r="AG162">
            <v>0</v>
          </cell>
          <cell r="AH162">
            <v>22</v>
          </cell>
          <cell r="AI162">
            <v>277</v>
          </cell>
          <cell r="AJ162">
            <v>49</v>
          </cell>
          <cell r="AK162">
            <v>20</v>
          </cell>
        </row>
        <row r="163">
          <cell r="C163">
            <v>350621003</v>
          </cell>
          <cell r="D163">
            <v>2.4</v>
          </cell>
          <cell r="E163">
            <v>12</v>
          </cell>
          <cell r="F163">
            <v>4.5</v>
          </cell>
          <cell r="G163">
            <v>2</v>
          </cell>
          <cell r="H163">
            <v>1</v>
          </cell>
          <cell r="I163">
            <v>1</v>
          </cell>
          <cell r="J163">
            <v>3</v>
          </cell>
          <cell r="K163">
            <v>9</v>
          </cell>
          <cell r="L163">
            <v>8</v>
          </cell>
          <cell r="M163">
            <v>12.5</v>
          </cell>
          <cell r="N163">
            <v>66</v>
          </cell>
          <cell r="O163">
            <v>24.5</v>
          </cell>
          <cell r="P163">
            <v>9</v>
          </cell>
          <cell r="Q163">
            <v>47</v>
          </cell>
          <cell r="R163">
            <v>14.5</v>
          </cell>
          <cell r="S163">
            <v>1.5</v>
          </cell>
          <cell r="T163">
            <v>5</v>
          </cell>
          <cell r="U163">
            <v>0</v>
          </cell>
          <cell r="V163">
            <v>12</v>
          </cell>
          <cell r="W163">
            <v>11.5</v>
          </cell>
          <cell r="X163">
            <v>1</v>
          </cell>
          <cell r="Y163">
            <v>17</v>
          </cell>
          <cell r="Z163">
            <v>3</v>
          </cell>
          <cell r="AA163">
            <v>14</v>
          </cell>
          <cell r="AB163">
            <v>0</v>
          </cell>
          <cell r="AC163">
            <v>0</v>
          </cell>
          <cell r="AD163">
            <v>4</v>
          </cell>
          <cell r="AE163">
            <v>2</v>
          </cell>
          <cell r="AF163">
            <v>0</v>
          </cell>
          <cell r="AG163">
            <v>0</v>
          </cell>
          <cell r="AH163">
            <v>50</v>
          </cell>
          <cell r="AI163">
            <v>337.4</v>
          </cell>
          <cell r="AJ163">
            <v>66</v>
          </cell>
          <cell r="AK163">
            <v>26</v>
          </cell>
        </row>
        <row r="164">
          <cell r="C164">
            <v>350621004</v>
          </cell>
          <cell r="D164">
            <v>2</v>
          </cell>
          <cell r="E164">
            <v>12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31</v>
          </cell>
          <cell r="L164">
            <v>6</v>
          </cell>
          <cell r="M164">
            <v>80</v>
          </cell>
          <cell r="N164">
            <v>78</v>
          </cell>
          <cell r="O164">
            <v>25</v>
          </cell>
          <cell r="P164">
            <v>0</v>
          </cell>
          <cell r="Q164">
            <v>50</v>
          </cell>
          <cell r="R164">
            <v>10</v>
          </cell>
          <cell r="S164">
            <v>3</v>
          </cell>
          <cell r="T164">
            <v>0</v>
          </cell>
          <cell r="U164">
            <v>0</v>
          </cell>
          <cell r="V164">
            <v>0</v>
          </cell>
          <cell r="W164">
            <v>2</v>
          </cell>
          <cell r="X164">
            <v>0</v>
          </cell>
          <cell r="Y164">
            <v>18</v>
          </cell>
          <cell r="Z164">
            <v>5</v>
          </cell>
          <cell r="AA164">
            <v>14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88</v>
          </cell>
          <cell r="AI164">
            <v>424</v>
          </cell>
          <cell r="AJ164">
            <v>88</v>
          </cell>
          <cell r="AK164">
            <v>15</v>
          </cell>
        </row>
        <row r="165">
          <cell r="C165">
            <v>350621005</v>
          </cell>
          <cell r="D165">
            <v>0</v>
          </cell>
          <cell r="E165">
            <v>10</v>
          </cell>
          <cell r="F165">
            <v>40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18</v>
          </cell>
          <cell r="L165">
            <v>5</v>
          </cell>
          <cell r="M165">
            <v>9</v>
          </cell>
          <cell r="N165">
            <v>79</v>
          </cell>
          <cell r="O165">
            <v>18</v>
          </cell>
          <cell r="P165">
            <v>0</v>
          </cell>
          <cell r="Q165">
            <v>78</v>
          </cell>
          <cell r="R165">
            <v>11</v>
          </cell>
          <cell r="S165">
            <v>4</v>
          </cell>
          <cell r="T165">
            <v>5</v>
          </cell>
          <cell r="U165">
            <v>6</v>
          </cell>
          <cell r="V165">
            <v>3</v>
          </cell>
          <cell r="W165">
            <v>0</v>
          </cell>
          <cell r="X165">
            <v>3</v>
          </cell>
          <cell r="Y165">
            <v>15</v>
          </cell>
          <cell r="Z165">
            <v>10</v>
          </cell>
          <cell r="AA165">
            <v>7</v>
          </cell>
          <cell r="AB165">
            <v>0</v>
          </cell>
          <cell r="AC165">
            <v>0</v>
          </cell>
          <cell r="AD165">
            <v>18</v>
          </cell>
          <cell r="AE165">
            <v>0</v>
          </cell>
          <cell r="AF165">
            <v>0</v>
          </cell>
          <cell r="AG165">
            <v>17</v>
          </cell>
          <cell r="AH165">
            <v>106</v>
          </cell>
          <cell r="AI165">
            <v>462</v>
          </cell>
          <cell r="AJ165">
            <v>106</v>
          </cell>
          <cell r="AK165">
            <v>20</v>
          </cell>
        </row>
        <row r="166">
          <cell r="C166">
            <v>350621006</v>
          </cell>
          <cell r="D166">
            <v>7</v>
          </cell>
          <cell r="E166">
            <v>5</v>
          </cell>
          <cell r="F166">
            <v>45</v>
          </cell>
          <cell r="G166">
            <v>3</v>
          </cell>
          <cell r="H166">
            <v>0</v>
          </cell>
          <cell r="I166">
            <v>0</v>
          </cell>
          <cell r="J166">
            <v>0</v>
          </cell>
          <cell r="K166">
            <v>22</v>
          </cell>
          <cell r="L166">
            <v>9</v>
          </cell>
          <cell r="M166">
            <v>0</v>
          </cell>
          <cell r="N166">
            <v>36</v>
          </cell>
          <cell r="O166">
            <v>3</v>
          </cell>
          <cell r="P166">
            <v>0</v>
          </cell>
          <cell r="Q166">
            <v>64</v>
          </cell>
          <cell r="R166">
            <v>21</v>
          </cell>
          <cell r="S166">
            <v>6</v>
          </cell>
          <cell r="T166">
            <v>12</v>
          </cell>
          <cell r="U166">
            <v>0</v>
          </cell>
          <cell r="V166">
            <v>7</v>
          </cell>
          <cell r="W166">
            <v>0</v>
          </cell>
          <cell r="X166">
            <v>0</v>
          </cell>
          <cell r="Y166">
            <v>0</v>
          </cell>
          <cell r="Z166">
            <v>23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50</v>
          </cell>
          <cell r="AI166">
            <v>313</v>
          </cell>
          <cell r="AJ166">
            <v>64</v>
          </cell>
          <cell r="AK166">
            <v>15</v>
          </cell>
        </row>
        <row r="167">
          <cell r="C167">
            <v>350621007</v>
          </cell>
          <cell r="D167">
            <v>11</v>
          </cell>
          <cell r="E167">
            <v>2</v>
          </cell>
          <cell r="F167">
            <v>6</v>
          </cell>
          <cell r="G167">
            <v>0</v>
          </cell>
          <cell r="H167">
            <v>0</v>
          </cell>
          <cell r="I167">
            <v>0</v>
          </cell>
          <cell r="J167">
            <v>3</v>
          </cell>
          <cell r="K167">
            <v>7.2</v>
          </cell>
          <cell r="L167">
            <v>12</v>
          </cell>
          <cell r="M167">
            <v>3</v>
          </cell>
          <cell r="N167">
            <v>26</v>
          </cell>
          <cell r="O167">
            <v>4</v>
          </cell>
          <cell r="P167">
            <v>7</v>
          </cell>
          <cell r="Q167">
            <v>12</v>
          </cell>
          <cell r="R167">
            <v>16</v>
          </cell>
          <cell r="S167">
            <v>2</v>
          </cell>
          <cell r="T167">
            <v>0</v>
          </cell>
          <cell r="U167">
            <v>0</v>
          </cell>
          <cell r="V167">
            <v>2</v>
          </cell>
          <cell r="W167">
            <v>8</v>
          </cell>
          <cell r="X167">
            <v>0</v>
          </cell>
          <cell r="Y167">
            <v>2</v>
          </cell>
          <cell r="Z167">
            <v>11.4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4</v>
          </cell>
          <cell r="AF167">
            <v>0</v>
          </cell>
          <cell r="AG167">
            <v>0</v>
          </cell>
          <cell r="AH167">
            <v>6.4</v>
          </cell>
          <cell r="AI167">
            <v>145</v>
          </cell>
          <cell r="AJ167">
            <v>26</v>
          </cell>
          <cell r="AK167">
            <v>19</v>
          </cell>
        </row>
        <row r="168">
          <cell r="C168">
            <v>350621008</v>
          </cell>
          <cell r="D168">
            <v>2</v>
          </cell>
          <cell r="E168">
            <v>29</v>
          </cell>
          <cell r="F168">
            <v>14</v>
          </cell>
          <cell r="G168">
            <v>3</v>
          </cell>
          <cell r="H168">
            <v>0</v>
          </cell>
          <cell r="I168">
            <v>32</v>
          </cell>
          <cell r="J168">
            <v>5</v>
          </cell>
          <cell r="K168">
            <v>5</v>
          </cell>
          <cell r="L168">
            <v>23</v>
          </cell>
          <cell r="M168">
            <v>5</v>
          </cell>
          <cell r="N168">
            <v>39</v>
          </cell>
          <cell r="O168">
            <v>5</v>
          </cell>
          <cell r="P168">
            <v>0</v>
          </cell>
          <cell r="Q168">
            <v>6</v>
          </cell>
          <cell r="R168">
            <v>2</v>
          </cell>
          <cell r="S168">
            <v>4</v>
          </cell>
          <cell r="T168">
            <v>13</v>
          </cell>
          <cell r="U168">
            <v>0</v>
          </cell>
          <cell r="V168">
            <v>15</v>
          </cell>
          <cell r="W168">
            <v>3</v>
          </cell>
          <cell r="X168">
            <v>13</v>
          </cell>
          <cell r="Y168">
            <v>30</v>
          </cell>
          <cell r="Z168">
            <v>0</v>
          </cell>
          <cell r="AA168">
            <v>6</v>
          </cell>
          <cell r="AB168">
            <v>0</v>
          </cell>
          <cell r="AC168">
            <v>0</v>
          </cell>
          <cell r="AD168">
            <v>16</v>
          </cell>
          <cell r="AE168">
            <v>11</v>
          </cell>
          <cell r="AF168">
            <v>0</v>
          </cell>
          <cell r="AG168">
            <v>4</v>
          </cell>
          <cell r="AH168">
            <v>10</v>
          </cell>
          <cell r="AI168">
            <v>295</v>
          </cell>
          <cell r="AJ168">
            <v>39</v>
          </cell>
          <cell r="AK168">
            <v>24</v>
          </cell>
        </row>
        <row r="169">
          <cell r="C169">
            <v>350621009</v>
          </cell>
          <cell r="D169">
            <v>7.6</v>
          </cell>
          <cell r="E169">
            <v>3</v>
          </cell>
          <cell r="F169">
            <v>42</v>
          </cell>
          <cell r="G169">
            <v>0</v>
          </cell>
          <cell r="H169">
            <v>3</v>
          </cell>
          <cell r="I169">
            <v>3.5</v>
          </cell>
          <cell r="J169">
            <v>1</v>
          </cell>
          <cell r="K169">
            <v>12</v>
          </cell>
          <cell r="L169">
            <v>36</v>
          </cell>
          <cell r="M169">
            <v>3</v>
          </cell>
          <cell r="N169">
            <v>22.5</v>
          </cell>
          <cell r="O169">
            <v>13</v>
          </cell>
          <cell r="P169">
            <v>0</v>
          </cell>
          <cell r="Q169">
            <v>69</v>
          </cell>
          <cell r="R169">
            <v>0</v>
          </cell>
          <cell r="S169">
            <v>3</v>
          </cell>
          <cell r="T169">
            <v>6</v>
          </cell>
          <cell r="U169">
            <v>0</v>
          </cell>
          <cell r="V169">
            <v>23</v>
          </cell>
          <cell r="W169">
            <v>0</v>
          </cell>
          <cell r="X169">
            <v>0</v>
          </cell>
          <cell r="Y169">
            <v>1</v>
          </cell>
          <cell r="Z169">
            <v>26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7</v>
          </cell>
          <cell r="AF169">
            <v>0</v>
          </cell>
          <cell r="AG169">
            <v>0</v>
          </cell>
          <cell r="AH169">
            <v>3</v>
          </cell>
          <cell r="AI169">
            <v>284.60000000000002</v>
          </cell>
          <cell r="AJ169">
            <v>69</v>
          </cell>
          <cell r="AK169">
            <v>19</v>
          </cell>
        </row>
        <row r="170">
          <cell r="C170">
            <v>350621010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36</v>
          </cell>
          <cell r="I170">
            <v>0</v>
          </cell>
          <cell r="J170">
            <v>0</v>
          </cell>
          <cell r="K170">
            <v>7</v>
          </cell>
          <cell r="L170">
            <v>56</v>
          </cell>
          <cell r="M170">
            <v>4</v>
          </cell>
          <cell r="N170">
            <v>8</v>
          </cell>
          <cell r="O170">
            <v>0</v>
          </cell>
          <cell r="P170">
            <v>0</v>
          </cell>
          <cell r="Q170">
            <v>41</v>
          </cell>
          <cell r="R170">
            <v>0</v>
          </cell>
          <cell r="S170">
            <v>42</v>
          </cell>
          <cell r="T170">
            <v>0</v>
          </cell>
          <cell r="U170">
            <v>0</v>
          </cell>
          <cell r="V170">
            <v>12</v>
          </cell>
          <cell r="W170">
            <v>27</v>
          </cell>
          <cell r="X170">
            <v>7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25</v>
          </cell>
          <cell r="AG170">
            <v>0</v>
          </cell>
          <cell r="AH170">
            <v>4</v>
          </cell>
          <cell r="AI170">
            <v>269</v>
          </cell>
          <cell r="AJ170">
            <v>56</v>
          </cell>
          <cell r="AK170">
            <v>12</v>
          </cell>
        </row>
        <row r="171">
          <cell r="C171">
            <v>350621011</v>
          </cell>
          <cell r="D171">
            <v>0</v>
          </cell>
          <cell r="E171">
            <v>2</v>
          </cell>
          <cell r="F171">
            <v>49</v>
          </cell>
          <cell r="G171">
            <v>0</v>
          </cell>
          <cell r="H171">
            <v>3</v>
          </cell>
          <cell r="I171">
            <v>0</v>
          </cell>
          <cell r="J171">
            <v>8</v>
          </cell>
          <cell r="K171">
            <v>6</v>
          </cell>
          <cell r="L171">
            <v>25</v>
          </cell>
          <cell r="M171">
            <v>10</v>
          </cell>
          <cell r="N171">
            <v>20</v>
          </cell>
          <cell r="O171">
            <v>0</v>
          </cell>
          <cell r="P171">
            <v>0</v>
          </cell>
          <cell r="Q171">
            <v>16</v>
          </cell>
          <cell r="R171">
            <v>2</v>
          </cell>
          <cell r="S171">
            <v>3</v>
          </cell>
          <cell r="T171">
            <v>2</v>
          </cell>
          <cell r="U171">
            <v>0</v>
          </cell>
          <cell r="V171">
            <v>2</v>
          </cell>
          <cell r="W171">
            <v>11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5</v>
          </cell>
          <cell r="AE171">
            <v>0</v>
          </cell>
          <cell r="AF171">
            <v>0</v>
          </cell>
          <cell r="AG171">
            <v>0</v>
          </cell>
          <cell r="AH171">
            <v>41</v>
          </cell>
          <cell r="AI171">
            <v>205</v>
          </cell>
          <cell r="AJ171">
            <v>49</v>
          </cell>
          <cell r="AK171">
            <v>16</v>
          </cell>
        </row>
        <row r="172">
          <cell r="C172">
            <v>350621012</v>
          </cell>
          <cell r="D172">
            <v>1</v>
          </cell>
          <cell r="E172">
            <v>2</v>
          </cell>
          <cell r="F172">
            <v>54</v>
          </cell>
          <cell r="G172">
            <v>0</v>
          </cell>
          <cell r="H172">
            <v>2</v>
          </cell>
          <cell r="I172">
            <v>0</v>
          </cell>
          <cell r="J172">
            <v>5.5</v>
          </cell>
          <cell r="K172">
            <v>8</v>
          </cell>
          <cell r="L172">
            <v>23</v>
          </cell>
          <cell r="M172">
            <v>8</v>
          </cell>
          <cell r="N172">
            <v>21</v>
          </cell>
          <cell r="O172">
            <v>0</v>
          </cell>
          <cell r="P172">
            <v>0</v>
          </cell>
          <cell r="Q172">
            <v>15</v>
          </cell>
          <cell r="R172">
            <v>3</v>
          </cell>
          <cell r="S172">
            <v>2.5</v>
          </cell>
          <cell r="T172">
            <v>3</v>
          </cell>
          <cell r="U172">
            <v>0</v>
          </cell>
          <cell r="V172">
            <v>2.5</v>
          </cell>
          <cell r="W172">
            <v>13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3</v>
          </cell>
          <cell r="AE172">
            <v>0</v>
          </cell>
          <cell r="AF172">
            <v>0</v>
          </cell>
          <cell r="AG172">
            <v>0</v>
          </cell>
          <cell r="AH172">
            <v>38</v>
          </cell>
          <cell r="AI172">
            <v>204.5</v>
          </cell>
          <cell r="AJ172">
            <v>54</v>
          </cell>
          <cell r="AK172">
            <v>17</v>
          </cell>
        </row>
        <row r="173">
          <cell r="C173">
            <v>350621013</v>
          </cell>
          <cell r="D173">
            <v>5.0999999999999996</v>
          </cell>
          <cell r="E173">
            <v>2</v>
          </cell>
          <cell r="F173">
            <v>51.2</v>
          </cell>
          <cell r="G173">
            <v>0</v>
          </cell>
          <cell r="H173">
            <v>2.2000000000000002</v>
          </cell>
          <cell r="I173">
            <v>3.1</v>
          </cell>
          <cell r="J173">
            <v>0</v>
          </cell>
          <cell r="K173">
            <v>9.8000000000000007</v>
          </cell>
          <cell r="L173">
            <v>28.8</v>
          </cell>
          <cell r="M173">
            <v>0</v>
          </cell>
          <cell r="N173">
            <v>23.2</v>
          </cell>
          <cell r="O173">
            <v>0</v>
          </cell>
          <cell r="P173">
            <v>0</v>
          </cell>
          <cell r="Q173">
            <v>35.700000000000003</v>
          </cell>
          <cell r="R173">
            <v>4.2</v>
          </cell>
          <cell r="S173">
            <v>4</v>
          </cell>
          <cell r="T173">
            <v>3.8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3.1</v>
          </cell>
          <cell r="Z173">
            <v>9.8000000000000007</v>
          </cell>
          <cell r="AA173">
            <v>0</v>
          </cell>
          <cell r="AB173">
            <v>0</v>
          </cell>
          <cell r="AC173">
            <v>0</v>
          </cell>
          <cell r="AD173">
            <v>1</v>
          </cell>
          <cell r="AE173">
            <v>9.3000000000000007</v>
          </cell>
          <cell r="AF173">
            <v>0</v>
          </cell>
          <cell r="AG173">
            <v>0</v>
          </cell>
          <cell r="AH173">
            <v>12</v>
          </cell>
          <cell r="AI173">
            <v>208.30000000000004</v>
          </cell>
          <cell r="AJ173">
            <v>51.2</v>
          </cell>
          <cell r="AK173">
            <v>17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27</v>
          </cell>
          <cell r="G174">
            <v>0</v>
          </cell>
          <cell r="H174">
            <v>8</v>
          </cell>
          <cell r="I174">
            <v>0</v>
          </cell>
          <cell r="J174">
            <v>0</v>
          </cell>
          <cell r="K174">
            <v>13</v>
          </cell>
          <cell r="L174">
            <v>16</v>
          </cell>
          <cell r="M174">
            <v>7</v>
          </cell>
          <cell r="N174">
            <v>9</v>
          </cell>
          <cell r="O174">
            <v>0</v>
          </cell>
          <cell r="P174">
            <v>0</v>
          </cell>
          <cell r="Q174">
            <v>36</v>
          </cell>
          <cell r="R174">
            <v>0</v>
          </cell>
          <cell r="S174">
            <v>14</v>
          </cell>
          <cell r="T174">
            <v>0</v>
          </cell>
          <cell r="U174">
            <v>0</v>
          </cell>
          <cell r="V174">
            <v>0</v>
          </cell>
          <cell r="W174">
            <v>12</v>
          </cell>
          <cell r="X174">
            <v>17</v>
          </cell>
          <cell r="Y174">
            <v>19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39</v>
          </cell>
          <cell r="AI174">
            <v>217</v>
          </cell>
          <cell r="AJ174">
            <v>39</v>
          </cell>
          <cell r="AK174">
            <v>12</v>
          </cell>
        </row>
        <row r="175">
          <cell r="C175">
            <v>350621015</v>
          </cell>
          <cell r="D175">
            <v>6</v>
          </cell>
          <cell r="E175">
            <v>0</v>
          </cell>
          <cell r="F175">
            <v>0</v>
          </cell>
          <cell r="G175">
            <v>0</v>
          </cell>
          <cell r="H175">
            <v>3</v>
          </cell>
          <cell r="I175">
            <v>0</v>
          </cell>
          <cell r="J175">
            <v>5</v>
          </cell>
          <cell r="K175">
            <v>17</v>
          </cell>
          <cell r="L175">
            <v>13</v>
          </cell>
          <cell r="M175">
            <v>29</v>
          </cell>
          <cell r="N175">
            <v>18</v>
          </cell>
          <cell r="O175">
            <v>7</v>
          </cell>
          <cell r="P175">
            <v>0</v>
          </cell>
          <cell r="Q175">
            <v>4</v>
          </cell>
          <cell r="R175">
            <v>25</v>
          </cell>
          <cell r="S175">
            <v>14</v>
          </cell>
          <cell r="T175">
            <v>27</v>
          </cell>
          <cell r="U175">
            <v>6</v>
          </cell>
          <cell r="V175">
            <v>15</v>
          </cell>
          <cell r="W175">
            <v>21</v>
          </cell>
          <cell r="X175">
            <v>30</v>
          </cell>
          <cell r="Y175">
            <v>26</v>
          </cell>
          <cell r="Z175">
            <v>6</v>
          </cell>
          <cell r="AA175">
            <v>0</v>
          </cell>
          <cell r="AB175">
            <v>0</v>
          </cell>
          <cell r="AC175">
            <v>11</v>
          </cell>
          <cell r="AD175">
            <v>0</v>
          </cell>
          <cell r="AE175">
            <v>0</v>
          </cell>
          <cell r="AF175">
            <v>10</v>
          </cell>
          <cell r="AG175">
            <v>5</v>
          </cell>
          <cell r="AH175">
            <v>15</v>
          </cell>
          <cell r="AI175">
            <v>313</v>
          </cell>
          <cell r="AJ175">
            <v>30</v>
          </cell>
          <cell r="AK175">
            <v>22</v>
          </cell>
        </row>
        <row r="176">
          <cell r="C176">
            <v>350621016</v>
          </cell>
          <cell r="D176">
            <v>0</v>
          </cell>
          <cell r="E176">
            <v>0</v>
          </cell>
          <cell r="F176">
            <v>30</v>
          </cell>
          <cell r="G176">
            <v>0</v>
          </cell>
          <cell r="H176">
            <v>0</v>
          </cell>
          <cell r="I176">
            <v>0</v>
          </cell>
          <cell r="J176">
            <v>5</v>
          </cell>
          <cell r="K176">
            <v>3</v>
          </cell>
          <cell r="L176">
            <v>30</v>
          </cell>
          <cell r="M176">
            <v>20</v>
          </cell>
          <cell r="N176">
            <v>35</v>
          </cell>
          <cell r="O176">
            <v>0</v>
          </cell>
          <cell r="P176">
            <v>0</v>
          </cell>
          <cell r="Q176">
            <v>20</v>
          </cell>
          <cell r="R176">
            <v>6</v>
          </cell>
          <cell r="S176">
            <v>0</v>
          </cell>
          <cell r="T176">
            <v>3</v>
          </cell>
          <cell r="U176">
            <v>0</v>
          </cell>
          <cell r="V176">
            <v>35</v>
          </cell>
          <cell r="W176">
            <v>22</v>
          </cell>
          <cell r="X176">
            <v>17</v>
          </cell>
          <cell r="Y176">
            <v>16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2</v>
          </cell>
          <cell r="AE176">
            <v>0</v>
          </cell>
          <cell r="AF176">
            <v>25</v>
          </cell>
          <cell r="AG176">
            <v>0</v>
          </cell>
          <cell r="AH176">
            <v>24</v>
          </cell>
          <cell r="AI176">
            <v>293</v>
          </cell>
          <cell r="AJ176">
            <v>35</v>
          </cell>
          <cell r="AK176">
            <v>16</v>
          </cell>
        </row>
        <row r="177">
          <cell r="C177">
            <v>350621017</v>
          </cell>
          <cell r="D177">
            <v>6</v>
          </cell>
          <cell r="E177">
            <v>7</v>
          </cell>
          <cell r="F177">
            <v>12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8</v>
          </cell>
          <cell r="L177">
            <v>17</v>
          </cell>
          <cell r="M177">
            <v>5</v>
          </cell>
          <cell r="N177">
            <v>71</v>
          </cell>
          <cell r="O177">
            <v>9</v>
          </cell>
          <cell r="P177">
            <v>12</v>
          </cell>
          <cell r="Q177">
            <v>29</v>
          </cell>
          <cell r="R177">
            <v>11</v>
          </cell>
          <cell r="S177">
            <v>0</v>
          </cell>
          <cell r="T177">
            <v>3</v>
          </cell>
          <cell r="U177">
            <v>12</v>
          </cell>
          <cell r="V177">
            <v>16</v>
          </cell>
          <cell r="W177">
            <v>0</v>
          </cell>
          <cell r="X177">
            <v>0</v>
          </cell>
          <cell r="Y177">
            <v>0</v>
          </cell>
          <cell r="Z177">
            <v>9</v>
          </cell>
          <cell r="AA177">
            <v>16</v>
          </cell>
          <cell r="AB177">
            <v>0</v>
          </cell>
          <cell r="AC177">
            <v>0</v>
          </cell>
          <cell r="AD177">
            <v>5</v>
          </cell>
          <cell r="AE177">
            <v>4</v>
          </cell>
          <cell r="AF177">
            <v>0</v>
          </cell>
          <cell r="AG177">
            <v>0</v>
          </cell>
          <cell r="AH177">
            <v>28</v>
          </cell>
          <cell r="AI177">
            <v>280</v>
          </cell>
          <cell r="AJ177">
            <v>71</v>
          </cell>
          <cell r="AK177">
            <v>19</v>
          </cell>
        </row>
        <row r="178">
          <cell r="C178">
            <v>350621018</v>
          </cell>
          <cell r="D178">
            <v>4</v>
          </cell>
          <cell r="E178">
            <v>9</v>
          </cell>
          <cell r="F178">
            <v>12.5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22.4</v>
          </cell>
          <cell r="L178">
            <v>14.5</v>
          </cell>
          <cell r="M178">
            <v>0</v>
          </cell>
          <cell r="N178">
            <v>66.3</v>
          </cell>
          <cell r="O178">
            <v>0</v>
          </cell>
          <cell r="P178">
            <v>0.7</v>
          </cell>
          <cell r="Q178">
            <v>63</v>
          </cell>
          <cell r="R178">
            <v>0</v>
          </cell>
          <cell r="S178">
            <v>1.5</v>
          </cell>
          <cell r="T178">
            <v>0</v>
          </cell>
          <cell r="U178">
            <v>0</v>
          </cell>
          <cell r="V178">
            <v>23</v>
          </cell>
          <cell r="W178">
            <v>1</v>
          </cell>
          <cell r="X178">
            <v>0</v>
          </cell>
          <cell r="Y178">
            <v>0</v>
          </cell>
          <cell r="Z178">
            <v>5</v>
          </cell>
          <cell r="AA178">
            <v>4.5</v>
          </cell>
          <cell r="AB178">
            <v>0</v>
          </cell>
          <cell r="AC178">
            <v>0</v>
          </cell>
          <cell r="AD178">
            <v>0</v>
          </cell>
          <cell r="AE178">
            <v>11</v>
          </cell>
          <cell r="AF178">
            <v>0</v>
          </cell>
          <cell r="AG178">
            <v>0</v>
          </cell>
          <cell r="AH178">
            <v>17.600000000000001</v>
          </cell>
          <cell r="AI178">
            <v>255.99999999999997</v>
          </cell>
          <cell r="AJ178">
            <v>66.3</v>
          </cell>
          <cell r="AK178">
            <v>15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22</v>
          </cell>
          <cell r="G179">
            <v>0</v>
          </cell>
          <cell r="H179">
            <v>0</v>
          </cell>
          <cell r="I179">
            <v>0</v>
          </cell>
          <cell r="J179">
            <v>4</v>
          </cell>
          <cell r="K179">
            <v>24</v>
          </cell>
          <cell r="L179">
            <v>22</v>
          </cell>
          <cell r="M179">
            <v>5</v>
          </cell>
          <cell r="N179">
            <v>42</v>
          </cell>
          <cell r="O179">
            <v>5</v>
          </cell>
          <cell r="P179">
            <v>6</v>
          </cell>
          <cell r="Q179">
            <v>8</v>
          </cell>
          <cell r="R179">
            <v>4</v>
          </cell>
          <cell r="S179">
            <v>0</v>
          </cell>
          <cell r="T179">
            <v>5</v>
          </cell>
          <cell r="U179">
            <v>4</v>
          </cell>
          <cell r="V179">
            <v>0</v>
          </cell>
          <cell r="W179">
            <v>28</v>
          </cell>
          <cell r="X179">
            <v>5</v>
          </cell>
          <cell r="Y179">
            <v>0</v>
          </cell>
          <cell r="Z179">
            <v>8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36</v>
          </cell>
          <cell r="AF179">
            <v>0</v>
          </cell>
          <cell r="AG179">
            <v>4</v>
          </cell>
          <cell r="AH179">
            <v>18</v>
          </cell>
          <cell r="AI179">
            <v>250</v>
          </cell>
          <cell r="AJ179">
            <v>42</v>
          </cell>
          <cell r="AK179">
            <v>18</v>
          </cell>
        </row>
        <row r="180">
          <cell r="C180">
            <v>350621020</v>
          </cell>
          <cell r="D180">
            <v>7</v>
          </cell>
          <cell r="E180">
            <v>4</v>
          </cell>
          <cell r="F180">
            <v>5</v>
          </cell>
          <cell r="G180">
            <v>0</v>
          </cell>
          <cell r="H180">
            <v>3</v>
          </cell>
          <cell r="I180">
            <v>2.4</v>
          </cell>
          <cell r="J180">
            <v>0</v>
          </cell>
          <cell r="K180">
            <v>8</v>
          </cell>
          <cell r="L180">
            <v>26</v>
          </cell>
          <cell r="M180">
            <v>5</v>
          </cell>
          <cell r="N180">
            <v>19</v>
          </cell>
          <cell r="O180">
            <v>11</v>
          </cell>
          <cell r="P180">
            <v>0</v>
          </cell>
          <cell r="Q180">
            <v>54</v>
          </cell>
          <cell r="R180">
            <v>0</v>
          </cell>
          <cell r="S180">
            <v>3</v>
          </cell>
          <cell r="T180">
            <v>6</v>
          </cell>
          <cell r="U180">
            <v>23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16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10</v>
          </cell>
          <cell r="AF180">
            <v>0</v>
          </cell>
          <cell r="AG180">
            <v>0</v>
          </cell>
          <cell r="AH180">
            <v>6</v>
          </cell>
          <cell r="AI180">
            <v>208.4</v>
          </cell>
          <cell r="AJ180">
            <v>54</v>
          </cell>
          <cell r="AK180">
            <v>17</v>
          </cell>
        </row>
        <row r="181">
          <cell r="C181">
            <v>350621021</v>
          </cell>
          <cell r="D181">
            <v>6</v>
          </cell>
          <cell r="E181">
            <v>2</v>
          </cell>
          <cell r="F181">
            <v>3</v>
          </cell>
          <cell r="G181">
            <v>0</v>
          </cell>
          <cell r="H181">
            <v>2</v>
          </cell>
          <cell r="I181">
            <v>3</v>
          </cell>
          <cell r="J181">
            <v>0</v>
          </cell>
          <cell r="K181">
            <v>10</v>
          </cell>
          <cell r="L181">
            <v>24</v>
          </cell>
          <cell r="M181">
            <v>3</v>
          </cell>
          <cell r="N181">
            <v>21</v>
          </cell>
          <cell r="O181">
            <v>10</v>
          </cell>
          <cell r="P181">
            <v>0</v>
          </cell>
          <cell r="Q181">
            <v>58</v>
          </cell>
          <cell r="R181">
            <v>0</v>
          </cell>
          <cell r="S181">
            <v>2</v>
          </cell>
          <cell r="T181">
            <v>5</v>
          </cell>
          <cell r="U181">
            <v>21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19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3</v>
          </cell>
          <cell r="AF181">
            <v>0</v>
          </cell>
          <cell r="AG181">
            <v>0</v>
          </cell>
          <cell r="AH181">
            <v>2</v>
          </cell>
          <cell r="AI181">
            <v>194</v>
          </cell>
          <cell r="AJ181">
            <v>58</v>
          </cell>
          <cell r="AK181">
            <v>17</v>
          </cell>
        </row>
        <row r="182">
          <cell r="C182">
            <v>350621022</v>
          </cell>
          <cell r="D182">
            <v>3</v>
          </cell>
          <cell r="E182">
            <v>6</v>
          </cell>
          <cell r="F182">
            <v>4</v>
          </cell>
          <cell r="G182">
            <v>0</v>
          </cell>
          <cell r="H182">
            <v>0</v>
          </cell>
          <cell r="I182">
            <v>6</v>
          </cell>
          <cell r="J182">
            <v>34</v>
          </cell>
          <cell r="K182">
            <v>29</v>
          </cell>
          <cell r="L182">
            <v>16</v>
          </cell>
          <cell r="M182">
            <v>4</v>
          </cell>
          <cell r="N182">
            <v>32</v>
          </cell>
          <cell r="O182">
            <v>0</v>
          </cell>
          <cell r="P182">
            <v>0</v>
          </cell>
          <cell r="Q182">
            <v>10</v>
          </cell>
          <cell r="R182">
            <v>3</v>
          </cell>
          <cell r="S182">
            <v>0</v>
          </cell>
          <cell r="T182">
            <v>13</v>
          </cell>
          <cell r="U182">
            <v>3</v>
          </cell>
          <cell r="V182">
            <v>0</v>
          </cell>
          <cell r="W182">
            <v>11</v>
          </cell>
          <cell r="X182">
            <v>26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16</v>
          </cell>
          <cell r="AE182">
            <v>0</v>
          </cell>
          <cell r="AF182">
            <v>0</v>
          </cell>
          <cell r="AG182">
            <v>14</v>
          </cell>
          <cell r="AH182">
            <v>11</v>
          </cell>
          <cell r="AI182">
            <v>241</v>
          </cell>
          <cell r="AJ182">
            <v>34</v>
          </cell>
          <cell r="AK182">
            <v>18</v>
          </cell>
        </row>
        <row r="183">
          <cell r="C183">
            <v>350621023</v>
          </cell>
          <cell r="D183">
            <v>2</v>
          </cell>
          <cell r="E183">
            <v>8.5</v>
          </cell>
          <cell r="F183">
            <v>0</v>
          </cell>
          <cell r="G183">
            <v>0</v>
          </cell>
          <cell r="H183">
            <v>1</v>
          </cell>
          <cell r="I183">
            <v>8.6999999999999993</v>
          </cell>
          <cell r="J183">
            <v>24</v>
          </cell>
          <cell r="K183">
            <v>32</v>
          </cell>
          <cell r="L183">
            <v>26</v>
          </cell>
          <cell r="M183">
            <v>4</v>
          </cell>
          <cell r="N183">
            <v>31.5</v>
          </cell>
          <cell r="O183">
            <v>0</v>
          </cell>
          <cell r="P183">
            <v>1.2</v>
          </cell>
          <cell r="Q183">
            <v>6.5</v>
          </cell>
          <cell r="R183">
            <v>3</v>
          </cell>
          <cell r="S183">
            <v>1.5</v>
          </cell>
          <cell r="T183">
            <v>6.2</v>
          </cell>
          <cell r="U183">
            <v>2</v>
          </cell>
          <cell r="V183">
            <v>1.5</v>
          </cell>
          <cell r="W183">
            <v>32</v>
          </cell>
          <cell r="X183">
            <v>1</v>
          </cell>
          <cell r="Y183">
            <v>0</v>
          </cell>
          <cell r="Z183">
            <v>2</v>
          </cell>
          <cell r="AA183">
            <v>0</v>
          </cell>
          <cell r="AB183">
            <v>0</v>
          </cell>
          <cell r="AC183">
            <v>10.5</v>
          </cell>
          <cell r="AD183">
            <v>1.5</v>
          </cell>
          <cell r="AE183">
            <v>0</v>
          </cell>
          <cell r="AF183">
            <v>0</v>
          </cell>
          <cell r="AG183">
            <v>19.100000000000001</v>
          </cell>
          <cell r="AH183">
            <v>13.1</v>
          </cell>
          <cell r="AI183">
            <v>238.79999999999995</v>
          </cell>
          <cell r="AJ183">
            <v>32</v>
          </cell>
          <cell r="AK183">
            <v>23</v>
          </cell>
        </row>
        <row r="184">
          <cell r="C184">
            <v>350621024</v>
          </cell>
          <cell r="D184">
            <v>6.5</v>
          </cell>
          <cell r="E184">
            <v>4</v>
          </cell>
          <cell r="F184">
            <v>2</v>
          </cell>
          <cell r="G184">
            <v>0</v>
          </cell>
          <cell r="H184">
            <v>2.6</v>
          </cell>
          <cell r="I184">
            <v>2</v>
          </cell>
          <cell r="J184">
            <v>0</v>
          </cell>
          <cell r="K184">
            <v>7</v>
          </cell>
          <cell r="L184">
            <v>30</v>
          </cell>
          <cell r="M184">
            <v>4</v>
          </cell>
          <cell r="N184">
            <v>20</v>
          </cell>
          <cell r="O184">
            <v>9</v>
          </cell>
          <cell r="P184">
            <v>0</v>
          </cell>
          <cell r="Q184">
            <v>41</v>
          </cell>
          <cell r="R184">
            <v>0</v>
          </cell>
          <cell r="S184">
            <v>1</v>
          </cell>
          <cell r="T184">
            <v>5</v>
          </cell>
          <cell r="U184">
            <v>21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14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2</v>
          </cell>
          <cell r="AF184">
            <v>0</v>
          </cell>
          <cell r="AG184">
            <v>0</v>
          </cell>
          <cell r="AH184">
            <v>2.4</v>
          </cell>
          <cell r="AI184">
            <v>173.5</v>
          </cell>
          <cell r="AJ184">
            <v>41</v>
          </cell>
          <cell r="AK184">
            <v>17</v>
          </cell>
        </row>
        <row r="185">
          <cell r="C185">
            <v>350621025</v>
          </cell>
          <cell r="D185">
            <v>0</v>
          </cell>
          <cell r="E185">
            <v>2</v>
          </cell>
          <cell r="F185">
            <v>16</v>
          </cell>
          <cell r="G185">
            <v>0</v>
          </cell>
          <cell r="H185">
            <v>0</v>
          </cell>
          <cell r="I185">
            <v>0</v>
          </cell>
          <cell r="J185">
            <v>29</v>
          </cell>
          <cell r="K185">
            <v>57</v>
          </cell>
          <cell r="L185">
            <v>12</v>
          </cell>
          <cell r="M185">
            <v>3</v>
          </cell>
          <cell r="N185">
            <v>20</v>
          </cell>
          <cell r="O185">
            <v>5</v>
          </cell>
          <cell r="P185">
            <v>0</v>
          </cell>
          <cell r="Q185">
            <v>3</v>
          </cell>
          <cell r="R185">
            <v>4</v>
          </cell>
          <cell r="S185">
            <v>0</v>
          </cell>
          <cell r="T185">
            <v>2</v>
          </cell>
          <cell r="U185">
            <v>0</v>
          </cell>
          <cell r="V185">
            <v>6</v>
          </cell>
          <cell r="W185">
            <v>21</v>
          </cell>
          <cell r="X185">
            <v>5</v>
          </cell>
          <cell r="Y185">
            <v>14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7</v>
          </cell>
          <cell r="AE185">
            <v>0</v>
          </cell>
          <cell r="AF185">
            <v>0</v>
          </cell>
          <cell r="AG185">
            <v>35</v>
          </cell>
          <cell r="AH185">
            <v>51</v>
          </cell>
          <cell r="AI185">
            <v>292</v>
          </cell>
          <cell r="AJ185">
            <v>57</v>
          </cell>
          <cell r="AK185">
            <v>18</v>
          </cell>
        </row>
        <row r="186">
          <cell r="C186">
            <v>350621026</v>
          </cell>
          <cell r="D186">
            <v>0</v>
          </cell>
          <cell r="E186">
            <v>7</v>
          </cell>
          <cell r="F186">
            <v>7</v>
          </cell>
          <cell r="G186">
            <v>0</v>
          </cell>
          <cell r="H186">
            <v>0</v>
          </cell>
          <cell r="I186">
            <v>14</v>
          </cell>
          <cell r="J186">
            <v>21</v>
          </cell>
          <cell r="K186">
            <v>62</v>
          </cell>
          <cell r="L186">
            <v>32</v>
          </cell>
          <cell r="M186">
            <v>10</v>
          </cell>
          <cell r="N186">
            <v>42</v>
          </cell>
          <cell r="O186">
            <v>0</v>
          </cell>
          <cell r="P186">
            <v>0</v>
          </cell>
          <cell r="Q186">
            <v>10</v>
          </cell>
          <cell r="R186">
            <v>0</v>
          </cell>
          <cell r="S186">
            <v>0</v>
          </cell>
          <cell r="T186">
            <v>16</v>
          </cell>
          <cell r="U186">
            <v>7</v>
          </cell>
          <cell r="V186">
            <v>0</v>
          </cell>
          <cell r="W186">
            <v>23</v>
          </cell>
          <cell r="X186">
            <v>10</v>
          </cell>
          <cell r="Y186">
            <v>7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12</v>
          </cell>
          <cell r="AE186">
            <v>0</v>
          </cell>
          <cell r="AF186">
            <v>0</v>
          </cell>
          <cell r="AG186">
            <v>8</v>
          </cell>
          <cell r="AH186">
            <v>15</v>
          </cell>
          <cell r="AI186">
            <v>303</v>
          </cell>
          <cell r="AJ186">
            <v>62</v>
          </cell>
          <cell r="AK186">
            <v>17</v>
          </cell>
        </row>
        <row r="187">
          <cell r="C187">
            <v>350602001</v>
          </cell>
          <cell r="D187">
            <v>5.5</v>
          </cell>
          <cell r="E187">
            <v>2</v>
          </cell>
          <cell r="F187">
            <v>0</v>
          </cell>
          <cell r="G187">
            <v>0</v>
          </cell>
          <cell r="H187">
            <v>0</v>
          </cell>
          <cell r="I187">
            <v>7</v>
          </cell>
          <cell r="J187">
            <v>1</v>
          </cell>
          <cell r="K187">
            <v>42</v>
          </cell>
          <cell r="L187">
            <v>1</v>
          </cell>
          <cell r="M187">
            <v>6</v>
          </cell>
          <cell r="N187">
            <v>5</v>
          </cell>
          <cell r="O187">
            <v>56</v>
          </cell>
          <cell r="P187">
            <v>0</v>
          </cell>
          <cell r="Q187">
            <v>7.5</v>
          </cell>
          <cell r="R187">
            <v>5</v>
          </cell>
          <cell r="S187">
            <v>71</v>
          </cell>
          <cell r="T187">
            <v>5</v>
          </cell>
          <cell r="U187">
            <v>77</v>
          </cell>
          <cell r="V187">
            <v>0</v>
          </cell>
          <cell r="W187">
            <v>0</v>
          </cell>
          <cell r="X187">
            <v>23</v>
          </cell>
          <cell r="Y187">
            <v>16</v>
          </cell>
          <cell r="Z187">
            <v>0</v>
          </cell>
          <cell r="AA187">
            <v>37</v>
          </cell>
          <cell r="AB187">
            <v>6.5</v>
          </cell>
          <cell r="AC187">
            <v>0</v>
          </cell>
          <cell r="AD187">
            <v>1</v>
          </cell>
          <cell r="AE187">
            <v>7.5</v>
          </cell>
          <cell r="AF187">
            <v>0</v>
          </cell>
          <cell r="AG187">
            <v>1</v>
          </cell>
          <cell r="AH187">
            <v>1.5</v>
          </cell>
          <cell r="AI187">
            <v>384.5</v>
          </cell>
          <cell r="AJ187">
            <v>77</v>
          </cell>
          <cell r="AK187">
            <v>22</v>
          </cell>
        </row>
        <row r="188">
          <cell r="C188">
            <v>350602002</v>
          </cell>
          <cell r="D188">
            <v>0</v>
          </cell>
          <cell r="E188">
            <v>19</v>
          </cell>
          <cell r="F188">
            <v>0</v>
          </cell>
          <cell r="G188">
            <v>0</v>
          </cell>
          <cell r="H188">
            <v>3</v>
          </cell>
          <cell r="I188">
            <v>1</v>
          </cell>
          <cell r="J188">
            <v>2</v>
          </cell>
          <cell r="K188">
            <v>46</v>
          </cell>
          <cell r="L188">
            <v>3</v>
          </cell>
          <cell r="M188">
            <v>37</v>
          </cell>
          <cell r="N188">
            <v>4</v>
          </cell>
          <cell r="O188">
            <v>49</v>
          </cell>
          <cell r="P188">
            <v>1</v>
          </cell>
          <cell r="Q188">
            <v>49</v>
          </cell>
          <cell r="R188">
            <v>7</v>
          </cell>
          <cell r="S188">
            <v>19</v>
          </cell>
          <cell r="T188">
            <v>0</v>
          </cell>
          <cell r="U188">
            <v>43</v>
          </cell>
          <cell r="V188">
            <v>0</v>
          </cell>
          <cell r="W188">
            <v>0</v>
          </cell>
          <cell r="X188">
            <v>0</v>
          </cell>
          <cell r="Y188">
            <v>5</v>
          </cell>
          <cell r="Z188">
            <v>1</v>
          </cell>
          <cell r="AA188">
            <v>49</v>
          </cell>
          <cell r="AB188">
            <v>0</v>
          </cell>
          <cell r="AC188">
            <v>0</v>
          </cell>
          <cell r="AD188">
            <v>1</v>
          </cell>
          <cell r="AE188">
            <v>15</v>
          </cell>
          <cell r="AF188">
            <v>0</v>
          </cell>
          <cell r="AG188">
            <v>3</v>
          </cell>
          <cell r="AH188">
            <v>49</v>
          </cell>
          <cell r="AI188">
            <v>406</v>
          </cell>
          <cell r="AJ188">
            <v>49</v>
          </cell>
          <cell r="AK188">
            <v>21</v>
          </cell>
        </row>
        <row r="189">
          <cell r="C189">
            <v>350602003</v>
          </cell>
          <cell r="D189">
            <v>0</v>
          </cell>
          <cell r="E189">
            <v>7</v>
          </cell>
          <cell r="F189">
            <v>3</v>
          </cell>
          <cell r="G189">
            <v>9</v>
          </cell>
          <cell r="H189">
            <v>0</v>
          </cell>
          <cell r="I189">
            <v>8</v>
          </cell>
          <cell r="J189">
            <v>8</v>
          </cell>
          <cell r="K189">
            <v>61</v>
          </cell>
          <cell r="L189">
            <v>1</v>
          </cell>
          <cell r="M189">
            <v>52</v>
          </cell>
          <cell r="N189">
            <v>7</v>
          </cell>
          <cell r="O189">
            <v>25</v>
          </cell>
          <cell r="P189">
            <v>0</v>
          </cell>
          <cell r="Q189">
            <v>26</v>
          </cell>
          <cell r="R189">
            <v>29</v>
          </cell>
          <cell r="S189">
            <v>41</v>
          </cell>
          <cell r="T189">
            <v>27</v>
          </cell>
          <cell r="U189">
            <v>17</v>
          </cell>
          <cell r="V189">
            <v>0</v>
          </cell>
          <cell r="W189">
            <v>0</v>
          </cell>
          <cell r="X189">
            <v>8</v>
          </cell>
          <cell r="Y189">
            <v>8</v>
          </cell>
          <cell r="Z189">
            <v>0</v>
          </cell>
          <cell r="AA189">
            <v>25</v>
          </cell>
          <cell r="AB189">
            <v>0</v>
          </cell>
          <cell r="AC189">
            <v>0</v>
          </cell>
          <cell r="AD189">
            <v>12</v>
          </cell>
          <cell r="AE189">
            <v>0</v>
          </cell>
          <cell r="AF189">
            <v>0</v>
          </cell>
          <cell r="AG189">
            <v>4</v>
          </cell>
          <cell r="AH189">
            <v>13</v>
          </cell>
          <cell r="AI189">
            <v>391</v>
          </cell>
          <cell r="AJ189">
            <v>61</v>
          </cell>
          <cell r="AK189">
            <v>21</v>
          </cell>
        </row>
        <row r="190">
          <cell r="C190">
            <v>350602004</v>
          </cell>
          <cell r="D190">
            <v>0</v>
          </cell>
          <cell r="E190">
            <v>7</v>
          </cell>
          <cell r="F190">
            <v>0</v>
          </cell>
          <cell r="G190">
            <v>7</v>
          </cell>
          <cell r="H190">
            <v>0</v>
          </cell>
          <cell r="I190">
            <v>9</v>
          </cell>
          <cell r="J190">
            <v>13</v>
          </cell>
          <cell r="K190">
            <v>66</v>
          </cell>
          <cell r="L190">
            <v>2</v>
          </cell>
          <cell r="M190">
            <v>36</v>
          </cell>
          <cell r="N190">
            <v>3</v>
          </cell>
          <cell r="O190">
            <v>34</v>
          </cell>
          <cell r="P190">
            <v>1</v>
          </cell>
          <cell r="Q190">
            <v>17</v>
          </cell>
          <cell r="R190">
            <v>30</v>
          </cell>
          <cell r="S190">
            <v>44</v>
          </cell>
          <cell r="T190">
            <v>27</v>
          </cell>
          <cell r="U190">
            <v>6</v>
          </cell>
          <cell r="V190">
            <v>0</v>
          </cell>
          <cell r="W190">
            <v>1</v>
          </cell>
          <cell r="X190">
            <v>9</v>
          </cell>
          <cell r="Y190">
            <v>9</v>
          </cell>
          <cell r="Z190">
            <v>0</v>
          </cell>
          <cell r="AA190">
            <v>19</v>
          </cell>
          <cell r="AB190">
            <v>2</v>
          </cell>
          <cell r="AC190">
            <v>0</v>
          </cell>
          <cell r="AD190">
            <v>18</v>
          </cell>
          <cell r="AE190">
            <v>0</v>
          </cell>
          <cell r="AF190">
            <v>0</v>
          </cell>
          <cell r="AG190">
            <v>0</v>
          </cell>
          <cell r="AH190">
            <v>12</v>
          </cell>
          <cell r="AI190">
            <v>372</v>
          </cell>
          <cell r="AJ190">
            <v>66</v>
          </cell>
          <cell r="AK190">
            <v>22</v>
          </cell>
        </row>
        <row r="191">
          <cell r="C191">
            <v>350602005</v>
          </cell>
          <cell r="D191">
            <v>0</v>
          </cell>
          <cell r="E191">
            <v>5</v>
          </cell>
          <cell r="F191">
            <v>6</v>
          </cell>
          <cell r="G191">
            <v>21</v>
          </cell>
          <cell r="H191">
            <v>0</v>
          </cell>
          <cell r="I191">
            <v>6</v>
          </cell>
          <cell r="J191">
            <v>0</v>
          </cell>
          <cell r="K191">
            <v>16</v>
          </cell>
          <cell r="L191">
            <v>3</v>
          </cell>
          <cell r="M191">
            <v>27</v>
          </cell>
          <cell r="N191">
            <v>6</v>
          </cell>
          <cell r="O191">
            <v>6</v>
          </cell>
          <cell r="P191">
            <v>0</v>
          </cell>
          <cell r="Q191">
            <v>12</v>
          </cell>
          <cell r="R191">
            <v>77</v>
          </cell>
          <cell r="S191">
            <v>12</v>
          </cell>
          <cell r="T191">
            <v>50</v>
          </cell>
          <cell r="U191">
            <v>5</v>
          </cell>
          <cell r="V191">
            <v>0</v>
          </cell>
          <cell r="W191">
            <v>12</v>
          </cell>
          <cell r="X191">
            <v>6</v>
          </cell>
          <cell r="Y191">
            <v>11</v>
          </cell>
          <cell r="Z191">
            <v>0</v>
          </cell>
          <cell r="AA191">
            <v>11</v>
          </cell>
          <cell r="AB191">
            <v>0</v>
          </cell>
          <cell r="AC191">
            <v>0</v>
          </cell>
          <cell r="AD191">
            <v>16</v>
          </cell>
          <cell r="AE191">
            <v>0</v>
          </cell>
          <cell r="AF191">
            <v>1</v>
          </cell>
          <cell r="AG191">
            <v>5</v>
          </cell>
          <cell r="AH191">
            <v>17</v>
          </cell>
          <cell r="AI191">
            <v>331</v>
          </cell>
          <cell r="AJ191">
            <v>77</v>
          </cell>
          <cell r="AK191">
            <v>22</v>
          </cell>
        </row>
        <row r="192">
          <cell r="C192">
            <v>350602006</v>
          </cell>
          <cell r="D192">
            <v>0</v>
          </cell>
          <cell r="E192">
            <v>10</v>
          </cell>
          <cell r="F192">
            <v>6</v>
          </cell>
          <cell r="G192">
            <v>4</v>
          </cell>
          <cell r="H192">
            <v>0</v>
          </cell>
          <cell r="I192">
            <v>3</v>
          </cell>
          <cell r="J192">
            <v>2</v>
          </cell>
          <cell r="K192">
            <v>4</v>
          </cell>
          <cell r="L192">
            <v>2</v>
          </cell>
          <cell r="M192">
            <v>3</v>
          </cell>
          <cell r="N192">
            <v>4</v>
          </cell>
          <cell r="O192">
            <v>25</v>
          </cell>
          <cell r="P192">
            <v>0</v>
          </cell>
          <cell r="Q192">
            <v>10</v>
          </cell>
          <cell r="R192">
            <v>15</v>
          </cell>
          <cell r="S192">
            <v>32</v>
          </cell>
          <cell r="T192">
            <v>36</v>
          </cell>
          <cell r="U192">
            <v>9</v>
          </cell>
          <cell r="V192">
            <v>0</v>
          </cell>
          <cell r="W192">
            <v>10</v>
          </cell>
          <cell r="X192">
            <v>7</v>
          </cell>
          <cell r="Y192">
            <v>4</v>
          </cell>
          <cell r="Z192">
            <v>0</v>
          </cell>
          <cell r="AA192">
            <v>18</v>
          </cell>
          <cell r="AB192">
            <v>0</v>
          </cell>
          <cell r="AC192">
            <v>0</v>
          </cell>
          <cell r="AD192">
            <v>10</v>
          </cell>
          <cell r="AE192">
            <v>1</v>
          </cell>
          <cell r="AF192">
            <v>0</v>
          </cell>
          <cell r="AG192">
            <v>3</v>
          </cell>
          <cell r="AH192">
            <v>13</v>
          </cell>
          <cell r="AI192">
            <v>231</v>
          </cell>
          <cell r="AJ192">
            <v>36</v>
          </cell>
          <cell r="AK192">
            <v>23</v>
          </cell>
        </row>
        <row r="193">
          <cell r="C193">
            <v>350602007</v>
          </cell>
          <cell r="D193">
            <v>1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17</v>
          </cell>
          <cell r="L193">
            <v>1</v>
          </cell>
          <cell r="M193">
            <v>10</v>
          </cell>
          <cell r="N193">
            <v>3</v>
          </cell>
          <cell r="O193">
            <v>6</v>
          </cell>
          <cell r="P193">
            <v>0</v>
          </cell>
          <cell r="Q193">
            <v>23</v>
          </cell>
          <cell r="R193">
            <v>0</v>
          </cell>
          <cell r="S193">
            <v>109</v>
          </cell>
          <cell r="T193">
            <v>0</v>
          </cell>
          <cell r="U193">
            <v>6</v>
          </cell>
          <cell r="V193">
            <v>0</v>
          </cell>
          <cell r="W193">
            <v>0</v>
          </cell>
          <cell r="X193">
            <v>15</v>
          </cell>
          <cell r="Y193">
            <v>0</v>
          </cell>
          <cell r="Z193">
            <v>0</v>
          </cell>
          <cell r="AA193">
            <v>37</v>
          </cell>
          <cell r="AB193">
            <v>26</v>
          </cell>
          <cell r="AC193">
            <v>0</v>
          </cell>
          <cell r="AD193">
            <v>0</v>
          </cell>
          <cell r="AE193">
            <v>3</v>
          </cell>
          <cell r="AF193">
            <v>0</v>
          </cell>
          <cell r="AG193">
            <v>11</v>
          </cell>
          <cell r="AH193">
            <v>29</v>
          </cell>
          <cell r="AI193">
            <v>297</v>
          </cell>
          <cell r="AJ193">
            <v>109</v>
          </cell>
          <cell r="AK193">
            <v>15</v>
          </cell>
        </row>
        <row r="194">
          <cell r="C194">
            <v>350602008</v>
          </cell>
          <cell r="D194">
            <v>2</v>
          </cell>
          <cell r="E194">
            <v>1</v>
          </cell>
          <cell r="F194">
            <v>1</v>
          </cell>
          <cell r="G194">
            <v>3</v>
          </cell>
          <cell r="H194">
            <v>0</v>
          </cell>
          <cell r="I194">
            <v>0</v>
          </cell>
          <cell r="J194">
            <v>15</v>
          </cell>
          <cell r="K194">
            <v>8</v>
          </cell>
          <cell r="L194">
            <v>1</v>
          </cell>
          <cell r="M194">
            <v>3</v>
          </cell>
          <cell r="N194">
            <v>2</v>
          </cell>
          <cell r="O194">
            <v>17</v>
          </cell>
          <cell r="P194">
            <v>1</v>
          </cell>
          <cell r="Q194">
            <v>25</v>
          </cell>
          <cell r="R194">
            <v>4</v>
          </cell>
          <cell r="S194">
            <v>58</v>
          </cell>
          <cell r="T194">
            <v>10</v>
          </cell>
          <cell r="U194">
            <v>20</v>
          </cell>
          <cell r="V194">
            <v>0</v>
          </cell>
          <cell r="W194">
            <v>8</v>
          </cell>
          <cell r="X194">
            <v>20</v>
          </cell>
          <cell r="Y194">
            <v>5</v>
          </cell>
          <cell r="Z194">
            <v>0</v>
          </cell>
          <cell r="AA194">
            <v>53</v>
          </cell>
          <cell r="AB194">
            <v>1</v>
          </cell>
          <cell r="AC194">
            <v>0</v>
          </cell>
          <cell r="AD194">
            <v>1</v>
          </cell>
          <cell r="AE194">
            <v>1</v>
          </cell>
          <cell r="AF194">
            <v>4</v>
          </cell>
          <cell r="AG194">
            <v>43</v>
          </cell>
          <cell r="AH194">
            <v>52</v>
          </cell>
          <cell r="AI194">
            <v>359</v>
          </cell>
          <cell r="AJ194">
            <v>58</v>
          </cell>
          <cell r="AK194">
            <v>26</v>
          </cell>
        </row>
        <row r="195">
          <cell r="C195">
            <v>350602009</v>
          </cell>
          <cell r="D195">
            <v>1</v>
          </cell>
          <cell r="E195">
            <v>4</v>
          </cell>
          <cell r="F195">
            <v>0</v>
          </cell>
          <cell r="G195">
            <v>3</v>
          </cell>
          <cell r="H195">
            <v>0</v>
          </cell>
          <cell r="I195">
            <v>1</v>
          </cell>
          <cell r="J195">
            <v>26</v>
          </cell>
          <cell r="K195">
            <v>12</v>
          </cell>
          <cell r="L195">
            <v>2</v>
          </cell>
          <cell r="M195">
            <v>11</v>
          </cell>
          <cell r="N195">
            <v>0</v>
          </cell>
          <cell r="O195">
            <v>24</v>
          </cell>
          <cell r="P195">
            <v>0</v>
          </cell>
          <cell r="Q195">
            <v>16</v>
          </cell>
          <cell r="R195">
            <v>4</v>
          </cell>
          <cell r="S195">
            <v>51</v>
          </cell>
          <cell r="T195">
            <v>4</v>
          </cell>
          <cell r="U195">
            <v>12</v>
          </cell>
          <cell r="V195">
            <v>0</v>
          </cell>
          <cell r="W195">
            <v>0</v>
          </cell>
          <cell r="X195">
            <v>15</v>
          </cell>
          <cell r="Y195">
            <v>6</v>
          </cell>
          <cell r="Z195">
            <v>0</v>
          </cell>
          <cell r="AA195">
            <v>29</v>
          </cell>
          <cell r="AB195">
            <v>3</v>
          </cell>
          <cell r="AC195">
            <v>0</v>
          </cell>
          <cell r="AD195">
            <v>0</v>
          </cell>
          <cell r="AE195">
            <v>1</v>
          </cell>
          <cell r="AF195">
            <v>1</v>
          </cell>
          <cell r="AG195">
            <v>2</v>
          </cell>
          <cell r="AH195">
            <v>21</v>
          </cell>
          <cell r="AI195">
            <v>249</v>
          </cell>
          <cell r="AJ195">
            <v>51</v>
          </cell>
          <cell r="AK195">
            <v>22</v>
          </cell>
        </row>
        <row r="196">
          <cell r="C196">
            <v>350602010</v>
          </cell>
          <cell r="D196">
            <v>3</v>
          </cell>
          <cell r="E196">
            <v>0</v>
          </cell>
          <cell r="F196">
            <v>0</v>
          </cell>
          <cell r="G196">
            <v>4</v>
          </cell>
          <cell r="H196">
            <v>0</v>
          </cell>
          <cell r="I196">
            <v>0</v>
          </cell>
          <cell r="J196">
            <v>7</v>
          </cell>
          <cell r="K196">
            <v>20</v>
          </cell>
          <cell r="L196">
            <v>0</v>
          </cell>
          <cell r="M196">
            <v>37</v>
          </cell>
          <cell r="N196">
            <v>1</v>
          </cell>
          <cell r="O196">
            <v>9</v>
          </cell>
          <cell r="P196">
            <v>4</v>
          </cell>
          <cell r="Q196">
            <v>6</v>
          </cell>
          <cell r="R196">
            <v>3</v>
          </cell>
          <cell r="S196">
            <v>27</v>
          </cell>
          <cell r="T196">
            <v>6</v>
          </cell>
          <cell r="U196">
            <v>6</v>
          </cell>
          <cell r="V196">
            <v>0</v>
          </cell>
          <cell r="W196">
            <v>0</v>
          </cell>
          <cell r="X196">
            <v>6</v>
          </cell>
          <cell r="Y196">
            <v>62</v>
          </cell>
          <cell r="Z196">
            <v>1</v>
          </cell>
          <cell r="AA196">
            <v>6</v>
          </cell>
          <cell r="AB196">
            <v>30</v>
          </cell>
          <cell r="AC196">
            <v>0</v>
          </cell>
          <cell r="AD196">
            <v>3</v>
          </cell>
          <cell r="AE196">
            <v>6</v>
          </cell>
          <cell r="AF196">
            <v>14</v>
          </cell>
          <cell r="AG196">
            <v>17</v>
          </cell>
          <cell r="AH196">
            <v>1</v>
          </cell>
          <cell r="AI196">
            <v>279</v>
          </cell>
          <cell r="AJ196">
            <v>62</v>
          </cell>
          <cell r="AK196">
            <v>23</v>
          </cell>
        </row>
        <row r="197">
          <cell r="C197">
            <v>350602011</v>
          </cell>
          <cell r="D197">
            <v>28</v>
          </cell>
          <cell r="E197">
            <v>6</v>
          </cell>
          <cell r="F197">
            <v>0</v>
          </cell>
          <cell r="G197">
            <v>4</v>
          </cell>
          <cell r="H197">
            <v>0</v>
          </cell>
          <cell r="I197">
            <v>3</v>
          </cell>
          <cell r="J197">
            <v>0</v>
          </cell>
          <cell r="K197">
            <v>22</v>
          </cell>
          <cell r="L197">
            <v>10</v>
          </cell>
          <cell r="M197">
            <v>2</v>
          </cell>
          <cell r="N197">
            <v>7</v>
          </cell>
          <cell r="O197">
            <v>13</v>
          </cell>
          <cell r="P197">
            <v>0</v>
          </cell>
          <cell r="Q197">
            <v>5</v>
          </cell>
          <cell r="R197">
            <v>10</v>
          </cell>
          <cell r="S197">
            <v>28</v>
          </cell>
          <cell r="T197">
            <v>7</v>
          </cell>
          <cell r="U197">
            <v>14</v>
          </cell>
          <cell r="V197">
            <v>0</v>
          </cell>
          <cell r="W197">
            <v>3</v>
          </cell>
          <cell r="X197">
            <v>0</v>
          </cell>
          <cell r="Y197">
            <v>52</v>
          </cell>
          <cell r="Z197">
            <v>6</v>
          </cell>
          <cell r="AA197">
            <v>0</v>
          </cell>
          <cell r="AB197">
            <v>0</v>
          </cell>
          <cell r="AC197">
            <v>0</v>
          </cell>
          <cell r="AD197">
            <v>8</v>
          </cell>
          <cell r="AE197">
            <v>10</v>
          </cell>
          <cell r="AF197">
            <v>0</v>
          </cell>
          <cell r="AG197">
            <v>15</v>
          </cell>
          <cell r="AH197">
            <v>23</v>
          </cell>
          <cell r="AI197">
            <v>276</v>
          </cell>
          <cell r="AJ197">
            <v>52</v>
          </cell>
          <cell r="AK197">
            <v>21</v>
          </cell>
        </row>
        <row r="198">
          <cell r="C198">
            <v>350602012</v>
          </cell>
          <cell r="D198">
            <v>2</v>
          </cell>
          <cell r="E198">
            <v>8</v>
          </cell>
          <cell r="F198">
            <v>0</v>
          </cell>
          <cell r="G198">
            <v>0</v>
          </cell>
          <cell r="H198">
            <v>0</v>
          </cell>
          <cell r="I198">
            <v>4</v>
          </cell>
          <cell r="J198">
            <v>0</v>
          </cell>
          <cell r="K198">
            <v>40</v>
          </cell>
          <cell r="L198">
            <v>1</v>
          </cell>
          <cell r="M198">
            <v>9</v>
          </cell>
          <cell r="N198">
            <v>4</v>
          </cell>
          <cell r="O198">
            <v>13</v>
          </cell>
          <cell r="P198">
            <v>0</v>
          </cell>
          <cell r="Q198">
            <v>4</v>
          </cell>
          <cell r="R198">
            <v>4</v>
          </cell>
          <cell r="S198">
            <v>27</v>
          </cell>
          <cell r="T198">
            <v>3</v>
          </cell>
          <cell r="U198">
            <v>9</v>
          </cell>
          <cell r="V198">
            <v>0</v>
          </cell>
          <cell r="W198">
            <v>0</v>
          </cell>
          <cell r="X198">
            <v>15</v>
          </cell>
          <cell r="Y198">
            <v>6</v>
          </cell>
          <cell r="Z198">
            <v>0</v>
          </cell>
          <cell r="AA198">
            <v>5</v>
          </cell>
          <cell r="AB198">
            <v>14</v>
          </cell>
          <cell r="AC198">
            <v>0</v>
          </cell>
          <cell r="AD198">
            <v>0</v>
          </cell>
          <cell r="AE198">
            <v>3</v>
          </cell>
          <cell r="AF198">
            <v>9</v>
          </cell>
          <cell r="AG198">
            <v>19</v>
          </cell>
          <cell r="AH198">
            <v>16</v>
          </cell>
          <cell r="AI198">
            <v>215</v>
          </cell>
          <cell r="AJ198">
            <v>40</v>
          </cell>
          <cell r="AK198">
            <v>21</v>
          </cell>
        </row>
        <row r="199">
          <cell r="C199">
            <v>350602013</v>
          </cell>
          <cell r="D199">
            <v>2</v>
          </cell>
          <cell r="E199">
            <v>0</v>
          </cell>
          <cell r="F199">
            <v>0</v>
          </cell>
          <cell r="G199">
            <v>2</v>
          </cell>
          <cell r="H199">
            <v>0</v>
          </cell>
          <cell r="I199">
            <v>20</v>
          </cell>
          <cell r="J199">
            <v>1</v>
          </cell>
          <cell r="K199">
            <v>27</v>
          </cell>
          <cell r="L199">
            <v>1</v>
          </cell>
          <cell r="M199">
            <v>9</v>
          </cell>
          <cell r="N199">
            <v>6</v>
          </cell>
          <cell r="O199">
            <v>37</v>
          </cell>
          <cell r="P199">
            <v>0</v>
          </cell>
          <cell r="Q199">
            <v>2</v>
          </cell>
          <cell r="R199">
            <v>2</v>
          </cell>
          <cell r="S199">
            <v>53</v>
          </cell>
          <cell r="T199">
            <v>1</v>
          </cell>
          <cell r="U199">
            <v>28</v>
          </cell>
          <cell r="V199">
            <v>0</v>
          </cell>
          <cell r="W199">
            <v>1</v>
          </cell>
          <cell r="X199">
            <v>25</v>
          </cell>
          <cell r="Y199">
            <v>7</v>
          </cell>
          <cell r="Z199">
            <v>0</v>
          </cell>
          <cell r="AA199">
            <v>3</v>
          </cell>
          <cell r="AB199">
            <v>1</v>
          </cell>
          <cell r="AC199">
            <v>3</v>
          </cell>
          <cell r="AD199">
            <v>1</v>
          </cell>
          <cell r="AE199">
            <v>1</v>
          </cell>
          <cell r="AF199">
            <v>4</v>
          </cell>
          <cell r="AG199">
            <v>16</v>
          </cell>
          <cell r="AH199">
            <v>15</v>
          </cell>
          <cell r="AI199">
            <v>268</v>
          </cell>
          <cell r="AJ199">
            <v>53</v>
          </cell>
          <cell r="AK199">
            <v>25</v>
          </cell>
        </row>
        <row r="200">
          <cell r="C200">
            <v>350602014</v>
          </cell>
          <cell r="D200">
            <v>1</v>
          </cell>
          <cell r="E200">
            <v>1</v>
          </cell>
          <cell r="F200">
            <v>0</v>
          </cell>
          <cell r="G200">
            <v>2</v>
          </cell>
          <cell r="H200">
            <v>0</v>
          </cell>
          <cell r="I200">
            <v>6</v>
          </cell>
          <cell r="J200">
            <v>1</v>
          </cell>
          <cell r="K200">
            <v>16</v>
          </cell>
          <cell r="L200">
            <v>1</v>
          </cell>
          <cell r="M200">
            <v>5</v>
          </cell>
          <cell r="N200">
            <v>11</v>
          </cell>
          <cell r="O200">
            <v>50</v>
          </cell>
          <cell r="P200">
            <v>4</v>
          </cell>
          <cell r="Q200">
            <v>2</v>
          </cell>
          <cell r="R200">
            <v>6</v>
          </cell>
          <cell r="S200">
            <v>35</v>
          </cell>
          <cell r="T200">
            <v>0</v>
          </cell>
          <cell r="U200">
            <v>4</v>
          </cell>
          <cell r="V200">
            <v>0</v>
          </cell>
          <cell r="W200">
            <v>0</v>
          </cell>
          <cell r="X200">
            <v>11</v>
          </cell>
          <cell r="Y200">
            <v>1</v>
          </cell>
          <cell r="Z200">
            <v>0</v>
          </cell>
          <cell r="AA200">
            <v>6</v>
          </cell>
          <cell r="AB200">
            <v>18</v>
          </cell>
          <cell r="AC200">
            <v>2</v>
          </cell>
          <cell r="AD200">
            <v>3</v>
          </cell>
          <cell r="AE200">
            <v>1</v>
          </cell>
          <cell r="AF200">
            <v>9</v>
          </cell>
          <cell r="AG200">
            <v>31</v>
          </cell>
          <cell r="AH200">
            <v>24</v>
          </cell>
          <cell r="AI200">
            <v>251</v>
          </cell>
          <cell r="AJ200">
            <v>50</v>
          </cell>
          <cell r="AK200">
            <v>25</v>
          </cell>
        </row>
        <row r="201">
          <cell r="C201">
            <v>350602015</v>
          </cell>
          <cell r="D201">
            <v>0</v>
          </cell>
          <cell r="E201">
            <v>28</v>
          </cell>
          <cell r="F201">
            <v>10</v>
          </cell>
          <cell r="G201">
            <v>23</v>
          </cell>
          <cell r="H201">
            <v>0</v>
          </cell>
          <cell r="I201">
            <v>12</v>
          </cell>
          <cell r="J201">
            <v>25</v>
          </cell>
          <cell r="K201">
            <v>47</v>
          </cell>
          <cell r="L201">
            <v>5</v>
          </cell>
          <cell r="M201">
            <v>30</v>
          </cell>
          <cell r="N201">
            <v>7</v>
          </cell>
          <cell r="O201">
            <v>1</v>
          </cell>
          <cell r="P201">
            <v>1</v>
          </cell>
          <cell r="Q201">
            <v>100</v>
          </cell>
          <cell r="R201">
            <v>15</v>
          </cell>
          <cell r="S201">
            <v>36</v>
          </cell>
          <cell r="T201">
            <v>39</v>
          </cell>
          <cell r="U201">
            <v>1</v>
          </cell>
          <cell r="V201">
            <v>1</v>
          </cell>
          <cell r="W201">
            <v>1</v>
          </cell>
          <cell r="X201">
            <v>14</v>
          </cell>
          <cell r="Y201">
            <v>10</v>
          </cell>
          <cell r="Z201">
            <v>0</v>
          </cell>
          <cell r="AA201">
            <v>30</v>
          </cell>
          <cell r="AB201">
            <v>5</v>
          </cell>
          <cell r="AC201">
            <v>0</v>
          </cell>
          <cell r="AD201">
            <v>1</v>
          </cell>
          <cell r="AE201">
            <v>0</v>
          </cell>
          <cell r="AF201">
            <v>0</v>
          </cell>
          <cell r="AG201">
            <v>0</v>
          </cell>
          <cell r="AH201">
            <v>8</v>
          </cell>
          <cell r="AI201">
            <v>450</v>
          </cell>
          <cell r="AJ201">
            <v>100</v>
          </cell>
          <cell r="AK201">
            <v>24</v>
          </cell>
        </row>
        <row r="202">
          <cell r="C202">
            <v>350602016</v>
          </cell>
          <cell r="D202">
            <v>0</v>
          </cell>
          <cell r="E202">
            <v>23</v>
          </cell>
          <cell r="F202">
            <v>12</v>
          </cell>
          <cell r="G202">
            <v>37</v>
          </cell>
          <cell r="H202">
            <v>0</v>
          </cell>
          <cell r="I202">
            <v>9</v>
          </cell>
          <cell r="J202">
            <v>23</v>
          </cell>
          <cell r="K202">
            <v>79</v>
          </cell>
          <cell r="L202">
            <v>2</v>
          </cell>
          <cell r="M202">
            <v>64</v>
          </cell>
          <cell r="N202">
            <v>8</v>
          </cell>
          <cell r="O202">
            <v>1</v>
          </cell>
          <cell r="P202">
            <v>0</v>
          </cell>
          <cell r="Q202">
            <v>77</v>
          </cell>
          <cell r="R202">
            <v>26</v>
          </cell>
          <cell r="S202">
            <v>37</v>
          </cell>
          <cell r="T202">
            <v>42</v>
          </cell>
          <cell r="U202">
            <v>10</v>
          </cell>
          <cell r="V202">
            <v>0</v>
          </cell>
          <cell r="W202">
            <v>2</v>
          </cell>
          <cell r="X202">
            <v>23</v>
          </cell>
          <cell r="Y202">
            <v>12</v>
          </cell>
          <cell r="Z202">
            <v>0</v>
          </cell>
          <cell r="AA202">
            <v>25</v>
          </cell>
          <cell r="AB202">
            <v>0</v>
          </cell>
          <cell r="AC202">
            <v>0</v>
          </cell>
          <cell r="AD202">
            <v>4</v>
          </cell>
          <cell r="AE202">
            <v>0</v>
          </cell>
          <cell r="AF202">
            <v>0</v>
          </cell>
          <cell r="AG202">
            <v>0</v>
          </cell>
          <cell r="AH202">
            <v>26</v>
          </cell>
          <cell r="AI202">
            <v>542</v>
          </cell>
          <cell r="AJ202">
            <v>79</v>
          </cell>
          <cell r="AK202">
            <v>21</v>
          </cell>
        </row>
        <row r="203">
          <cell r="C203">
            <v>350602017</v>
          </cell>
          <cell r="D203">
            <v>0</v>
          </cell>
          <cell r="E203">
            <v>12</v>
          </cell>
          <cell r="F203">
            <v>0</v>
          </cell>
          <cell r="G203">
            <v>4</v>
          </cell>
          <cell r="H203">
            <v>0</v>
          </cell>
          <cell r="I203">
            <v>0</v>
          </cell>
          <cell r="J203">
            <v>12</v>
          </cell>
          <cell r="K203">
            <v>63</v>
          </cell>
          <cell r="L203">
            <v>0</v>
          </cell>
          <cell r="M203">
            <v>48</v>
          </cell>
          <cell r="N203">
            <v>6</v>
          </cell>
          <cell r="O203">
            <v>25</v>
          </cell>
          <cell r="P203">
            <v>5</v>
          </cell>
          <cell r="Q203">
            <v>30</v>
          </cell>
          <cell r="R203">
            <v>23</v>
          </cell>
          <cell r="S203">
            <v>54</v>
          </cell>
          <cell r="T203">
            <v>12</v>
          </cell>
          <cell r="U203">
            <v>22</v>
          </cell>
          <cell r="V203">
            <v>0</v>
          </cell>
          <cell r="W203">
            <v>0</v>
          </cell>
          <cell r="X203">
            <v>10</v>
          </cell>
          <cell r="Y203">
            <v>16</v>
          </cell>
          <cell r="Z203">
            <v>2</v>
          </cell>
          <cell r="AA203">
            <v>62</v>
          </cell>
          <cell r="AB203">
            <v>0</v>
          </cell>
          <cell r="AC203">
            <v>0</v>
          </cell>
          <cell r="AD203">
            <v>9</v>
          </cell>
          <cell r="AE203">
            <v>13</v>
          </cell>
          <cell r="AF203">
            <v>0</v>
          </cell>
          <cell r="AG203">
            <v>3</v>
          </cell>
          <cell r="AH203">
            <v>6</v>
          </cell>
          <cell r="AI203">
            <v>437</v>
          </cell>
          <cell r="AJ203">
            <v>63</v>
          </cell>
          <cell r="AK203">
            <v>21</v>
          </cell>
        </row>
        <row r="204">
          <cell r="C204">
            <v>350602018</v>
          </cell>
          <cell r="D204">
            <v>1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19</v>
          </cell>
          <cell r="L204">
            <v>1</v>
          </cell>
          <cell r="M204">
            <v>2</v>
          </cell>
          <cell r="N204">
            <v>0</v>
          </cell>
          <cell r="O204">
            <v>0</v>
          </cell>
          <cell r="P204">
            <v>0</v>
          </cell>
          <cell r="Q204">
            <v>32</v>
          </cell>
          <cell r="R204">
            <v>3</v>
          </cell>
          <cell r="S204">
            <v>67</v>
          </cell>
          <cell r="T204">
            <v>0</v>
          </cell>
          <cell r="U204">
            <v>17</v>
          </cell>
          <cell r="V204">
            <v>0</v>
          </cell>
          <cell r="W204">
            <v>6</v>
          </cell>
          <cell r="X204">
            <v>18</v>
          </cell>
          <cell r="Y204">
            <v>3</v>
          </cell>
          <cell r="Z204">
            <v>0</v>
          </cell>
          <cell r="AA204">
            <v>27</v>
          </cell>
          <cell r="AB204">
            <v>11</v>
          </cell>
          <cell r="AC204">
            <v>0</v>
          </cell>
          <cell r="AD204">
            <v>0</v>
          </cell>
          <cell r="AE204">
            <v>0</v>
          </cell>
          <cell r="AF204">
            <v>2</v>
          </cell>
          <cell r="AG204">
            <v>70</v>
          </cell>
          <cell r="AH204">
            <v>86</v>
          </cell>
          <cell r="AI204">
            <v>365</v>
          </cell>
          <cell r="AJ204">
            <v>86</v>
          </cell>
          <cell r="AK204">
            <v>16</v>
          </cell>
        </row>
        <row r="205">
          <cell r="C205">
            <v>350602019</v>
          </cell>
          <cell r="D205">
            <v>4</v>
          </cell>
          <cell r="E205">
            <v>0</v>
          </cell>
          <cell r="F205">
            <v>0</v>
          </cell>
          <cell r="G205">
            <v>0</v>
          </cell>
          <cell r="H205">
            <v>15</v>
          </cell>
          <cell r="I205">
            <v>1</v>
          </cell>
          <cell r="J205">
            <v>0</v>
          </cell>
          <cell r="K205">
            <v>62</v>
          </cell>
          <cell r="L205">
            <v>1</v>
          </cell>
          <cell r="M205">
            <v>7</v>
          </cell>
          <cell r="N205">
            <v>2</v>
          </cell>
          <cell r="O205">
            <v>12</v>
          </cell>
          <cell r="P205">
            <v>0</v>
          </cell>
          <cell r="Q205">
            <v>8</v>
          </cell>
          <cell r="R205">
            <v>7</v>
          </cell>
          <cell r="S205">
            <v>27</v>
          </cell>
          <cell r="T205">
            <v>2</v>
          </cell>
          <cell r="U205">
            <v>11</v>
          </cell>
          <cell r="V205">
            <v>0</v>
          </cell>
          <cell r="W205">
            <v>0</v>
          </cell>
          <cell r="X205">
            <v>6</v>
          </cell>
          <cell r="Y205">
            <v>6</v>
          </cell>
          <cell r="Z205">
            <v>0</v>
          </cell>
          <cell r="AA205">
            <v>10</v>
          </cell>
          <cell r="AB205">
            <v>15</v>
          </cell>
          <cell r="AC205">
            <v>0</v>
          </cell>
          <cell r="AD205">
            <v>0</v>
          </cell>
          <cell r="AE205">
            <v>3</v>
          </cell>
          <cell r="AF205">
            <v>2</v>
          </cell>
          <cell r="AG205">
            <v>6</v>
          </cell>
          <cell r="AH205">
            <v>11</v>
          </cell>
          <cell r="AI205">
            <v>218</v>
          </cell>
          <cell r="AJ205">
            <v>62</v>
          </cell>
          <cell r="AK205">
            <v>21</v>
          </cell>
        </row>
        <row r="206">
          <cell r="C206">
            <v>350602020</v>
          </cell>
          <cell r="D206">
            <v>12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18</v>
          </cell>
          <cell r="L206">
            <v>27</v>
          </cell>
          <cell r="M206">
            <v>5</v>
          </cell>
          <cell r="N206">
            <v>5</v>
          </cell>
          <cell r="O206">
            <v>39</v>
          </cell>
          <cell r="P206">
            <v>0</v>
          </cell>
          <cell r="Q206">
            <v>6</v>
          </cell>
          <cell r="R206">
            <v>3</v>
          </cell>
          <cell r="S206">
            <v>58</v>
          </cell>
          <cell r="T206">
            <v>0</v>
          </cell>
          <cell r="U206">
            <v>28</v>
          </cell>
          <cell r="V206">
            <v>0</v>
          </cell>
          <cell r="W206">
            <v>0</v>
          </cell>
          <cell r="X206">
            <v>15</v>
          </cell>
          <cell r="Y206">
            <v>20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16</v>
          </cell>
          <cell r="AF206">
            <v>0</v>
          </cell>
          <cell r="AG206">
            <v>0</v>
          </cell>
          <cell r="AH206">
            <v>6</v>
          </cell>
          <cell r="AI206">
            <v>258</v>
          </cell>
          <cell r="AJ206">
            <v>58</v>
          </cell>
          <cell r="AK206">
            <v>14</v>
          </cell>
        </row>
        <row r="207">
          <cell r="C207">
            <v>350602021</v>
          </cell>
          <cell r="D207">
            <v>2</v>
          </cell>
          <cell r="E207">
            <v>1</v>
          </cell>
          <cell r="F207">
            <v>0</v>
          </cell>
          <cell r="G207">
            <v>0</v>
          </cell>
          <cell r="H207">
            <v>0</v>
          </cell>
          <cell r="I207">
            <v>4</v>
          </cell>
          <cell r="J207">
            <v>0</v>
          </cell>
          <cell r="K207">
            <v>16</v>
          </cell>
          <cell r="L207">
            <v>1</v>
          </cell>
          <cell r="M207">
            <v>7</v>
          </cell>
          <cell r="N207">
            <v>11</v>
          </cell>
          <cell r="O207">
            <v>74</v>
          </cell>
          <cell r="P207">
            <v>0</v>
          </cell>
          <cell r="Q207">
            <v>3</v>
          </cell>
          <cell r="R207">
            <v>4</v>
          </cell>
          <cell r="S207">
            <v>42</v>
          </cell>
          <cell r="T207">
            <v>1</v>
          </cell>
          <cell r="U207">
            <v>6</v>
          </cell>
          <cell r="V207">
            <v>0</v>
          </cell>
          <cell r="W207">
            <v>0</v>
          </cell>
          <cell r="X207">
            <v>20</v>
          </cell>
          <cell r="Y207">
            <v>5</v>
          </cell>
          <cell r="Z207">
            <v>0</v>
          </cell>
          <cell r="AA207">
            <v>3</v>
          </cell>
          <cell r="AB207">
            <v>12</v>
          </cell>
          <cell r="AC207">
            <v>1</v>
          </cell>
          <cell r="AD207">
            <v>1</v>
          </cell>
          <cell r="AE207">
            <v>2</v>
          </cell>
          <cell r="AF207">
            <v>19</v>
          </cell>
          <cell r="AG207">
            <v>17</v>
          </cell>
          <cell r="AH207">
            <v>8</v>
          </cell>
          <cell r="AI207">
            <v>260</v>
          </cell>
          <cell r="AJ207">
            <v>74</v>
          </cell>
          <cell r="AK207">
            <v>23</v>
          </cell>
        </row>
        <row r="208">
          <cell r="C208">
            <v>350602022</v>
          </cell>
          <cell r="D208">
            <v>23</v>
          </cell>
          <cell r="E208">
            <v>4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13</v>
          </cell>
          <cell r="L208">
            <v>7</v>
          </cell>
          <cell r="M208">
            <v>4</v>
          </cell>
          <cell r="N208">
            <v>16</v>
          </cell>
          <cell r="O208">
            <v>13</v>
          </cell>
          <cell r="P208">
            <v>0</v>
          </cell>
          <cell r="Q208">
            <v>3</v>
          </cell>
          <cell r="R208">
            <v>3</v>
          </cell>
          <cell r="S208">
            <v>16</v>
          </cell>
          <cell r="T208">
            <v>3</v>
          </cell>
          <cell r="U208">
            <v>2</v>
          </cell>
          <cell r="V208">
            <v>0</v>
          </cell>
          <cell r="W208">
            <v>19</v>
          </cell>
          <cell r="X208">
            <v>0</v>
          </cell>
          <cell r="Y208">
            <v>18</v>
          </cell>
          <cell r="Z208">
            <v>0</v>
          </cell>
          <cell r="AA208">
            <v>5</v>
          </cell>
          <cell r="AB208">
            <v>0</v>
          </cell>
          <cell r="AC208">
            <v>0</v>
          </cell>
          <cell r="AD208">
            <v>10</v>
          </cell>
          <cell r="AE208">
            <v>20</v>
          </cell>
          <cell r="AF208">
            <v>0</v>
          </cell>
          <cell r="AG208">
            <v>9</v>
          </cell>
          <cell r="AH208">
            <v>26</v>
          </cell>
          <cell r="AI208">
            <v>214</v>
          </cell>
          <cell r="AJ208">
            <v>26</v>
          </cell>
          <cell r="AK208">
            <v>19</v>
          </cell>
        </row>
        <row r="209">
          <cell r="C209">
            <v>350602023</v>
          </cell>
          <cell r="D209">
            <v>0</v>
          </cell>
          <cell r="E209">
            <v>1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6</v>
          </cell>
          <cell r="L209">
            <v>0</v>
          </cell>
          <cell r="M209">
            <v>8</v>
          </cell>
          <cell r="N209">
            <v>0</v>
          </cell>
          <cell r="O209">
            <v>14</v>
          </cell>
          <cell r="P209">
            <v>20</v>
          </cell>
          <cell r="Q209">
            <v>38</v>
          </cell>
          <cell r="R209">
            <v>9</v>
          </cell>
          <cell r="S209">
            <v>14</v>
          </cell>
          <cell r="T209">
            <v>18</v>
          </cell>
          <cell r="U209">
            <v>0</v>
          </cell>
          <cell r="V209">
            <v>0</v>
          </cell>
          <cell r="W209">
            <v>0</v>
          </cell>
          <cell r="X209">
            <v>2</v>
          </cell>
          <cell r="Y209">
            <v>36</v>
          </cell>
          <cell r="Z209">
            <v>0</v>
          </cell>
          <cell r="AA209">
            <v>10</v>
          </cell>
          <cell r="AB209">
            <v>81</v>
          </cell>
          <cell r="AC209">
            <v>0</v>
          </cell>
          <cell r="AD209">
            <v>4</v>
          </cell>
          <cell r="AE209">
            <v>1</v>
          </cell>
          <cell r="AF209">
            <v>27</v>
          </cell>
          <cell r="AG209">
            <v>22</v>
          </cell>
          <cell r="AH209">
            <v>14</v>
          </cell>
          <cell r="AI209">
            <v>325</v>
          </cell>
          <cell r="AJ209">
            <v>81</v>
          </cell>
          <cell r="AK209">
            <v>18</v>
          </cell>
        </row>
        <row r="210">
          <cell r="C210">
            <v>350601001</v>
          </cell>
          <cell r="D210">
            <v>12</v>
          </cell>
          <cell r="E210">
            <v>1.5</v>
          </cell>
          <cell r="F210">
            <v>7</v>
          </cell>
          <cell r="G210">
            <v>3</v>
          </cell>
          <cell r="H210">
            <v>1</v>
          </cell>
          <cell r="I210">
            <v>1.5</v>
          </cell>
          <cell r="J210">
            <v>17</v>
          </cell>
          <cell r="K210">
            <v>1</v>
          </cell>
          <cell r="L210">
            <v>2.5</v>
          </cell>
          <cell r="M210">
            <v>7</v>
          </cell>
          <cell r="N210">
            <v>1.5</v>
          </cell>
          <cell r="O210">
            <v>1</v>
          </cell>
          <cell r="P210">
            <v>1</v>
          </cell>
          <cell r="Q210">
            <v>1</v>
          </cell>
          <cell r="R210">
            <v>13</v>
          </cell>
          <cell r="S210">
            <v>36</v>
          </cell>
          <cell r="T210">
            <v>3</v>
          </cell>
          <cell r="U210">
            <v>3</v>
          </cell>
          <cell r="V210">
            <v>0</v>
          </cell>
          <cell r="W210">
            <v>24</v>
          </cell>
          <cell r="X210">
            <v>17</v>
          </cell>
          <cell r="Y210">
            <v>1</v>
          </cell>
          <cell r="Z210">
            <v>0</v>
          </cell>
          <cell r="AA210">
            <v>59</v>
          </cell>
          <cell r="AB210">
            <v>4.5</v>
          </cell>
          <cell r="AC210">
            <v>0</v>
          </cell>
          <cell r="AD210">
            <v>6.5</v>
          </cell>
          <cell r="AE210">
            <v>15</v>
          </cell>
          <cell r="AF210">
            <v>10</v>
          </cell>
          <cell r="AG210">
            <v>0</v>
          </cell>
          <cell r="AH210">
            <v>9</v>
          </cell>
          <cell r="AI210">
            <v>259</v>
          </cell>
          <cell r="AJ210">
            <v>59</v>
          </cell>
          <cell r="AK210">
            <v>27</v>
          </cell>
        </row>
        <row r="211">
          <cell r="C211">
            <v>350601002</v>
          </cell>
          <cell r="D211">
            <v>13</v>
          </cell>
          <cell r="E211">
            <v>2</v>
          </cell>
          <cell r="F211">
            <v>13</v>
          </cell>
          <cell r="G211">
            <v>5</v>
          </cell>
          <cell r="H211">
            <v>0</v>
          </cell>
          <cell r="I211">
            <v>2</v>
          </cell>
          <cell r="J211">
            <v>26</v>
          </cell>
          <cell r="K211">
            <v>3</v>
          </cell>
          <cell r="L211">
            <v>4</v>
          </cell>
          <cell r="M211">
            <v>5</v>
          </cell>
          <cell r="N211">
            <v>0</v>
          </cell>
          <cell r="O211">
            <v>2</v>
          </cell>
          <cell r="P211">
            <v>5</v>
          </cell>
          <cell r="Q211">
            <v>0</v>
          </cell>
          <cell r="R211">
            <v>31</v>
          </cell>
          <cell r="S211">
            <v>52</v>
          </cell>
          <cell r="T211">
            <v>10</v>
          </cell>
          <cell r="U211">
            <v>11</v>
          </cell>
          <cell r="V211">
            <v>1</v>
          </cell>
          <cell r="W211">
            <v>12</v>
          </cell>
          <cell r="X211">
            <v>14</v>
          </cell>
          <cell r="Y211">
            <v>5</v>
          </cell>
          <cell r="Z211">
            <v>0</v>
          </cell>
          <cell r="AA211">
            <v>20</v>
          </cell>
          <cell r="AB211">
            <v>3</v>
          </cell>
          <cell r="AC211">
            <v>0</v>
          </cell>
          <cell r="AD211">
            <v>2</v>
          </cell>
          <cell r="AE211">
            <v>4</v>
          </cell>
          <cell r="AF211">
            <v>1</v>
          </cell>
          <cell r="AG211">
            <v>0</v>
          </cell>
          <cell r="AH211">
            <v>13</v>
          </cell>
          <cell r="AI211">
            <v>259</v>
          </cell>
          <cell r="AJ211">
            <v>52</v>
          </cell>
          <cell r="AK211">
            <v>25</v>
          </cell>
        </row>
        <row r="212">
          <cell r="C212">
            <v>350601003</v>
          </cell>
          <cell r="D212">
            <v>4</v>
          </cell>
          <cell r="E212">
            <v>1</v>
          </cell>
          <cell r="F212">
            <v>0</v>
          </cell>
          <cell r="G212">
            <v>0</v>
          </cell>
          <cell r="H212">
            <v>8</v>
          </cell>
          <cell r="I212">
            <v>2</v>
          </cell>
          <cell r="J212">
            <v>13</v>
          </cell>
          <cell r="K212">
            <v>4</v>
          </cell>
          <cell r="L212">
            <v>1</v>
          </cell>
          <cell r="M212">
            <v>4</v>
          </cell>
          <cell r="N212">
            <v>0</v>
          </cell>
          <cell r="O212">
            <v>9</v>
          </cell>
          <cell r="P212">
            <v>4</v>
          </cell>
          <cell r="Q212">
            <v>0</v>
          </cell>
          <cell r="R212">
            <v>15</v>
          </cell>
          <cell r="S212">
            <v>25</v>
          </cell>
          <cell r="T212">
            <v>0</v>
          </cell>
          <cell r="U212">
            <v>5</v>
          </cell>
          <cell r="V212">
            <v>7</v>
          </cell>
          <cell r="W212">
            <v>12</v>
          </cell>
          <cell r="X212">
            <v>0</v>
          </cell>
          <cell r="Y212">
            <v>1</v>
          </cell>
          <cell r="Z212">
            <v>0</v>
          </cell>
          <cell r="AA212">
            <v>30</v>
          </cell>
          <cell r="AB212">
            <v>10</v>
          </cell>
          <cell r="AC212">
            <v>0</v>
          </cell>
          <cell r="AD212">
            <v>7</v>
          </cell>
          <cell r="AE212">
            <v>31</v>
          </cell>
          <cell r="AF212">
            <v>10</v>
          </cell>
          <cell r="AG212">
            <v>0</v>
          </cell>
          <cell r="AH212">
            <v>7</v>
          </cell>
          <cell r="AI212">
            <v>210</v>
          </cell>
          <cell r="AJ212">
            <v>31</v>
          </cell>
          <cell r="AK212">
            <v>22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0</v>
          </cell>
          <cell r="G213">
            <v>1</v>
          </cell>
          <cell r="H213">
            <v>10</v>
          </cell>
          <cell r="I213">
            <v>2</v>
          </cell>
          <cell r="J213">
            <v>5</v>
          </cell>
          <cell r="K213">
            <v>1</v>
          </cell>
          <cell r="L213">
            <v>0</v>
          </cell>
          <cell r="M213">
            <v>0</v>
          </cell>
          <cell r="N213">
            <v>0</v>
          </cell>
          <cell r="O213">
            <v>12</v>
          </cell>
          <cell r="P213">
            <v>1</v>
          </cell>
          <cell r="Q213">
            <v>0</v>
          </cell>
          <cell r="R213">
            <v>11</v>
          </cell>
          <cell r="S213">
            <v>17</v>
          </cell>
          <cell r="T213">
            <v>0</v>
          </cell>
          <cell r="U213">
            <v>10</v>
          </cell>
          <cell r="V213">
            <v>5</v>
          </cell>
          <cell r="W213">
            <v>6</v>
          </cell>
          <cell r="X213">
            <v>0</v>
          </cell>
          <cell r="Y213">
            <v>0</v>
          </cell>
          <cell r="Z213">
            <v>0</v>
          </cell>
          <cell r="AA213">
            <v>15</v>
          </cell>
          <cell r="AB213">
            <v>8</v>
          </cell>
          <cell r="AC213">
            <v>0</v>
          </cell>
          <cell r="AD213">
            <v>5</v>
          </cell>
          <cell r="AE213">
            <v>25</v>
          </cell>
          <cell r="AF213">
            <v>14</v>
          </cell>
          <cell r="AG213">
            <v>0</v>
          </cell>
          <cell r="AH213">
            <v>4</v>
          </cell>
          <cell r="AI213">
            <v>152</v>
          </cell>
          <cell r="AJ213">
            <v>25</v>
          </cell>
          <cell r="AK213">
            <v>18</v>
          </cell>
        </row>
        <row r="214">
          <cell r="C214">
            <v>350601005</v>
          </cell>
          <cell r="D214">
            <v>5</v>
          </cell>
          <cell r="E214">
            <v>0</v>
          </cell>
          <cell r="F214">
            <v>10</v>
          </cell>
          <cell r="G214">
            <v>5</v>
          </cell>
          <cell r="H214">
            <v>0</v>
          </cell>
          <cell r="I214">
            <v>8</v>
          </cell>
          <cell r="J214">
            <v>14</v>
          </cell>
          <cell r="K214">
            <v>0</v>
          </cell>
          <cell r="L214">
            <v>3</v>
          </cell>
          <cell r="M214">
            <v>5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14</v>
          </cell>
          <cell r="S214">
            <v>0</v>
          </cell>
          <cell r="T214">
            <v>15</v>
          </cell>
          <cell r="U214">
            <v>0</v>
          </cell>
          <cell r="V214">
            <v>0</v>
          </cell>
          <cell r="W214">
            <v>23</v>
          </cell>
          <cell r="X214">
            <v>4</v>
          </cell>
          <cell r="Y214">
            <v>0</v>
          </cell>
          <cell r="Z214">
            <v>0</v>
          </cell>
          <cell r="AA214">
            <v>6</v>
          </cell>
          <cell r="AB214">
            <v>40</v>
          </cell>
          <cell r="AC214">
            <v>0</v>
          </cell>
          <cell r="AD214">
            <v>10</v>
          </cell>
          <cell r="AE214">
            <v>3</v>
          </cell>
          <cell r="AF214">
            <v>13</v>
          </cell>
          <cell r="AG214">
            <v>0</v>
          </cell>
          <cell r="AH214">
            <v>20</v>
          </cell>
          <cell r="AI214">
            <v>198</v>
          </cell>
          <cell r="AJ214">
            <v>40</v>
          </cell>
          <cell r="AK214">
            <v>17</v>
          </cell>
        </row>
        <row r="215">
          <cell r="C215">
            <v>350601006</v>
          </cell>
          <cell r="D215">
            <v>19</v>
          </cell>
          <cell r="E215">
            <v>0</v>
          </cell>
          <cell r="F215">
            <v>2</v>
          </cell>
          <cell r="G215">
            <v>11</v>
          </cell>
          <cell r="H215">
            <v>6</v>
          </cell>
          <cell r="I215">
            <v>8</v>
          </cell>
          <cell r="J215">
            <v>7</v>
          </cell>
          <cell r="K215">
            <v>3</v>
          </cell>
          <cell r="L215">
            <v>4</v>
          </cell>
          <cell r="M215">
            <v>12</v>
          </cell>
          <cell r="N215">
            <v>5</v>
          </cell>
          <cell r="O215">
            <v>4</v>
          </cell>
          <cell r="P215">
            <v>4</v>
          </cell>
          <cell r="Q215">
            <v>0</v>
          </cell>
          <cell r="R215">
            <v>7</v>
          </cell>
          <cell r="S215">
            <v>35</v>
          </cell>
          <cell r="T215">
            <v>1</v>
          </cell>
          <cell r="U215">
            <v>0</v>
          </cell>
          <cell r="V215">
            <v>0</v>
          </cell>
          <cell r="W215">
            <v>33</v>
          </cell>
          <cell r="X215">
            <v>22</v>
          </cell>
          <cell r="Y215">
            <v>1</v>
          </cell>
          <cell r="Z215">
            <v>0</v>
          </cell>
          <cell r="AA215">
            <v>3</v>
          </cell>
          <cell r="AB215">
            <v>15</v>
          </cell>
          <cell r="AC215">
            <v>1</v>
          </cell>
          <cell r="AD215">
            <v>7</v>
          </cell>
          <cell r="AE215">
            <v>10</v>
          </cell>
          <cell r="AF215">
            <v>11</v>
          </cell>
          <cell r="AG215">
            <v>0</v>
          </cell>
          <cell r="AH215">
            <v>38</v>
          </cell>
          <cell r="AI215">
            <v>269</v>
          </cell>
          <cell r="AJ215">
            <v>38</v>
          </cell>
          <cell r="AK215">
            <v>25</v>
          </cell>
        </row>
        <row r="216">
          <cell r="C216">
            <v>350601007</v>
          </cell>
          <cell r="D216">
            <v>10</v>
          </cell>
          <cell r="E216">
            <v>0</v>
          </cell>
          <cell r="F216">
            <v>0</v>
          </cell>
          <cell r="G216">
            <v>5</v>
          </cell>
          <cell r="H216">
            <v>0</v>
          </cell>
          <cell r="I216">
            <v>5</v>
          </cell>
          <cell r="J216">
            <v>20</v>
          </cell>
          <cell r="K216">
            <v>0</v>
          </cell>
          <cell r="L216">
            <v>5</v>
          </cell>
          <cell r="M216">
            <v>5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10</v>
          </cell>
          <cell r="S216">
            <v>10</v>
          </cell>
          <cell r="T216">
            <v>26</v>
          </cell>
          <cell r="U216">
            <v>0</v>
          </cell>
          <cell r="V216">
            <v>0</v>
          </cell>
          <cell r="W216">
            <v>45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35</v>
          </cell>
          <cell r="AC216">
            <v>85</v>
          </cell>
          <cell r="AD216">
            <v>15</v>
          </cell>
          <cell r="AE216">
            <v>5</v>
          </cell>
          <cell r="AF216">
            <v>35</v>
          </cell>
          <cell r="AG216">
            <v>0</v>
          </cell>
          <cell r="AH216">
            <v>30</v>
          </cell>
          <cell r="AI216">
            <v>346</v>
          </cell>
          <cell r="AJ216">
            <v>85</v>
          </cell>
          <cell r="AK216">
            <v>16</v>
          </cell>
        </row>
        <row r="217">
          <cell r="C217">
            <v>350601008</v>
          </cell>
          <cell r="D217">
            <v>25</v>
          </cell>
          <cell r="E217">
            <v>2</v>
          </cell>
          <cell r="F217">
            <v>6</v>
          </cell>
          <cell r="G217">
            <v>3</v>
          </cell>
          <cell r="H217">
            <v>0</v>
          </cell>
          <cell r="I217">
            <v>1</v>
          </cell>
          <cell r="J217">
            <v>20</v>
          </cell>
          <cell r="K217">
            <v>7</v>
          </cell>
          <cell r="L217">
            <v>11</v>
          </cell>
          <cell r="M217">
            <v>6</v>
          </cell>
          <cell r="N217">
            <v>0</v>
          </cell>
          <cell r="O217">
            <v>9</v>
          </cell>
          <cell r="P217">
            <v>22</v>
          </cell>
          <cell r="Q217">
            <v>2</v>
          </cell>
          <cell r="R217">
            <v>16</v>
          </cell>
          <cell r="S217">
            <v>47</v>
          </cell>
          <cell r="T217">
            <v>1</v>
          </cell>
          <cell r="U217">
            <v>0</v>
          </cell>
          <cell r="V217">
            <v>5</v>
          </cell>
          <cell r="W217">
            <v>55</v>
          </cell>
          <cell r="X217">
            <v>7</v>
          </cell>
          <cell r="Y217">
            <v>9</v>
          </cell>
          <cell r="Z217">
            <v>0</v>
          </cell>
          <cell r="AA217">
            <v>19</v>
          </cell>
          <cell r="AB217">
            <v>14</v>
          </cell>
          <cell r="AC217">
            <v>14</v>
          </cell>
          <cell r="AD217">
            <v>18</v>
          </cell>
          <cell r="AE217">
            <v>0</v>
          </cell>
          <cell r="AF217">
            <v>7</v>
          </cell>
          <cell r="AG217">
            <v>0</v>
          </cell>
          <cell r="AH217">
            <v>1</v>
          </cell>
          <cell r="AI217">
            <v>327</v>
          </cell>
          <cell r="AJ217">
            <v>55</v>
          </cell>
          <cell r="AK217">
            <v>25</v>
          </cell>
        </row>
        <row r="218">
          <cell r="C218">
            <v>350601009</v>
          </cell>
          <cell r="D218">
            <v>6</v>
          </cell>
          <cell r="E218">
            <v>0</v>
          </cell>
          <cell r="F218">
            <v>15</v>
          </cell>
          <cell r="G218">
            <v>0</v>
          </cell>
          <cell r="H218">
            <v>0</v>
          </cell>
          <cell r="I218">
            <v>2</v>
          </cell>
          <cell r="J218">
            <v>8</v>
          </cell>
          <cell r="K218">
            <v>0</v>
          </cell>
          <cell r="L218">
            <v>10</v>
          </cell>
          <cell r="M218">
            <v>3</v>
          </cell>
          <cell r="N218">
            <v>2</v>
          </cell>
          <cell r="O218">
            <v>38</v>
          </cell>
          <cell r="P218">
            <v>16</v>
          </cell>
          <cell r="Q218">
            <v>1</v>
          </cell>
          <cell r="R218">
            <v>14</v>
          </cell>
          <cell r="S218">
            <v>25</v>
          </cell>
          <cell r="T218">
            <v>6</v>
          </cell>
          <cell r="U218">
            <v>0</v>
          </cell>
          <cell r="V218">
            <v>0</v>
          </cell>
          <cell r="W218">
            <v>26</v>
          </cell>
          <cell r="X218">
            <v>4</v>
          </cell>
          <cell r="Y218">
            <v>7</v>
          </cell>
          <cell r="Z218">
            <v>0</v>
          </cell>
          <cell r="AA218">
            <v>57</v>
          </cell>
          <cell r="AB218">
            <v>31</v>
          </cell>
          <cell r="AC218">
            <v>0</v>
          </cell>
          <cell r="AD218">
            <v>19</v>
          </cell>
          <cell r="AE218">
            <v>0</v>
          </cell>
          <cell r="AF218">
            <v>6</v>
          </cell>
          <cell r="AG218">
            <v>0</v>
          </cell>
          <cell r="AH218">
            <v>0</v>
          </cell>
          <cell r="AI218">
            <v>296</v>
          </cell>
          <cell r="AJ218">
            <v>57</v>
          </cell>
          <cell r="AK218">
            <v>20</v>
          </cell>
        </row>
        <row r="219">
          <cell r="C219">
            <v>350601010</v>
          </cell>
          <cell r="D219">
            <v>20</v>
          </cell>
          <cell r="E219">
            <v>0</v>
          </cell>
          <cell r="F219">
            <v>8</v>
          </cell>
          <cell r="G219">
            <v>5</v>
          </cell>
          <cell r="H219">
            <v>3</v>
          </cell>
          <cell r="I219">
            <v>0</v>
          </cell>
          <cell r="J219">
            <v>6</v>
          </cell>
          <cell r="K219">
            <v>5</v>
          </cell>
          <cell r="L219">
            <v>32</v>
          </cell>
          <cell r="M219">
            <v>17</v>
          </cell>
          <cell r="N219">
            <v>2</v>
          </cell>
          <cell r="O219">
            <v>14</v>
          </cell>
          <cell r="P219">
            <v>57</v>
          </cell>
          <cell r="Q219">
            <v>3</v>
          </cell>
          <cell r="R219">
            <v>8</v>
          </cell>
          <cell r="S219">
            <v>54</v>
          </cell>
          <cell r="T219">
            <v>2</v>
          </cell>
          <cell r="U219">
            <v>0</v>
          </cell>
          <cell r="V219">
            <v>0</v>
          </cell>
          <cell r="W219">
            <v>17</v>
          </cell>
          <cell r="X219">
            <v>0</v>
          </cell>
          <cell r="Y219">
            <v>35</v>
          </cell>
          <cell r="Z219">
            <v>0</v>
          </cell>
          <cell r="AA219">
            <v>70</v>
          </cell>
          <cell r="AB219">
            <v>24</v>
          </cell>
          <cell r="AC219">
            <v>5</v>
          </cell>
          <cell r="AD219">
            <v>66</v>
          </cell>
          <cell r="AE219">
            <v>1</v>
          </cell>
          <cell r="AF219">
            <v>8</v>
          </cell>
          <cell r="AG219">
            <v>5</v>
          </cell>
          <cell r="AH219">
            <v>1</v>
          </cell>
          <cell r="AI219">
            <v>468</v>
          </cell>
          <cell r="AJ219">
            <v>70</v>
          </cell>
          <cell r="AK219">
            <v>25</v>
          </cell>
        </row>
        <row r="220">
          <cell r="C220">
            <v>350601011</v>
          </cell>
          <cell r="D220">
            <v>1</v>
          </cell>
          <cell r="E220">
            <v>0</v>
          </cell>
          <cell r="F220">
            <v>6</v>
          </cell>
          <cell r="G220">
            <v>2</v>
          </cell>
          <cell r="H220">
            <v>0</v>
          </cell>
          <cell r="I220">
            <v>0</v>
          </cell>
          <cell r="J220">
            <v>30</v>
          </cell>
          <cell r="K220">
            <v>2</v>
          </cell>
          <cell r="L220">
            <v>1</v>
          </cell>
          <cell r="M220">
            <v>6</v>
          </cell>
          <cell r="N220">
            <v>1</v>
          </cell>
          <cell r="O220">
            <v>16</v>
          </cell>
          <cell r="P220">
            <v>41</v>
          </cell>
          <cell r="Q220">
            <v>21</v>
          </cell>
          <cell r="R220">
            <v>5</v>
          </cell>
          <cell r="S220">
            <v>34</v>
          </cell>
          <cell r="T220">
            <v>16</v>
          </cell>
          <cell r="U220">
            <v>0</v>
          </cell>
          <cell r="V220">
            <v>0</v>
          </cell>
          <cell r="W220">
            <v>2</v>
          </cell>
          <cell r="X220">
            <v>10</v>
          </cell>
          <cell r="Y220">
            <v>13</v>
          </cell>
          <cell r="Z220">
            <v>1</v>
          </cell>
          <cell r="AA220">
            <v>39</v>
          </cell>
          <cell r="AB220">
            <v>102</v>
          </cell>
          <cell r="AC220">
            <v>9</v>
          </cell>
          <cell r="AD220">
            <v>27</v>
          </cell>
          <cell r="AE220">
            <v>1</v>
          </cell>
          <cell r="AF220">
            <v>13.5</v>
          </cell>
          <cell r="AG220">
            <v>25</v>
          </cell>
          <cell r="AH220">
            <v>1</v>
          </cell>
          <cell r="AI220">
            <v>425.5</v>
          </cell>
          <cell r="AJ220">
            <v>102</v>
          </cell>
          <cell r="AK220">
            <v>26</v>
          </cell>
        </row>
        <row r="221">
          <cell r="C221">
            <v>350601012</v>
          </cell>
          <cell r="D221">
            <v>2</v>
          </cell>
          <cell r="E221">
            <v>0</v>
          </cell>
          <cell r="F221">
            <v>1</v>
          </cell>
          <cell r="G221">
            <v>0</v>
          </cell>
          <cell r="H221">
            <v>0</v>
          </cell>
          <cell r="I221">
            <v>16</v>
          </cell>
          <cell r="J221">
            <v>1</v>
          </cell>
          <cell r="K221">
            <v>4</v>
          </cell>
          <cell r="L221">
            <v>0</v>
          </cell>
          <cell r="M221">
            <v>35</v>
          </cell>
          <cell r="N221">
            <v>5</v>
          </cell>
          <cell r="O221">
            <v>18</v>
          </cell>
          <cell r="P221">
            <v>11</v>
          </cell>
          <cell r="Q221">
            <v>5</v>
          </cell>
          <cell r="R221">
            <v>0</v>
          </cell>
          <cell r="S221">
            <v>23</v>
          </cell>
          <cell r="T221">
            <v>18</v>
          </cell>
          <cell r="U221">
            <v>12</v>
          </cell>
          <cell r="V221">
            <v>0</v>
          </cell>
          <cell r="W221">
            <v>1</v>
          </cell>
          <cell r="X221">
            <v>11</v>
          </cell>
          <cell r="Y221">
            <v>0</v>
          </cell>
          <cell r="Z221">
            <v>1</v>
          </cell>
          <cell r="AA221">
            <v>24</v>
          </cell>
          <cell r="AB221">
            <v>34</v>
          </cell>
          <cell r="AC221">
            <v>8</v>
          </cell>
          <cell r="AD221">
            <v>75</v>
          </cell>
          <cell r="AE221">
            <v>2</v>
          </cell>
          <cell r="AF221">
            <v>14</v>
          </cell>
          <cell r="AG221">
            <v>32</v>
          </cell>
          <cell r="AH221">
            <v>27</v>
          </cell>
          <cell r="AI221">
            <v>380</v>
          </cell>
          <cell r="AJ221">
            <v>75</v>
          </cell>
          <cell r="AK221">
            <v>24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4</v>
          </cell>
          <cell r="G222">
            <v>0</v>
          </cell>
          <cell r="H222">
            <v>11</v>
          </cell>
          <cell r="I222">
            <v>0</v>
          </cell>
          <cell r="J222">
            <v>11</v>
          </cell>
          <cell r="K222">
            <v>21</v>
          </cell>
          <cell r="L222">
            <v>1</v>
          </cell>
          <cell r="M222">
            <v>20</v>
          </cell>
          <cell r="N222">
            <v>8</v>
          </cell>
          <cell r="O222">
            <v>13</v>
          </cell>
          <cell r="P222">
            <v>67</v>
          </cell>
          <cell r="Q222">
            <v>7</v>
          </cell>
          <cell r="R222">
            <v>0</v>
          </cell>
          <cell r="S222">
            <v>27</v>
          </cell>
          <cell r="T222">
            <v>16</v>
          </cell>
          <cell r="U222">
            <v>25</v>
          </cell>
          <cell r="V222">
            <v>0</v>
          </cell>
          <cell r="W222">
            <v>1</v>
          </cell>
          <cell r="X222">
            <v>18</v>
          </cell>
          <cell r="Y222">
            <v>14</v>
          </cell>
          <cell r="Z222">
            <v>0</v>
          </cell>
          <cell r="AA222">
            <v>3</v>
          </cell>
          <cell r="AB222">
            <v>25</v>
          </cell>
          <cell r="AC222">
            <v>0</v>
          </cell>
          <cell r="AD222">
            <v>22</v>
          </cell>
          <cell r="AE222">
            <v>3</v>
          </cell>
          <cell r="AF222">
            <v>45</v>
          </cell>
          <cell r="AG222">
            <v>5</v>
          </cell>
          <cell r="AH222">
            <v>53</v>
          </cell>
          <cell r="AI222">
            <v>420</v>
          </cell>
          <cell r="AJ222">
            <v>67</v>
          </cell>
          <cell r="AK222">
            <v>23</v>
          </cell>
        </row>
        <row r="223">
          <cell r="C223">
            <v>350601014</v>
          </cell>
          <cell r="D223">
            <v>0</v>
          </cell>
          <cell r="E223">
            <v>1</v>
          </cell>
          <cell r="F223">
            <v>2</v>
          </cell>
          <cell r="G223">
            <v>6</v>
          </cell>
          <cell r="H223">
            <v>0</v>
          </cell>
          <cell r="I223">
            <v>14</v>
          </cell>
          <cell r="J223">
            <v>12</v>
          </cell>
          <cell r="K223">
            <v>9</v>
          </cell>
          <cell r="L223">
            <v>0</v>
          </cell>
          <cell r="M223">
            <v>45</v>
          </cell>
          <cell r="N223">
            <v>0</v>
          </cell>
          <cell r="O223">
            <v>8</v>
          </cell>
          <cell r="P223">
            <v>16</v>
          </cell>
          <cell r="Q223">
            <v>30</v>
          </cell>
          <cell r="R223">
            <v>8</v>
          </cell>
          <cell r="S223">
            <v>14</v>
          </cell>
          <cell r="T223">
            <v>20</v>
          </cell>
          <cell r="U223">
            <v>16</v>
          </cell>
          <cell r="V223">
            <v>0</v>
          </cell>
          <cell r="W223">
            <v>5</v>
          </cell>
          <cell r="X223">
            <v>20</v>
          </cell>
          <cell r="Y223">
            <v>13</v>
          </cell>
          <cell r="Z223">
            <v>0</v>
          </cell>
          <cell r="AA223">
            <v>19</v>
          </cell>
          <cell r="AB223">
            <v>9</v>
          </cell>
          <cell r="AC223">
            <v>1</v>
          </cell>
          <cell r="AD223">
            <v>10</v>
          </cell>
          <cell r="AE223">
            <v>9</v>
          </cell>
          <cell r="AF223">
            <v>23</v>
          </cell>
          <cell r="AG223">
            <v>11</v>
          </cell>
          <cell r="AH223">
            <v>0</v>
          </cell>
          <cell r="AI223">
            <v>321</v>
          </cell>
          <cell r="AJ223">
            <v>45</v>
          </cell>
          <cell r="AK223">
            <v>24</v>
          </cell>
        </row>
        <row r="224">
          <cell r="C224">
            <v>350601015</v>
          </cell>
          <cell r="D224">
            <v>6</v>
          </cell>
          <cell r="E224">
            <v>0</v>
          </cell>
          <cell r="F224">
            <v>0</v>
          </cell>
          <cell r="G224">
            <v>0</v>
          </cell>
          <cell r="H224">
            <v>5</v>
          </cell>
          <cell r="I224">
            <v>4</v>
          </cell>
          <cell r="J224">
            <v>9</v>
          </cell>
          <cell r="K224">
            <v>1</v>
          </cell>
          <cell r="L224">
            <v>0</v>
          </cell>
          <cell r="M224">
            <v>4</v>
          </cell>
          <cell r="N224">
            <v>0</v>
          </cell>
          <cell r="O224">
            <v>3</v>
          </cell>
          <cell r="P224">
            <v>1</v>
          </cell>
          <cell r="Q224">
            <v>3</v>
          </cell>
          <cell r="R224">
            <v>16</v>
          </cell>
          <cell r="S224">
            <v>21</v>
          </cell>
          <cell r="T224">
            <v>2</v>
          </cell>
          <cell r="U224">
            <v>9</v>
          </cell>
          <cell r="V224">
            <v>4</v>
          </cell>
          <cell r="W224">
            <v>8</v>
          </cell>
          <cell r="X224">
            <v>3</v>
          </cell>
          <cell r="Y224">
            <v>2</v>
          </cell>
          <cell r="Z224">
            <v>0</v>
          </cell>
          <cell r="AA224">
            <v>38</v>
          </cell>
          <cell r="AB224">
            <v>19</v>
          </cell>
          <cell r="AC224">
            <v>0</v>
          </cell>
          <cell r="AD224">
            <v>14</v>
          </cell>
          <cell r="AE224">
            <v>26</v>
          </cell>
          <cell r="AF224">
            <v>12</v>
          </cell>
          <cell r="AG224">
            <v>0</v>
          </cell>
          <cell r="AH224">
            <v>9</v>
          </cell>
          <cell r="AI224">
            <v>219</v>
          </cell>
          <cell r="AJ224">
            <v>38</v>
          </cell>
          <cell r="AK224">
            <v>23</v>
          </cell>
        </row>
        <row r="225">
          <cell r="C225">
            <v>350125006</v>
          </cell>
          <cell r="D225">
            <v>72</v>
          </cell>
          <cell r="E225">
            <v>0</v>
          </cell>
          <cell r="F225">
            <v>0</v>
          </cell>
          <cell r="G225">
            <v>1</v>
          </cell>
          <cell r="H225">
            <v>19</v>
          </cell>
          <cell r="I225">
            <v>14</v>
          </cell>
          <cell r="J225">
            <v>4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4</v>
          </cell>
          <cell r="S225">
            <v>3</v>
          </cell>
          <cell r="T225">
            <v>0</v>
          </cell>
          <cell r="U225">
            <v>0</v>
          </cell>
          <cell r="V225">
            <v>0</v>
          </cell>
          <cell r="W225">
            <v>3</v>
          </cell>
          <cell r="X225">
            <v>6</v>
          </cell>
          <cell r="Y225">
            <v>30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8</v>
          </cell>
          <cell r="AF225">
            <v>0</v>
          </cell>
          <cell r="AG225">
            <v>0</v>
          </cell>
          <cell r="AH225">
            <v>0</v>
          </cell>
          <cell r="AI225">
            <v>164</v>
          </cell>
          <cell r="AJ225">
            <v>72</v>
          </cell>
          <cell r="AK225">
            <v>11</v>
          </cell>
        </row>
        <row r="226">
          <cell r="C226">
            <v>350125007</v>
          </cell>
          <cell r="D226">
            <v>25</v>
          </cell>
          <cell r="E226">
            <v>0</v>
          </cell>
          <cell r="F226">
            <v>3</v>
          </cell>
          <cell r="G226">
            <v>0</v>
          </cell>
          <cell r="H226">
            <v>25</v>
          </cell>
          <cell r="I226">
            <v>0</v>
          </cell>
          <cell r="J226">
            <v>5</v>
          </cell>
          <cell r="K226">
            <v>0</v>
          </cell>
          <cell r="L226">
            <v>35</v>
          </cell>
          <cell r="M226">
            <v>0</v>
          </cell>
          <cell r="N226">
            <v>27</v>
          </cell>
          <cell r="O226">
            <v>0</v>
          </cell>
          <cell r="P226">
            <v>0</v>
          </cell>
          <cell r="Q226">
            <v>5</v>
          </cell>
          <cell r="R226">
            <v>0</v>
          </cell>
          <cell r="S226">
            <v>37</v>
          </cell>
          <cell r="T226">
            <v>0</v>
          </cell>
          <cell r="U226">
            <v>0</v>
          </cell>
          <cell r="V226">
            <v>70</v>
          </cell>
          <cell r="W226">
            <v>0</v>
          </cell>
          <cell r="X226">
            <v>0</v>
          </cell>
          <cell r="Y226">
            <v>20</v>
          </cell>
          <cell r="Z226">
            <v>0</v>
          </cell>
          <cell r="AA226">
            <v>0</v>
          </cell>
          <cell r="AB226">
            <v>0</v>
          </cell>
          <cell r="AC226">
            <v>5</v>
          </cell>
          <cell r="AD226">
            <v>3</v>
          </cell>
          <cell r="AE226">
            <v>40</v>
          </cell>
          <cell r="AF226">
            <v>0</v>
          </cell>
          <cell r="AG226">
            <v>70</v>
          </cell>
          <cell r="AH226">
            <v>7</v>
          </cell>
          <cell r="AI226">
            <v>377</v>
          </cell>
          <cell r="AJ226">
            <v>70</v>
          </cell>
          <cell r="AK226">
            <v>15</v>
          </cell>
        </row>
        <row r="227">
          <cell r="C227">
            <v>350125008</v>
          </cell>
          <cell r="D227">
            <v>94</v>
          </cell>
          <cell r="E227">
            <v>0</v>
          </cell>
          <cell r="F227">
            <v>25</v>
          </cell>
          <cell r="G227">
            <v>0</v>
          </cell>
          <cell r="H227">
            <v>12</v>
          </cell>
          <cell r="I227">
            <v>36</v>
          </cell>
          <cell r="J227">
            <v>17</v>
          </cell>
          <cell r="K227">
            <v>0</v>
          </cell>
          <cell r="L227">
            <v>0</v>
          </cell>
          <cell r="M227">
            <v>0</v>
          </cell>
          <cell r="N227">
            <v>2</v>
          </cell>
          <cell r="O227">
            <v>0</v>
          </cell>
          <cell r="P227">
            <v>0</v>
          </cell>
          <cell r="Q227">
            <v>0</v>
          </cell>
          <cell r="R227">
            <v>3</v>
          </cell>
          <cell r="S227">
            <v>1</v>
          </cell>
          <cell r="T227">
            <v>0</v>
          </cell>
          <cell r="U227">
            <v>3</v>
          </cell>
          <cell r="V227">
            <v>13</v>
          </cell>
          <cell r="W227">
            <v>9</v>
          </cell>
          <cell r="X227">
            <v>9</v>
          </cell>
          <cell r="Y227">
            <v>25</v>
          </cell>
          <cell r="Z227">
            <v>11</v>
          </cell>
          <cell r="AA227">
            <v>0</v>
          </cell>
          <cell r="AB227">
            <v>0</v>
          </cell>
          <cell r="AC227">
            <v>1</v>
          </cell>
          <cell r="AD227">
            <v>0</v>
          </cell>
          <cell r="AE227">
            <v>0</v>
          </cell>
          <cell r="AF227">
            <v>0</v>
          </cell>
          <cell r="AG227">
            <v>6</v>
          </cell>
          <cell r="AH227">
            <v>0</v>
          </cell>
          <cell r="AI227">
            <v>267</v>
          </cell>
          <cell r="AJ227">
            <v>94</v>
          </cell>
          <cell r="AK227">
            <v>16</v>
          </cell>
        </row>
        <row r="228">
          <cell r="C228">
            <v>350125009</v>
          </cell>
          <cell r="D228">
            <v>56</v>
          </cell>
          <cell r="E228">
            <v>13</v>
          </cell>
          <cell r="F228">
            <v>71</v>
          </cell>
          <cell r="G228">
            <v>0</v>
          </cell>
          <cell r="H228">
            <v>38</v>
          </cell>
          <cell r="I228">
            <v>64</v>
          </cell>
          <cell r="J228">
            <v>37</v>
          </cell>
          <cell r="K228">
            <v>0</v>
          </cell>
          <cell r="L228">
            <v>0</v>
          </cell>
          <cell r="M228">
            <v>0</v>
          </cell>
          <cell r="N228">
            <v>15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62</v>
          </cell>
          <cell r="W228">
            <v>5</v>
          </cell>
          <cell r="X228">
            <v>16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7</v>
          </cell>
          <cell r="AH228">
            <v>0</v>
          </cell>
          <cell r="AI228">
            <v>384</v>
          </cell>
          <cell r="AJ228">
            <v>71</v>
          </cell>
          <cell r="AK228">
            <v>11</v>
          </cell>
        </row>
        <row r="229">
          <cell r="C229">
            <v>350125010</v>
          </cell>
          <cell r="D229">
            <v>38</v>
          </cell>
          <cell r="E229">
            <v>0</v>
          </cell>
          <cell r="F229">
            <v>13</v>
          </cell>
          <cell r="G229">
            <v>0</v>
          </cell>
          <cell r="H229">
            <v>14</v>
          </cell>
          <cell r="I229">
            <v>42</v>
          </cell>
          <cell r="J229">
            <v>0</v>
          </cell>
          <cell r="K229">
            <v>28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4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3</v>
          </cell>
          <cell r="X229">
            <v>12</v>
          </cell>
          <cell r="Y229">
            <v>7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4</v>
          </cell>
          <cell r="AH229">
            <v>0</v>
          </cell>
          <cell r="AI229">
            <v>165</v>
          </cell>
          <cell r="AJ229">
            <v>42</v>
          </cell>
          <cell r="AK229">
            <v>10</v>
          </cell>
        </row>
        <row r="230">
          <cell r="C230">
            <v>350125011</v>
          </cell>
          <cell r="D230">
            <v>12</v>
          </cell>
          <cell r="E230">
            <v>1</v>
          </cell>
          <cell r="F230">
            <v>5</v>
          </cell>
          <cell r="G230">
            <v>0</v>
          </cell>
          <cell r="H230">
            <v>23</v>
          </cell>
          <cell r="I230">
            <v>9</v>
          </cell>
          <cell r="J230">
            <v>8</v>
          </cell>
          <cell r="K230">
            <v>2</v>
          </cell>
          <cell r="L230">
            <v>7</v>
          </cell>
          <cell r="M230">
            <v>3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4</v>
          </cell>
          <cell r="T230">
            <v>0</v>
          </cell>
          <cell r="U230">
            <v>0</v>
          </cell>
          <cell r="V230">
            <v>1</v>
          </cell>
          <cell r="W230">
            <v>3</v>
          </cell>
          <cell r="X230">
            <v>2</v>
          </cell>
          <cell r="Y230">
            <v>15</v>
          </cell>
          <cell r="Z230">
            <v>2</v>
          </cell>
          <cell r="AA230">
            <v>0</v>
          </cell>
          <cell r="AB230">
            <v>0</v>
          </cell>
          <cell r="AC230">
            <v>25</v>
          </cell>
          <cell r="AD230">
            <v>1</v>
          </cell>
          <cell r="AE230">
            <v>4</v>
          </cell>
          <cell r="AF230">
            <v>0</v>
          </cell>
          <cell r="AG230">
            <v>9</v>
          </cell>
          <cell r="AH230">
            <v>0</v>
          </cell>
          <cell r="AI230">
            <v>136</v>
          </cell>
          <cell r="AJ230">
            <v>25</v>
          </cell>
          <cell r="AK230">
            <v>19</v>
          </cell>
        </row>
        <row r="231">
          <cell r="C231">
            <v>350125012</v>
          </cell>
          <cell r="D231">
            <v>38</v>
          </cell>
          <cell r="E231">
            <v>0</v>
          </cell>
          <cell r="F231">
            <v>0</v>
          </cell>
          <cell r="G231">
            <v>3.5</v>
          </cell>
          <cell r="H231">
            <v>12</v>
          </cell>
          <cell r="I231">
            <v>0</v>
          </cell>
          <cell r="J231">
            <v>52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18</v>
          </cell>
          <cell r="X231">
            <v>19.5</v>
          </cell>
          <cell r="Y231">
            <v>24</v>
          </cell>
          <cell r="Z231">
            <v>1</v>
          </cell>
          <cell r="AA231">
            <v>48</v>
          </cell>
          <cell r="AB231">
            <v>0</v>
          </cell>
          <cell r="AC231">
            <v>28</v>
          </cell>
          <cell r="AD231">
            <v>8</v>
          </cell>
          <cell r="AE231">
            <v>13</v>
          </cell>
          <cell r="AF231">
            <v>0</v>
          </cell>
          <cell r="AG231">
            <v>0</v>
          </cell>
          <cell r="AH231">
            <v>0</v>
          </cell>
          <cell r="AI231">
            <v>266</v>
          </cell>
          <cell r="AJ231">
            <v>52</v>
          </cell>
          <cell r="AK231">
            <v>13</v>
          </cell>
        </row>
        <row r="232">
          <cell r="C232">
            <v>350125013</v>
          </cell>
          <cell r="D232">
            <v>30</v>
          </cell>
          <cell r="E232">
            <v>10</v>
          </cell>
          <cell r="F232">
            <v>5</v>
          </cell>
          <cell r="G232">
            <v>0</v>
          </cell>
          <cell r="H232">
            <v>10</v>
          </cell>
          <cell r="I232">
            <v>0</v>
          </cell>
          <cell r="J232">
            <v>8</v>
          </cell>
          <cell r="K232">
            <v>10</v>
          </cell>
          <cell r="L232">
            <v>0</v>
          </cell>
          <cell r="M232">
            <v>0</v>
          </cell>
          <cell r="N232">
            <v>0</v>
          </cell>
          <cell r="O232">
            <v>5</v>
          </cell>
          <cell r="P232">
            <v>0</v>
          </cell>
          <cell r="Q232">
            <v>5</v>
          </cell>
          <cell r="R232">
            <v>10</v>
          </cell>
          <cell r="S232">
            <v>0</v>
          </cell>
          <cell r="T232">
            <v>0</v>
          </cell>
          <cell r="U232">
            <v>5</v>
          </cell>
          <cell r="V232">
            <v>8</v>
          </cell>
          <cell r="W232">
            <v>5</v>
          </cell>
          <cell r="X232">
            <v>5</v>
          </cell>
          <cell r="Y232">
            <v>0</v>
          </cell>
          <cell r="Z232">
            <v>5</v>
          </cell>
          <cell r="AA232">
            <v>5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5</v>
          </cell>
          <cell r="AH232">
            <v>0</v>
          </cell>
          <cell r="AI232">
            <v>131</v>
          </cell>
          <cell r="AJ232">
            <v>30</v>
          </cell>
          <cell r="AK232">
            <v>16</v>
          </cell>
        </row>
        <row r="233">
          <cell r="C233">
            <v>350125014</v>
          </cell>
          <cell r="D233">
            <v>32</v>
          </cell>
          <cell r="E233">
            <v>0</v>
          </cell>
          <cell r="F233">
            <v>41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37</v>
          </cell>
          <cell r="M233">
            <v>26</v>
          </cell>
          <cell r="N233">
            <v>21</v>
          </cell>
          <cell r="O233">
            <v>0</v>
          </cell>
          <cell r="P233">
            <v>29</v>
          </cell>
          <cell r="Q233">
            <v>76</v>
          </cell>
          <cell r="R233">
            <v>0</v>
          </cell>
          <cell r="S233">
            <v>7</v>
          </cell>
          <cell r="T233">
            <v>0</v>
          </cell>
          <cell r="U233">
            <v>0</v>
          </cell>
          <cell r="V233">
            <v>2</v>
          </cell>
          <cell r="W233">
            <v>38</v>
          </cell>
          <cell r="X233">
            <v>19</v>
          </cell>
          <cell r="Y233">
            <v>24</v>
          </cell>
          <cell r="Z233">
            <v>5</v>
          </cell>
          <cell r="AA233">
            <v>9</v>
          </cell>
          <cell r="AB233">
            <v>0</v>
          </cell>
          <cell r="AC233">
            <v>17</v>
          </cell>
          <cell r="AD233">
            <v>8</v>
          </cell>
          <cell r="AE233">
            <v>5</v>
          </cell>
          <cell r="AF233">
            <v>0</v>
          </cell>
          <cell r="AG233">
            <v>34</v>
          </cell>
          <cell r="AH233">
            <v>16</v>
          </cell>
          <cell r="AI233">
            <v>446</v>
          </cell>
          <cell r="AJ233">
            <v>76</v>
          </cell>
          <cell r="AK233">
            <v>19</v>
          </cell>
        </row>
        <row r="234">
          <cell r="C234">
            <v>350125015</v>
          </cell>
          <cell r="D234">
            <v>14</v>
          </cell>
          <cell r="E234">
            <v>0</v>
          </cell>
          <cell r="F234">
            <v>34</v>
          </cell>
          <cell r="G234">
            <v>3</v>
          </cell>
          <cell r="H234">
            <v>11</v>
          </cell>
          <cell r="I234">
            <v>0</v>
          </cell>
          <cell r="J234">
            <v>0</v>
          </cell>
          <cell r="K234">
            <v>0</v>
          </cell>
          <cell r="L234">
            <v>33</v>
          </cell>
          <cell r="M234">
            <v>78</v>
          </cell>
          <cell r="N234">
            <v>11</v>
          </cell>
          <cell r="O234">
            <v>0</v>
          </cell>
          <cell r="P234">
            <v>13</v>
          </cell>
          <cell r="Q234">
            <v>20</v>
          </cell>
          <cell r="R234">
            <v>13</v>
          </cell>
          <cell r="S234">
            <v>1</v>
          </cell>
          <cell r="T234">
            <v>4</v>
          </cell>
          <cell r="U234">
            <v>8</v>
          </cell>
          <cell r="V234">
            <v>28</v>
          </cell>
          <cell r="W234">
            <v>2</v>
          </cell>
          <cell r="X234">
            <v>7</v>
          </cell>
          <cell r="Y234">
            <v>13</v>
          </cell>
          <cell r="Z234">
            <v>3</v>
          </cell>
          <cell r="AA234">
            <v>0</v>
          </cell>
          <cell r="AB234">
            <v>0</v>
          </cell>
          <cell r="AC234">
            <v>0</v>
          </cell>
          <cell r="AD234">
            <v>2</v>
          </cell>
          <cell r="AE234">
            <v>2</v>
          </cell>
          <cell r="AF234">
            <v>0</v>
          </cell>
          <cell r="AG234">
            <v>2</v>
          </cell>
          <cell r="AH234">
            <v>0</v>
          </cell>
          <cell r="AI234">
            <v>302</v>
          </cell>
          <cell r="AJ234">
            <v>78</v>
          </cell>
          <cell r="AK234">
            <v>21</v>
          </cell>
        </row>
        <row r="235">
          <cell r="C235">
            <v>350122032</v>
          </cell>
          <cell r="D235">
            <v>8</v>
          </cell>
          <cell r="E235">
            <v>14</v>
          </cell>
          <cell r="F235">
            <v>1</v>
          </cell>
          <cell r="G235">
            <v>0</v>
          </cell>
          <cell r="H235">
            <v>21</v>
          </cell>
          <cell r="I235">
            <v>3</v>
          </cell>
          <cell r="J235">
            <v>1</v>
          </cell>
          <cell r="K235">
            <v>28</v>
          </cell>
          <cell r="L235">
            <v>3</v>
          </cell>
          <cell r="M235">
            <v>0</v>
          </cell>
          <cell r="N235">
            <v>12</v>
          </cell>
          <cell r="O235">
            <v>1</v>
          </cell>
          <cell r="P235">
            <v>2</v>
          </cell>
          <cell r="Q235">
            <v>25</v>
          </cell>
          <cell r="R235">
            <v>19</v>
          </cell>
          <cell r="S235">
            <v>4</v>
          </cell>
          <cell r="T235">
            <v>0</v>
          </cell>
          <cell r="U235">
            <v>0</v>
          </cell>
          <cell r="V235">
            <v>17</v>
          </cell>
          <cell r="W235">
            <v>3</v>
          </cell>
          <cell r="X235">
            <v>6</v>
          </cell>
          <cell r="Y235">
            <v>5</v>
          </cell>
          <cell r="Z235">
            <v>1</v>
          </cell>
          <cell r="AA235">
            <v>0</v>
          </cell>
          <cell r="AB235">
            <v>0</v>
          </cell>
          <cell r="AC235">
            <v>0</v>
          </cell>
          <cell r="AD235">
            <v>24</v>
          </cell>
          <cell r="AE235">
            <v>0</v>
          </cell>
          <cell r="AF235">
            <v>0</v>
          </cell>
          <cell r="AG235">
            <v>0</v>
          </cell>
          <cell r="AH235">
            <v>1</v>
          </cell>
          <cell r="AI235">
            <v>199</v>
          </cell>
          <cell r="AJ235">
            <v>28</v>
          </cell>
          <cell r="AK235">
            <v>21</v>
          </cell>
        </row>
      </sheetData>
      <sheetData sheetId="5">
        <row r="8">
          <cell r="C8">
            <v>350125005</v>
          </cell>
          <cell r="D8">
            <v>43</v>
          </cell>
          <cell r="E8">
            <v>9</v>
          </cell>
          <cell r="F8">
            <v>57</v>
          </cell>
          <cell r="G8">
            <v>22</v>
          </cell>
          <cell r="H8">
            <v>11</v>
          </cell>
          <cell r="I8">
            <v>0</v>
          </cell>
          <cell r="J8">
            <v>57</v>
          </cell>
          <cell r="K8">
            <v>0</v>
          </cell>
          <cell r="L8">
            <v>19</v>
          </cell>
          <cell r="M8">
            <v>8</v>
          </cell>
          <cell r="N8">
            <v>0</v>
          </cell>
          <cell r="O8">
            <v>29</v>
          </cell>
          <cell r="P8">
            <v>0</v>
          </cell>
          <cell r="Q8">
            <v>0</v>
          </cell>
          <cell r="R8">
            <v>17</v>
          </cell>
          <cell r="S8">
            <v>0</v>
          </cell>
          <cell r="T8">
            <v>16</v>
          </cell>
          <cell r="U8">
            <v>0</v>
          </cell>
          <cell r="V8">
            <v>0</v>
          </cell>
          <cell r="W8">
            <v>76</v>
          </cell>
          <cell r="X8">
            <v>49</v>
          </cell>
          <cell r="Y8">
            <v>23</v>
          </cell>
          <cell r="Z8">
            <v>0</v>
          </cell>
          <cell r="AA8">
            <v>0</v>
          </cell>
          <cell r="AB8">
            <v>0</v>
          </cell>
          <cell r="AC8">
            <v>6</v>
          </cell>
          <cell r="AD8">
            <v>9</v>
          </cell>
          <cell r="AE8">
            <v>0</v>
          </cell>
          <cell r="AF8">
            <v>11</v>
          </cell>
          <cell r="AG8">
            <v>15</v>
          </cell>
          <cell r="AH8"/>
          <cell r="AI8">
            <v>477</v>
          </cell>
          <cell r="AJ8">
            <v>76</v>
          </cell>
          <cell r="AK8">
            <v>18</v>
          </cell>
        </row>
        <row r="9"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17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2</v>
          </cell>
          <cell r="M9">
            <v>10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8</v>
          </cell>
          <cell r="W9">
            <v>27</v>
          </cell>
          <cell r="X9">
            <v>0</v>
          </cell>
          <cell r="Y9">
            <v>22</v>
          </cell>
          <cell r="Z9">
            <v>0</v>
          </cell>
          <cell r="AA9">
            <v>0</v>
          </cell>
          <cell r="AB9">
            <v>26</v>
          </cell>
          <cell r="AC9">
            <v>2</v>
          </cell>
          <cell r="AD9">
            <v>2</v>
          </cell>
          <cell r="AE9">
            <v>6</v>
          </cell>
          <cell r="AF9">
            <v>29</v>
          </cell>
          <cell r="AG9">
            <v>0</v>
          </cell>
          <cell r="AH9"/>
          <cell r="AI9">
            <v>153</v>
          </cell>
          <cell r="AJ9">
            <v>29</v>
          </cell>
          <cell r="AK9">
            <v>12</v>
          </cell>
        </row>
        <row r="10">
          <cell r="C10">
            <v>350125003</v>
          </cell>
          <cell r="D10">
            <v>0</v>
          </cell>
          <cell r="E10">
            <v>0</v>
          </cell>
          <cell r="F10">
            <v>0</v>
          </cell>
          <cell r="G10">
            <v>16.5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2.5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8</v>
          </cell>
          <cell r="U10">
            <v>0</v>
          </cell>
          <cell r="V10">
            <v>0</v>
          </cell>
          <cell r="W10">
            <v>8.5</v>
          </cell>
          <cell r="X10">
            <v>0</v>
          </cell>
          <cell r="Y10">
            <v>11.5</v>
          </cell>
          <cell r="Z10">
            <v>4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21.5</v>
          </cell>
          <cell r="AF10">
            <v>40</v>
          </cell>
          <cell r="AG10">
            <v>0</v>
          </cell>
          <cell r="AH10"/>
          <cell r="AI10">
            <v>112.5</v>
          </cell>
          <cell r="AJ10">
            <v>40</v>
          </cell>
          <cell r="AK10">
            <v>8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59</v>
          </cell>
          <cell r="X11">
            <v>0</v>
          </cell>
          <cell r="Y11">
            <v>3</v>
          </cell>
          <cell r="Z11">
            <v>0</v>
          </cell>
          <cell r="AA11">
            <v>1</v>
          </cell>
          <cell r="AB11">
            <v>0</v>
          </cell>
          <cell r="AC11">
            <v>18</v>
          </cell>
          <cell r="AD11">
            <v>0</v>
          </cell>
          <cell r="AE11">
            <v>6</v>
          </cell>
          <cell r="AF11">
            <v>19</v>
          </cell>
          <cell r="AG11">
            <v>0</v>
          </cell>
          <cell r="AH11"/>
          <cell r="AI11">
            <v>108</v>
          </cell>
          <cell r="AJ11">
            <v>59</v>
          </cell>
          <cell r="AK11">
            <v>7</v>
          </cell>
        </row>
        <row r="12">
          <cell r="C12">
            <v>350125001</v>
          </cell>
          <cell r="D12">
            <v>5</v>
          </cell>
          <cell r="E12">
            <v>0</v>
          </cell>
          <cell r="F12">
            <v>0</v>
          </cell>
          <cell r="G12">
            <v>42</v>
          </cell>
          <cell r="H12">
            <v>0</v>
          </cell>
          <cell r="I12">
            <v>0</v>
          </cell>
          <cell r="J12">
            <v>0</v>
          </cell>
          <cell r="K12">
            <v>18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5</v>
          </cell>
          <cell r="X12">
            <v>0</v>
          </cell>
          <cell r="Y12">
            <v>9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17</v>
          </cell>
          <cell r="AG12">
            <v>0</v>
          </cell>
          <cell r="AH12"/>
          <cell r="AI12">
            <v>96</v>
          </cell>
          <cell r="AJ12">
            <v>42</v>
          </cell>
          <cell r="AK12">
            <v>6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10</v>
          </cell>
          <cell r="G13">
            <v>51</v>
          </cell>
          <cell r="H13">
            <v>0</v>
          </cell>
          <cell r="I13">
            <v>0</v>
          </cell>
          <cell r="J13">
            <v>0</v>
          </cell>
          <cell r="K13">
            <v>34</v>
          </cell>
          <cell r="L13">
            <v>0</v>
          </cell>
          <cell r="M13">
            <v>43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83</v>
          </cell>
          <cell r="X13">
            <v>1</v>
          </cell>
          <cell r="Y13">
            <v>11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47</v>
          </cell>
          <cell r="AG13">
            <v>0</v>
          </cell>
          <cell r="AH13"/>
          <cell r="AI13">
            <v>283</v>
          </cell>
          <cell r="AJ13">
            <v>83</v>
          </cell>
          <cell r="AK13">
            <v>9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6</v>
          </cell>
          <cell r="G14">
            <v>11</v>
          </cell>
          <cell r="H14">
            <v>0</v>
          </cell>
          <cell r="I14">
            <v>0</v>
          </cell>
          <cell r="J14">
            <v>0</v>
          </cell>
          <cell r="K14">
            <v>20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85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4</v>
          </cell>
          <cell r="AD14">
            <v>0</v>
          </cell>
          <cell r="AE14">
            <v>29</v>
          </cell>
          <cell r="AF14">
            <v>36</v>
          </cell>
          <cell r="AG14">
            <v>6</v>
          </cell>
          <cell r="AH14"/>
          <cell r="AI14">
            <v>197</v>
          </cell>
          <cell r="AJ14">
            <v>85</v>
          </cell>
          <cell r="AK14">
            <v>8</v>
          </cell>
        </row>
        <row r="15">
          <cell r="C15">
            <v>350124022</v>
          </cell>
          <cell r="D15">
            <v>0</v>
          </cell>
          <cell r="E15">
            <v>0</v>
          </cell>
          <cell r="F15">
            <v>0</v>
          </cell>
          <cell r="G15">
            <v>57</v>
          </cell>
          <cell r="H15">
            <v>0</v>
          </cell>
          <cell r="I15">
            <v>5</v>
          </cell>
          <cell r="J15">
            <v>0</v>
          </cell>
          <cell r="K15">
            <v>0</v>
          </cell>
          <cell r="L15">
            <v>13</v>
          </cell>
          <cell r="M15">
            <v>32</v>
          </cell>
          <cell r="N15">
            <v>1.5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51.5</v>
          </cell>
          <cell r="X15">
            <v>0</v>
          </cell>
          <cell r="Y15">
            <v>0</v>
          </cell>
          <cell r="Z15">
            <v>0</v>
          </cell>
          <cell r="AA15">
            <v>29</v>
          </cell>
          <cell r="AB15">
            <v>0</v>
          </cell>
          <cell r="AC15">
            <v>37</v>
          </cell>
          <cell r="AD15">
            <v>0</v>
          </cell>
          <cell r="AE15">
            <v>0</v>
          </cell>
          <cell r="AF15">
            <v>11</v>
          </cell>
          <cell r="AG15">
            <v>0</v>
          </cell>
          <cell r="AH15"/>
          <cell r="AI15">
            <v>237</v>
          </cell>
          <cell r="AJ15">
            <v>57</v>
          </cell>
          <cell r="AK15">
            <v>9</v>
          </cell>
        </row>
        <row r="16">
          <cell r="C16">
            <v>350124021</v>
          </cell>
          <cell r="D16">
            <v>0</v>
          </cell>
          <cell r="E16">
            <v>0</v>
          </cell>
          <cell r="F16">
            <v>0</v>
          </cell>
          <cell r="G16">
            <v>83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6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71</v>
          </cell>
          <cell r="X16">
            <v>0</v>
          </cell>
          <cell r="Y16">
            <v>4</v>
          </cell>
          <cell r="Z16">
            <v>4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13</v>
          </cell>
          <cell r="AG16">
            <v>0</v>
          </cell>
          <cell r="AH16"/>
          <cell r="AI16">
            <v>182</v>
          </cell>
          <cell r="AJ16">
            <v>83</v>
          </cell>
          <cell r="AK16">
            <v>7</v>
          </cell>
        </row>
        <row r="17">
          <cell r="C17">
            <v>350124020</v>
          </cell>
          <cell r="D17">
            <v>0</v>
          </cell>
          <cell r="E17">
            <v>0</v>
          </cell>
          <cell r="F17">
            <v>29</v>
          </cell>
          <cell r="G17">
            <v>23</v>
          </cell>
          <cell r="H17">
            <v>0</v>
          </cell>
          <cell r="I17">
            <v>0</v>
          </cell>
          <cell r="J17">
            <v>0</v>
          </cell>
          <cell r="K17">
            <v>9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72</v>
          </cell>
          <cell r="X17">
            <v>0</v>
          </cell>
          <cell r="Y17">
            <v>0</v>
          </cell>
          <cell r="Z17">
            <v>0</v>
          </cell>
          <cell r="AA17">
            <v>17</v>
          </cell>
          <cell r="AB17">
            <v>0</v>
          </cell>
          <cell r="AC17">
            <v>47</v>
          </cell>
          <cell r="AD17">
            <v>0</v>
          </cell>
          <cell r="AE17">
            <v>2</v>
          </cell>
          <cell r="AF17">
            <v>36</v>
          </cell>
          <cell r="AG17">
            <v>0</v>
          </cell>
          <cell r="AH17"/>
          <cell r="AI17">
            <v>239</v>
          </cell>
          <cell r="AJ17">
            <v>72</v>
          </cell>
          <cell r="AK17">
            <v>9</v>
          </cell>
        </row>
        <row r="18">
          <cell r="C18">
            <v>350124019</v>
          </cell>
          <cell r="D18">
            <v>0</v>
          </cell>
          <cell r="E18">
            <v>5</v>
          </cell>
          <cell r="F18">
            <v>5</v>
          </cell>
          <cell r="G18">
            <v>4</v>
          </cell>
          <cell r="H18">
            <v>12</v>
          </cell>
          <cell r="I18">
            <v>10</v>
          </cell>
          <cell r="J18">
            <v>0</v>
          </cell>
          <cell r="K18">
            <v>0</v>
          </cell>
          <cell r="L18">
            <v>0</v>
          </cell>
          <cell r="M18">
            <v>12</v>
          </cell>
          <cell r="N18">
            <v>5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0</v>
          </cell>
          <cell r="W18">
            <v>48</v>
          </cell>
          <cell r="X18">
            <v>5</v>
          </cell>
          <cell r="Y18">
            <v>0</v>
          </cell>
          <cell r="Z18">
            <v>0</v>
          </cell>
          <cell r="AA18">
            <v>18</v>
          </cell>
          <cell r="AB18">
            <v>0</v>
          </cell>
          <cell r="AC18">
            <v>10</v>
          </cell>
          <cell r="AD18">
            <v>0</v>
          </cell>
          <cell r="AE18">
            <v>0</v>
          </cell>
          <cell r="AF18">
            <v>25</v>
          </cell>
          <cell r="AG18">
            <v>0</v>
          </cell>
          <cell r="AH18"/>
          <cell r="AI18">
            <v>174</v>
          </cell>
          <cell r="AJ18">
            <v>48</v>
          </cell>
          <cell r="AK18">
            <v>13</v>
          </cell>
        </row>
        <row r="19">
          <cell r="C19">
            <v>350124018</v>
          </cell>
          <cell r="D19">
            <v>21</v>
          </cell>
          <cell r="E19">
            <v>0</v>
          </cell>
          <cell r="F19">
            <v>0</v>
          </cell>
          <cell r="G19">
            <v>39</v>
          </cell>
          <cell r="H19">
            <v>65</v>
          </cell>
          <cell r="I19">
            <v>9</v>
          </cell>
          <cell r="J19">
            <v>0</v>
          </cell>
          <cell r="K19">
            <v>0</v>
          </cell>
          <cell r="L19">
            <v>23</v>
          </cell>
          <cell r="M19">
            <v>1</v>
          </cell>
          <cell r="N19">
            <v>2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58</v>
          </cell>
          <cell r="X19">
            <v>0</v>
          </cell>
          <cell r="Y19">
            <v>0</v>
          </cell>
          <cell r="Z19">
            <v>0</v>
          </cell>
          <cell r="AA19">
            <v>1</v>
          </cell>
          <cell r="AB19">
            <v>0</v>
          </cell>
          <cell r="AC19">
            <v>1</v>
          </cell>
          <cell r="AD19">
            <v>0</v>
          </cell>
          <cell r="AE19">
            <v>4</v>
          </cell>
          <cell r="AF19">
            <v>17</v>
          </cell>
          <cell r="AG19">
            <v>0</v>
          </cell>
          <cell r="AH19"/>
          <cell r="AI19">
            <v>243</v>
          </cell>
          <cell r="AJ19">
            <v>65</v>
          </cell>
          <cell r="AK19">
            <v>13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0</v>
          </cell>
          <cell r="G20">
            <v>54</v>
          </cell>
          <cell r="H20">
            <v>19</v>
          </cell>
          <cell r="I20">
            <v>0</v>
          </cell>
          <cell r="J20">
            <v>0</v>
          </cell>
          <cell r="K20">
            <v>0</v>
          </cell>
          <cell r="L20">
            <v>8</v>
          </cell>
          <cell r="M20">
            <v>0</v>
          </cell>
          <cell r="N20">
            <v>0</v>
          </cell>
          <cell r="O20">
            <v>7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6</v>
          </cell>
          <cell r="U20">
            <v>0</v>
          </cell>
          <cell r="V20">
            <v>0</v>
          </cell>
          <cell r="W20">
            <v>55</v>
          </cell>
          <cell r="X20">
            <v>0</v>
          </cell>
          <cell r="Y20">
            <v>4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3</v>
          </cell>
          <cell r="AF20">
            <v>0</v>
          </cell>
          <cell r="AG20">
            <v>0</v>
          </cell>
          <cell r="AH20"/>
          <cell r="AI20">
            <v>156</v>
          </cell>
          <cell r="AJ20">
            <v>55</v>
          </cell>
          <cell r="AK20">
            <v>8</v>
          </cell>
        </row>
        <row r="21">
          <cell r="C21">
            <v>350124016</v>
          </cell>
          <cell r="D21">
            <v>0</v>
          </cell>
          <cell r="E21">
            <v>0</v>
          </cell>
          <cell r="F21">
            <v>31</v>
          </cell>
          <cell r="G21">
            <v>77</v>
          </cell>
          <cell r="H21">
            <v>3</v>
          </cell>
          <cell r="I21">
            <v>3</v>
          </cell>
          <cell r="J21">
            <v>0</v>
          </cell>
          <cell r="K21">
            <v>0</v>
          </cell>
          <cell r="L21">
            <v>0</v>
          </cell>
          <cell r="M21">
            <v>25</v>
          </cell>
          <cell r="N21">
            <v>62</v>
          </cell>
          <cell r="O21">
            <v>0</v>
          </cell>
          <cell r="P21">
            <v>15</v>
          </cell>
          <cell r="Q21">
            <v>2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48</v>
          </cell>
          <cell r="X21">
            <v>2</v>
          </cell>
          <cell r="Y21">
            <v>21</v>
          </cell>
          <cell r="Z21">
            <v>2</v>
          </cell>
          <cell r="AA21">
            <v>6</v>
          </cell>
          <cell r="AB21">
            <v>14</v>
          </cell>
          <cell r="AC21">
            <v>15</v>
          </cell>
          <cell r="AD21">
            <v>3</v>
          </cell>
          <cell r="AE21">
            <v>4</v>
          </cell>
          <cell r="AF21">
            <v>22</v>
          </cell>
          <cell r="AG21">
            <v>0</v>
          </cell>
          <cell r="AH21"/>
          <cell r="AI21">
            <v>355</v>
          </cell>
          <cell r="AJ21">
            <v>77</v>
          </cell>
          <cell r="AK21">
            <v>18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18</v>
          </cell>
          <cell r="H22">
            <v>1</v>
          </cell>
          <cell r="I22">
            <v>0</v>
          </cell>
          <cell r="J22">
            <v>0</v>
          </cell>
          <cell r="K22">
            <v>17</v>
          </cell>
          <cell r="L22">
            <v>0</v>
          </cell>
          <cell r="M22">
            <v>19</v>
          </cell>
          <cell r="N22">
            <v>9</v>
          </cell>
          <cell r="O22">
            <v>3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39</v>
          </cell>
          <cell r="X22">
            <v>0</v>
          </cell>
          <cell r="Y22">
            <v>2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3</v>
          </cell>
          <cell r="AF22">
            <v>25</v>
          </cell>
          <cell r="AG22">
            <v>0</v>
          </cell>
          <cell r="AH22"/>
          <cell r="AI22">
            <v>136</v>
          </cell>
          <cell r="AJ22">
            <v>39</v>
          </cell>
          <cell r="AK22">
            <v>10</v>
          </cell>
        </row>
        <row r="23">
          <cell r="C23">
            <v>350124014</v>
          </cell>
          <cell r="D23">
            <v>0</v>
          </cell>
          <cell r="E23">
            <v>0</v>
          </cell>
          <cell r="F23">
            <v>13</v>
          </cell>
          <cell r="G23">
            <v>2</v>
          </cell>
          <cell r="H23">
            <v>18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8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8</v>
          </cell>
          <cell r="U23">
            <v>2</v>
          </cell>
          <cell r="V23">
            <v>0</v>
          </cell>
          <cell r="W23">
            <v>8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16</v>
          </cell>
          <cell r="AE23">
            <v>5</v>
          </cell>
          <cell r="AF23">
            <v>36</v>
          </cell>
          <cell r="AG23">
            <v>0</v>
          </cell>
          <cell r="AH23"/>
          <cell r="AI23">
            <v>116</v>
          </cell>
          <cell r="AJ23">
            <v>36</v>
          </cell>
          <cell r="AK23">
            <v>10</v>
          </cell>
        </row>
        <row r="24">
          <cell r="C24">
            <v>350124013</v>
          </cell>
          <cell r="D24">
            <v>0</v>
          </cell>
          <cell r="E24">
            <v>0</v>
          </cell>
          <cell r="F24">
            <v>2</v>
          </cell>
          <cell r="G24">
            <v>4</v>
          </cell>
          <cell r="H24">
            <v>40</v>
          </cell>
          <cell r="I24">
            <v>0</v>
          </cell>
          <cell r="J24">
            <v>40</v>
          </cell>
          <cell r="K24">
            <v>0</v>
          </cell>
          <cell r="L24">
            <v>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33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18</v>
          </cell>
          <cell r="AG24">
            <v>0</v>
          </cell>
          <cell r="AH24"/>
          <cell r="AI24">
            <v>143</v>
          </cell>
          <cell r="AJ24">
            <v>40</v>
          </cell>
          <cell r="AK24">
            <v>7</v>
          </cell>
        </row>
        <row r="25">
          <cell r="C25">
            <v>350124012</v>
          </cell>
          <cell r="D25">
            <v>0</v>
          </cell>
          <cell r="E25">
            <v>0</v>
          </cell>
          <cell r="F25">
            <v>4</v>
          </cell>
          <cell r="G25">
            <v>54</v>
          </cell>
          <cell r="H25">
            <v>0</v>
          </cell>
          <cell r="I25">
            <v>12</v>
          </cell>
          <cell r="J25">
            <v>0</v>
          </cell>
          <cell r="K25">
            <v>16</v>
          </cell>
          <cell r="L25">
            <v>0</v>
          </cell>
          <cell r="M25">
            <v>11</v>
          </cell>
          <cell r="N25">
            <v>5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32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37</v>
          </cell>
          <cell r="AD25">
            <v>0</v>
          </cell>
          <cell r="AE25">
            <v>2</v>
          </cell>
          <cell r="AF25">
            <v>16</v>
          </cell>
          <cell r="AG25">
            <v>0</v>
          </cell>
          <cell r="AH25"/>
          <cell r="AI25">
            <v>189</v>
          </cell>
          <cell r="AJ25">
            <v>54</v>
          </cell>
          <cell r="AK25">
            <v>10</v>
          </cell>
        </row>
        <row r="26">
          <cell r="C26">
            <v>350124011</v>
          </cell>
          <cell r="D26">
            <v>0</v>
          </cell>
          <cell r="E26">
            <v>0</v>
          </cell>
          <cell r="F26">
            <v>5</v>
          </cell>
          <cell r="G26">
            <v>18</v>
          </cell>
          <cell r="H26">
            <v>69</v>
          </cell>
          <cell r="I26">
            <v>16</v>
          </cell>
          <cell r="J26">
            <v>0</v>
          </cell>
          <cell r="K26">
            <v>0</v>
          </cell>
          <cell r="L26">
            <v>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107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16</v>
          </cell>
          <cell r="AD26">
            <v>0</v>
          </cell>
          <cell r="AE26">
            <v>1</v>
          </cell>
          <cell r="AF26">
            <v>6</v>
          </cell>
          <cell r="AG26">
            <v>0</v>
          </cell>
          <cell r="AH26"/>
          <cell r="AI26">
            <v>242</v>
          </cell>
          <cell r="AJ26">
            <v>107</v>
          </cell>
          <cell r="AK26">
            <v>9</v>
          </cell>
        </row>
        <row r="27">
          <cell r="C27">
            <v>350124010</v>
          </cell>
          <cell r="D27">
            <v>0</v>
          </cell>
          <cell r="E27">
            <v>0</v>
          </cell>
          <cell r="F27">
            <v>9</v>
          </cell>
          <cell r="G27">
            <v>14</v>
          </cell>
          <cell r="H27">
            <v>39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16</v>
          </cell>
          <cell r="N27">
            <v>0</v>
          </cell>
          <cell r="O27">
            <v>5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3</v>
          </cell>
          <cell r="V27">
            <v>1</v>
          </cell>
          <cell r="W27">
            <v>58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2</v>
          </cell>
          <cell r="AF27">
            <v>22</v>
          </cell>
          <cell r="AG27">
            <v>0</v>
          </cell>
          <cell r="AH27"/>
          <cell r="AI27">
            <v>169</v>
          </cell>
          <cell r="AJ27">
            <v>58</v>
          </cell>
          <cell r="AK27">
            <v>10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7</v>
          </cell>
          <cell r="G28">
            <v>28</v>
          </cell>
          <cell r="H28">
            <v>2</v>
          </cell>
          <cell r="I28">
            <v>0</v>
          </cell>
          <cell r="J28">
            <v>0</v>
          </cell>
          <cell r="K28">
            <v>7</v>
          </cell>
          <cell r="L28">
            <v>6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6</v>
          </cell>
          <cell r="W28">
            <v>31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2</v>
          </cell>
          <cell r="AD28">
            <v>0</v>
          </cell>
          <cell r="AE28">
            <v>0</v>
          </cell>
          <cell r="AF28">
            <v>5</v>
          </cell>
          <cell r="AG28">
            <v>9</v>
          </cell>
          <cell r="AH28"/>
          <cell r="AI28">
            <v>103</v>
          </cell>
          <cell r="AJ28">
            <v>31</v>
          </cell>
          <cell r="AK28">
            <v>10</v>
          </cell>
        </row>
        <row r="29">
          <cell r="C29">
            <v>350124008</v>
          </cell>
          <cell r="D29">
            <v>0</v>
          </cell>
          <cell r="E29">
            <v>0</v>
          </cell>
          <cell r="F29">
            <v>0</v>
          </cell>
          <cell r="G29">
            <v>34</v>
          </cell>
          <cell r="H29">
            <v>1</v>
          </cell>
          <cell r="I29">
            <v>3</v>
          </cell>
          <cell r="J29">
            <v>0</v>
          </cell>
          <cell r="K29">
            <v>0</v>
          </cell>
          <cell r="L29">
            <v>7</v>
          </cell>
          <cell r="M29">
            <v>0</v>
          </cell>
          <cell r="N29">
            <v>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50</v>
          </cell>
          <cell r="X29">
            <v>0</v>
          </cell>
          <cell r="Y29">
            <v>0</v>
          </cell>
          <cell r="Z29">
            <v>0</v>
          </cell>
          <cell r="AA29">
            <v>16</v>
          </cell>
          <cell r="AB29">
            <v>0</v>
          </cell>
          <cell r="AC29">
            <v>14</v>
          </cell>
          <cell r="AD29">
            <v>2</v>
          </cell>
          <cell r="AE29">
            <v>0</v>
          </cell>
          <cell r="AF29">
            <v>12</v>
          </cell>
          <cell r="AG29">
            <v>0</v>
          </cell>
          <cell r="AH29"/>
          <cell r="AI29">
            <v>144</v>
          </cell>
          <cell r="AJ29">
            <v>50</v>
          </cell>
          <cell r="AK29">
            <v>10</v>
          </cell>
        </row>
        <row r="30">
          <cell r="C30">
            <v>350124007</v>
          </cell>
          <cell r="D30">
            <v>2</v>
          </cell>
          <cell r="E30">
            <v>0</v>
          </cell>
          <cell r="F30">
            <v>4</v>
          </cell>
          <cell r="G30">
            <v>27</v>
          </cell>
          <cell r="H30">
            <v>21</v>
          </cell>
          <cell r="I30">
            <v>10</v>
          </cell>
          <cell r="J30">
            <v>0</v>
          </cell>
          <cell r="K30">
            <v>0</v>
          </cell>
          <cell r="L30">
            <v>56</v>
          </cell>
          <cell r="M30">
            <v>65</v>
          </cell>
          <cell r="N30">
            <v>10</v>
          </cell>
          <cell r="O30">
            <v>0</v>
          </cell>
          <cell r="P30">
            <v>1</v>
          </cell>
          <cell r="Q30">
            <v>2</v>
          </cell>
          <cell r="R30">
            <v>0</v>
          </cell>
          <cell r="S30">
            <v>0</v>
          </cell>
          <cell r="T30">
            <v>19</v>
          </cell>
          <cell r="U30">
            <v>0</v>
          </cell>
          <cell r="V30">
            <v>0</v>
          </cell>
          <cell r="W30">
            <v>56</v>
          </cell>
          <cell r="X30">
            <v>0</v>
          </cell>
          <cell r="Y30">
            <v>0</v>
          </cell>
          <cell r="Z30">
            <v>0</v>
          </cell>
          <cell r="AA30">
            <v>4</v>
          </cell>
          <cell r="AB30">
            <v>0</v>
          </cell>
          <cell r="AC30">
            <v>0</v>
          </cell>
          <cell r="AD30">
            <v>0</v>
          </cell>
          <cell r="AE30">
            <v>17</v>
          </cell>
          <cell r="AF30">
            <v>3</v>
          </cell>
          <cell r="AG30">
            <v>0</v>
          </cell>
          <cell r="AH30"/>
          <cell r="AI30">
            <v>297</v>
          </cell>
          <cell r="AJ30">
            <v>65</v>
          </cell>
          <cell r="AK30">
            <v>15</v>
          </cell>
        </row>
        <row r="31">
          <cell r="C31">
            <v>350124006</v>
          </cell>
          <cell r="D31">
            <v>0</v>
          </cell>
          <cell r="E31">
            <v>3</v>
          </cell>
          <cell r="F31">
            <v>6</v>
          </cell>
          <cell r="G31">
            <v>29</v>
          </cell>
          <cell r="H31">
            <v>0</v>
          </cell>
          <cell r="I31">
            <v>0</v>
          </cell>
          <cell r="J31">
            <v>6</v>
          </cell>
          <cell r="K31">
            <v>17</v>
          </cell>
          <cell r="L31">
            <v>0</v>
          </cell>
          <cell r="M31">
            <v>0</v>
          </cell>
          <cell r="N31">
            <v>0</v>
          </cell>
          <cell r="O31">
            <v>3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64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65</v>
          </cell>
          <cell r="AD31">
            <v>0</v>
          </cell>
          <cell r="AE31">
            <v>4</v>
          </cell>
          <cell r="AF31">
            <v>32</v>
          </cell>
          <cell r="AG31">
            <v>0</v>
          </cell>
          <cell r="AH31"/>
          <cell r="AI31">
            <v>229</v>
          </cell>
          <cell r="AJ31">
            <v>65</v>
          </cell>
          <cell r="AK31">
            <v>10</v>
          </cell>
        </row>
        <row r="32">
          <cell r="C32">
            <v>350124005</v>
          </cell>
          <cell r="D32">
            <v>0</v>
          </cell>
          <cell r="E32">
            <v>5</v>
          </cell>
          <cell r="F32">
            <v>12</v>
          </cell>
          <cell r="G32">
            <v>10</v>
          </cell>
          <cell r="H32">
            <v>23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5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8</v>
          </cell>
          <cell r="T32">
            <v>0</v>
          </cell>
          <cell r="U32">
            <v>0</v>
          </cell>
          <cell r="V32">
            <v>4</v>
          </cell>
          <cell r="W32">
            <v>47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5</v>
          </cell>
          <cell r="AF32">
            <v>0</v>
          </cell>
          <cell r="AG32">
            <v>0</v>
          </cell>
          <cell r="AH32"/>
          <cell r="AI32">
            <v>119</v>
          </cell>
          <cell r="AJ32">
            <v>47</v>
          </cell>
          <cell r="AK32">
            <v>9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6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3</v>
          </cell>
          <cell r="S33">
            <v>0</v>
          </cell>
          <cell r="T33">
            <v>18</v>
          </cell>
          <cell r="U33">
            <v>19</v>
          </cell>
          <cell r="V33">
            <v>0</v>
          </cell>
          <cell r="W33">
            <v>56</v>
          </cell>
          <cell r="X33">
            <v>0</v>
          </cell>
          <cell r="Y33">
            <v>0</v>
          </cell>
          <cell r="Z33">
            <v>0</v>
          </cell>
          <cell r="AA33">
            <v>3</v>
          </cell>
          <cell r="AB33">
            <v>6</v>
          </cell>
          <cell r="AC33">
            <v>4</v>
          </cell>
          <cell r="AD33">
            <v>2</v>
          </cell>
          <cell r="AE33">
            <v>0</v>
          </cell>
          <cell r="AF33">
            <v>8</v>
          </cell>
          <cell r="AG33">
            <v>0</v>
          </cell>
          <cell r="AH33"/>
          <cell r="AI33">
            <v>125</v>
          </cell>
          <cell r="AJ33">
            <v>56</v>
          </cell>
          <cell r="AK33">
            <v>10</v>
          </cell>
        </row>
        <row r="34">
          <cell r="C34">
            <v>350124003</v>
          </cell>
          <cell r="D34">
            <v>10</v>
          </cell>
          <cell r="E34">
            <v>0</v>
          </cell>
          <cell r="F34">
            <v>13</v>
          </cell>
          <cell r="G34">
            <v>39</v>
          </cell>
          <cell r="H34">
            <v>12</v>
          </cell>
          <cell r="I34">
            <v>23</v>
          </cell>
          <cell r="J34">
            <v>0</v>
          </cell>
          <cell r="K34">
            <v>0</v>
          </cell>
          <cell r="L34">
            <v>22</v>
          </cell>
          <cell r="M34">
            <v>17.5</v>
          </cell>
          <cell r="N34">
            <v>0</v>
          </cell>
          <cell r="O34">
            <v>2</v>
          </cell>
          <cell r="P34">
            <v>12</v>
          </cell>
          <cell r="Q34">
            <v>5</v>
          </cell>
          <cell r="R34">
            <v>0</v>
          </cell>
          <cell r="S34">
            <v>0</v>
          </cell>
          <cell r="T34">
            <v>7</v>
          </cell>
          <cell r="U34">
            <v>0</v>
          </cell>
          <cell r="V34">
            <v>0</v>
          </cell>
          <cell r="W34">
            <v>14</v>
          </cell>
          <cell r="X34">
            <v>0</v>
          </cell>
          <cell r="Y34">
            <v>0</v>
          </cell>
          <cell r="Z34">
            <v>0</v>
          </cell>
          <cell r="AA34">
            <v>5</v>
          </cell>
          <cell r="AB34">
            <v>0</v>
          </cell>
          <cell r="AC34">
            <v>0</v>
          </cell>
          <cell r="AD34">
            <v>0</v>
          </cell>
          <cell r="AE34">
            <v>6</v>
          </cell>
          <cell r="AF34">
            <v>9</v>
          </cell>
          <cell r="AG34">
            <v>0</v>
          </cell>
          <cell r="AH34"/>
          <cell r="AI34">
            <v>196.5</v>
          </cell>
          <cell r="AJ34">
            <v>39</v>
          </cell>
          <cell r="AK34">
            <v>15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11</v>
          </cell>
          <cell r="H35">
            <v>83</v>
          </cell>
          <cell r="I35">
            <v>0</v>
          </cell>
          <cell r="J35">
            <v>21</v>
          </cell>
          <cell r="K35">
            <v>0</v>
          </cell>
          <cell r="L35">
            <v>4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3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57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21</v>
          </cell>
          <cell r="AG35">
            <v>0</v>
          </cell>
          <cell r="AH35"/>
          <cell r="AI35">
            <v>200</v>
          </cell>
          <cell r="AJ35">
            <v>83</v>
          </cell>
          <cell r="AK35">
            <v>7</v>
          </cell>
        </row>
        <row r="36">
          <cell r="C36">
            <v>350124001</v>
          </cell>
          <cell r="D36">
            <v>0</v>
          </cell>
          <cell r="E36">
            <v>0</v>
          </cell>
          <cell r="F36">
            <v>0</v>
          </cell>
          <cell r="G36">
            <v>31</v>
          </cell>
          <cell r="H36">
            <v>5</v>
          </cell>
          <cell r="I36">
            <v>8</v>
          </cell>
          <cell r="J36">
            <v>5</v>
          </cell>
          <cell r="K36">
            <v>0</v>
          </cell>
          <cell r="L36">
            <v>4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37</v>
          </cell>
          <cell r="X36">
            <v>0</v>
          </cell>
          <cell r="Y36">
            <v>2</v>
          </cell>
          <cell r="Z36">
            <v>0</v>
          </cell>
          <cell r="AA36">
            <v>0</v>
          </cell>
          <cell r="AB36">
            <v>35</v>
          </cell>
          <cell r="AC36">
            <v>30</v>
          </cell>
          <cell r="AD36">
            <v>0</v>
          </cell>
          <cell r="AE36">
            <v>0</v>
          </cell>
          <cell r="AF36">
            <v>19</v>
          </cell>
          <cell r="AG36">
            <v>0</v>
          </cell>
          <cell r="AH36"/>
          <cell r="AI36">
            <v>176</v>
          </cell>
          <cell r="AJ36">
            <v>37</v>
          </cell>
          <cell r="AK36">
            <v>10</v>
          </cell>
        </row>
        <row r="37">
          <cell r="C37">
            <v>350123037</v>
          </cell>
          <cell r="D37">
            <v>0</v>
          </cell>
          <cell r="E37">
            <v>95</v>
          </cell>
          <cell r="F37">
            <v>0</v>
          </cell>
          <cell r="G37">
            <v>68</v>
          </cell>
          <cell r="H37">
            <v>14</v>
          </cell>
          <cell r="I37">
            <v>1</v>
          </cell>
          <cell r="J37">
            <v>0</v>
          </cell>
          <cell r="K37">
            <v>0</v>
          </cell>
          <cell r="L37">
            <v>33</v>
          </cell>
          <cell r="M37">
            <v>0</v>
          </cell>
          <cell r="N37">
            <v>0</v>
          </cell>
          <cell r="O37">
            <v>0</v>
          </cell>
          <cell r="P37">
            <v>3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68</v>
          </cell>
          <cell r="X37">
            <v>1</v>
          </cell>
          <cell r="Y37">
            <v>4</v>
          </cell>
          <cell r="Z37">
            <v>0</v>
          </cell>
          <cell r="AA37">
            <v>1</v>
          </cell>
          <cell r="AB37">
            <v>0</v>
          </cell>
          <cell r="AC37">
            <v>28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/>
          <cell r="AI37">
            <v>316</v>
          </cell>
          <cell r="AJ37">
            <v>95</v>
          </cell>
          <cell r="AK37">
            <v>11</v>
          </cell>
        </row>
        <row r="38">
          <cell r="C38">
            <v>350123036</v>
          </cell>
          <cell r="D38">
            <v>0</v>
          </cell>
          <cell r="E38">
            <v>6</v>
          </cell>
          <cell r="F38">
            <v>0</v>
          </cell>
          <cell r="G38">
            <v>25</v>
          </cell>
          <cell r="H38">
            <v>12</v>
          </cell>
          <cell r="I38">
            <v>0</v>
          </cell>
          <cell r="J38">
            <v>0</v>
          </cell>
          <cell r="K38">
            <v>0</v>
          </cell>
          <cell r="L38">
            <v>7</v>
          </cell>
          <cell r="M38">
            <v>9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4</v>
          </cell>
          <cell r="V38">
            <v>0</v>
          </cell>
          <cell r="W38">
            <v>19</v>
          </cell>
          <cell r="X38">
            <v>4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1</v>
          </cell>
          <cell r="AD38">
            <v>0</v>
          </cell>
          <cell r="AE38">
            <v>19</v>
          </cell>
          <cell r="AF38">
            <v>3</v>
          </cell>
          <cell r="AG38">
            <v>0</v>
          </cell>
          <cell r="AH38"/>
          <cell r="AI38">
            <v>109</v>
          </cell>
          <cell r="AJ38">
            <v>25</v>
          </cell>
          <cell r="AK38">
            <v>11</v>
          </cell>
        </row>
        <row r="39">
          <cell r="C39">
            <v>350123035</v>
          </cell>
          <cell r="D39">
            <v>0</v>
          </cell>
          <cell r="E39">
            <v>1</v>
          </cell>
          <cell r="F39">
            <v>52</v>
          </cell>
          <cell r="G39">
            <v>58</v>
          </cell>
          <cell r="H39">
            <v>21</v>
          </cell>
          <cell r="I39">
            <v>0</v>
          </cell>
          <cell r="J39">
            <v>0</v>
          </cell>
          <cell r="K39">
            <v>1</v>
          </cell>
          <cell r="L39">
            <v>117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19</v>
          </cell>
          <cell r="R39">
            <v>0</v>
          </cell>
          <cell r="S39">
            <v>0</v>
          </cell>
          <cell r="T39">
            <v>2</v>
          </cell>
          <cell r="U39">
            <v>0</v>
          </cell>
          <cell r="V39">
            <v>155</v>
          </cell>
          <cell r="W39">
            <v>149</v>
          </cell>
          <cell r="X39">
            <v>3</v>
          </cell>
          <cell r="Y39">
            <v>12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</v>
          </cell>
          <cell r="AE39">
            <v>3</v>
          </cell>
          <cell r="AF39">
            <v>7</v>
          </cell>
          <cell r="AG39">
            <v>0</v>
          </cell>
          <cell r="AH39"/>
          <cell r="AI39">
            <v>602</v>
          </cell>
          <cell r="AJ39">
            <v>155</v>
          </cell>
          <cell r="AK39">
            <v>16</v>
          </cell>
        </row>
        <row r="40">
          <cell r="C40">
            <v>350123034</v>
          </cell>
          <cell r="D40">
            <v>0</v>
          </cell>
          <cell r="E40">
            <v>55</v>
          </cell>
          <cell r="F40">
            <v>0</v>
          </cell>
          <cell r="G40">
            <v>92</v>
          </cell>
          <cell r="H40">
            <v>2</v>
          </cell>
          <cell r="I40">
            <v>2</v>
          </cell>
          <cell r="J40">
            <v>0</v>
          </cell>
          <cell r="K40">
            <v>3</v>
          </cell>
          <cell r="L40">
            <v>8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42</v>
          </cell>
          <cell r="X40">
            <v>6</v>
          </cell>
          <cell r="Y40">
            <v>0</v>
          </cell>
          <cell r="Z40">
            <v>0</v>
          </cell>
          <cell r="AA40">
            <v>1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/>
          <cell r="AI40">
            <v>211</v>
          </cell>
          <cell r="AJ40">
            <v>92</v>
          </cell>
          <cell r="AK40">
            <v>9</v>
          </cell>
        </row>
        <row r="41">
          <cell r="C41">
            <v>350123033</v>
          </cell>
          <cell r="D41">
            <v>37.5</v>
          </cell>
          <cell r="E41">
            <v>74</v>
          </cell>
          <cell r="F41">
            <v>0</v>
          </cell>
          <cell r="G41">
            <v>55.5</v>
          </cell>
          <cell r="H41">
            <v>7.5</v>
          </cell>
          <cell r="I41">
            <v>0</v>
          </cell>
          <cell r="J41">
            <v>0</v>
          </cell>
          <cell r="K41">
            <v>0</v>
          </cell>
          <cell r="L41">
            <v>11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65</v>
          </cell>
          <cell r="X41">
            <v>5</v>
          </cell>
          <cell r="Y41">
            <v>20</v>
          </cell>
          <cell r="Z41">
            <v>0</v>
          </cell>
          <cell r="AA41">
            <v>0</v>
          </cell>
          <cell r="AB41">
            <v>0</v>
          </cell>
          <cell r="AC41">
            <v>10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/>
          <cell r="AI41">
            <v>285.5</v>
          </cell>
          <cell r="AJ41">
            <v>74</v>
          </cell>
          <cell r="AK41">
            <v>9</v>
          </cell>
        </row>
        <row r="42">
          <cell r="C42">
            <v>350123032</v>
          </cell>
          <cell r="D42">
            <v>0</v>
          </cell>
          <cell r="E42">
            <v>0</v>
          </cell>
          <cell r="F42">
            <v>8</v>
          </cell>
          <cell r="G42">
            <v>17</v>
          </cell>
          <cell r="H42">
            <v>9</v>
          </cell>
          <cell r="I42">
            <v>0</v>
          </cell>
          <cell r="J42">
            <v>0</v>
          </cell>
          <cell r="K42">
            <v>0</v>
          </cell>
          <cell r="L42">
            <v>44</v>
          </cell>
          <cell r="M42">
            <v>0</v>
          </cell>
          <cell r="N42">
            <v>0</v>
          </cell>
          <cell r="O42">
            <v>5</v>
          </cell>
          <cell r="P42">
            <v>8</v>
          </cell>
          <cell r="Q42">
            <v>4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7</v>
          </cell>
          <cell r="W42">
            <v>69</v>
          </cell>
          <cell r="X42">
            <v>5</v>
          </cell>
          <cell r="Y42">
            <v>0</v>
          </cell>
          <cell r="Z42">
            <v>24</v>
          </cell>
          <cell r="AA42">
            <v>8</v>
          </cell>
          <cell r="AB42">
            <v>0</v>
          </cell>
          <cell r="AC42">
            <v>8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/>
          <cell r="AI42">
            <v>216</v>
          </cell>
          <cell r="AJ42">
            <v>69</v>
          </cell>
          <cell r="AK42">
            <v>13</v>
          </cell>
        </row>
        <row r="43">
          <cell r="C43">
            <v>350123031</v>
          </cell>
          <cell r="D43">
            <v>2</v>
          </cell>
          <cell r="E43">
            <v>0</v>
          </cell>
          <cell r="F43">
            <v>0</v>
          </cell>
          <cell r="G43">
            <v>22</v>
          </cell>
          <cell r="H43">
            <v>2</v>
          </cell>
          <cell r="I43">
            <v>3</v>
          </cell>
          <cell r="J43">
            <v>5</v>
          </cell>
          <cell r="K43">
            <v>0</v>
          </cell>
          <cell r="L43">
            <v>28</v>
          </cell>
          <cell r="M43">
            <v>0</v>
          </cell>
          <cell r="N43">
            <v>0</v>
          </cell>
          <cell r="O43">
            <v>4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57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12</v>
          </cell>
          <cell r="AC43">
            <v>32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/>
          <cell r="AI43">
            <v>167</v>
          </cell>
          <cell r="AJ43">
            <v>57</v>
          </cell>
          <cell r="AK43">
            <v>10</v>
          </cell>
        </row>
        <row r="44">
          <cell r="C44">
            <v>350123030</v>
          </cell>
          <cell r="D44">
            <v>32</v>
          </cell>
          <cell r="E44">
            <v>0</v>
          </cell>
          <cell r="F44">
            <v>1</v>
          </cell>
          <cell r="G44">
            <v>17</v>
          </cell>
          <cell r="H44">
            <v>16</v>
          </cell>
          <cell r="I44">
            <v>0</v>
          </cell>
          <cell r="J44">
            <v>0</v>
          </cell>
          <cell r="K44">
            <v>0</v>
          </cell>
          <cell r="L44">
            <v>3</v>
          </cell>
          <cell r="M44">
            <v>0</v>
          </cell>
          <cell r="N44">
            <v>5</v>
          </cell>
          <cell r="O44">
            <v>3</v>
          </cell>
          <cell r="P44">
            <v>9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6</v>
          </cell>
          <cell r="X44">
            <v>3</v>
          </cell>
          <cell r="Y44">
            <v>0</v>
          </cell>
          <cell r="Z44">
            <v>0</v>
          </cell>
          <cell r="AA44">
            <v>0</v>
          </cell>
          <cell r="AB44">
            <v>16</v>
          </cell>
          <cell r="AC44">
            <v>21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/>
          <cell r="AI44">
            <v>132</v>
          </cell>
          <cell r="AJ44">
            <v>32</v>
          </cell>
          <cell r="AK44">
            <v>12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19</v>
          </cell>
          <cell r="H45">
            <v>0</v>
          </cell>
          <cell r="I45">
            <v>1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4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1</v>
          </cell>
          <cell r="V45">
            <v>0</v>
          </cell>
          <cell r="W45">
            <v>15</v>
          </cell>
          <cell r="X45">
            <v>7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1</v>
          </cell>
          <cell r="AD45">
            <v>0</v>
          </cell>
          <cell r="AE45">
            <v>0</v>
          </cell>
          <cell r="AF45">
            <v>1</v>
          </cell>
          <cell r="AG45">
            <v>0</v>
          </cell>
          <cell r="AH45"/>
          <cell r="AI45">
            <v>49</v>
          </cell>
          <cell r="AJ45">
            <v>19</v>
          </cell>
          <cell r="AK45">
            <v>8</v>
          </cell>
        </row>
        <row r="46">
          <cell r="C46">
            <v>350123028</v>
          </cell>
          <cell r="D46">
            <v>0</v>
          </cell>
          <cell r="E46">
            <v>0</v>
          </cell>
          <cell r="F46">
            <v>0</v>
          </cell>
          <cell r="G46">
            <v>7</v>
          </cell>
          <cell r="H46">
            <v>0</v>
          </cell>
          <cell r="I46">
            <v>27</v>
          </cell>
          <cell r="J46">
            <v>0</v>
          </cell>
          <cell r="K46">
            <v>0</v>
          </cell>
          <cell r="L46">
            <v>0</v>
          </cell>
          <cell r="M46">
            <v>1</v>
          </cell>
          <cell r="N46">
            <v>0</v>
          </cell>
          <cell r="O46">
            <v>0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67</v>
          </cell>
          <cell r="X46">
            <v>5</v>
          </cell>
          <cell r="Y46">
            <v>2</v>
          </cell>
          <cell r="Z46">
            <v>0</v>
          </cell>
          <cell r="AA46">
            <v>0</v>
          </cell>
          <cell r="AB46">
            <v>0</v>
          </cell>
          <cell r="AC46">
            <v>17</v>
          </cell>
          <cell r="AD46">
            <v>0</v>
          </cell>
          <cell r="AE46">
            <v>2</v>
          </cell>
          <cell r="AF46">
            <v>4</v>
          </cell>
          <cell r="AG46">
            <v>0</v>
          </cell>
          <cell r="AH46"/>
          <cell r="AI46">
            <v>133</v>
          </cell>
          <cell r="AJ46">
            <v>67</v>
          </cell>
          <cell r="AK46">
            <v>10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12</v>
          </cell>
          <cell r="G47">
            <v>17</v>
          </cell>
          <cell r="H47">
            <v>52</v>
          </cell>
          <cell r="I47">
            <v>47</v>
          </cell>
          <cell r="J47">
            <v>0</v>
          </cell>
          <cell r="K47">
            <v>2</v>
          </cell>
          <cell r="L47">
            <v>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3</v>
          </cell>
          <cell r="V47">
            <v>0</v>
          </cell>
          <cell r="W47">
            <v>8</v>
          </cell>
          <cell r="X47">
            <v>11</v>
          </cell>
          <cell r="Y47">
            <v>10</v>
          </cell>
          <cell r="Z47">
            <v>0</v>
          </cell>
          <cell r="AA47">
            <v>0</v>
          </cell>
          <cell r="AB47">
            <v>17</v>
          </cell>
          <cell r="AC47">
            <v>73</v>
          </cell>
          <cell r="AD47">
            <v>0</v>
          </cell>
          <cell r="AE47">
            <v>12</v>
          </cell>
          <cell r="AF47">
            <v>25</v>
          </cell>
          <cell r="AG47">
            <v>0</v>
          </cell>
          <cell r="AH47"/>
          <cell r="AI47">
            <v>290</v>
          </cell>
          <cell r="AJ47">
            <v>73</v>
          </cell>
          <cell r="AK47">
            <v>14</v>
          </cell>
        </row>
        <row r="48">
          <cell r="C48">
            <v>350123026</v>
          </cell>
          <cell r="D48">
            <v>0</v>
          </cell>
          <cell r="E48">
            <v>0</v>
          </cell>
          <cell r="F48">
            <v>16</v>
          </cell>
          <cell r="G48">
            <v>39</v>
          </cell>
          <cell r="H48">
            <v>5</v>
          </cell>
          <cell r="I48">
            <v>4</v>
          </cell>
          <cell r="J48">
            <v>0</v>
          </cell>
          <cell r="K48">
            <v>0</v>
          </cell>
          <cell r="L48">
            <v>1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</v>
          </cell>
          <cell r="W48">
            <v>23</v>
          </cell>
          <cell r="X48">
            <v>11</v>
          </cell>
          <cell r="Y48">
            <v>5</v>
          </cell>
          <cell r="Z48">
            <v>0</v>
          </cell>
          <cell r="AA48">
            <v>19</v>
          </cell>
          <cell r="AB48">
            <v>0</v>
          </cell>
          <cell r="AC48">
            <v>5</v>
          </cell>
          <cell r="AD48">
            <v>3</v>
          </cell>
          <cell r="AE48">
            <v>42</v>
          </cell>
          <cell r="AF48">
            <v>11</v>
          </cell>
          <cell r="AG48">
            <v>0</v>
          </cell>
          <cell r="AH48"/>
          <cell r="AI48">
            <v>187</v>
          </cell>
          <cell r="AJ48">
            <v>42</v>
          </cell>
          <cell r="AK48">
            <v>14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6</v>
          </cell>
          <cell r="H49">
            <v>2</v>
          </cell>
          <cell r="I49">
            <v>0</v>
          </cell>
          <cell r="J49">
            <v>6</v>
          </cell>
          <cell r="K49">
            <v>32</v>
          </cell>
          <cell r="L49">
            <v>12</v>
          </cell>
          <cell r="M49">
            <v>26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114</v>
          </cell>
          <cell r="X49">
            <v>12</v>
          </cell>
          <cell r="Y49">
            <v>4</v>
          </cell>
          <cell r="Z49">
            <v>0</v>
          </cell>
          <cell r="AA49">
            <v>0</v>
          </cell>
          <cell r="AB49">
            <v>0</v>
          </cell>
          <cell r="AC49">
            <v>6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/>
          <cell r="AI49">
            <v>220</v>
          </cell>
          <cell r="AJ49">
            <v>114</v>
          </cell>
          <cell r="AK49">
            <v>10</v>
          </cell>
        </row>
        <row r="50">
          <cell r="C50">
            <v>350123024</v>
          </cell>
          <cell r="D50">
            <v>0</v>
          </cell>
          <cell r="E50">
            <v>0</v>
          </cell>
          <cell r="F50">
            <v>20</v>
          </cell>
          <cell r="G50">
            <v>19</v>
          </cell>
          <cell r="H50">
            <v>58</v>
          </cell>
          <cell r="I50">
            <v>0</v>
          </cell>
          <cell r="J50">
            <v>0</v>
          </cell>
          <cell r="K50">
            <v>0</v>
          </cell>
          <cell r="L50">
            <v>35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19.5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36</v>
          </cell>
          <cell r="W50">
            <v>96</v>
          </cell>
          <cell r="X50">
            <v>5</v>
          </cell>
          <cell r="Y50">
            <v>2</v>
          </cell>
          <cell r="Z50">
            <v>0</v>
          </cell>
          <cell r="AA50">
            <v>24.5</v>
          </cell>
          <cell r="AB50">
            <v>1</v>
          </cell>
          <cell r="AC50">
            <v>11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/>
          <cell r="AI50">
            <v>327</v>
          </cell>
          <cell r="AJ50">
            <v>96</v>
          </cell>
          <cell r="AK50">
            <v>12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15</v>
          </cell>
          <cell r="H51">
            <v>10</v>
          </cell>
          <cell r="I51">
            <v>0</v>
          </cell>
          <cell r="J51">
            <v>3</v>
          </cell>
          <cell r="K51">
            <v>0</v>
          </cell>
          <cell r="L51">
            <v>5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37</v>
          </cell>
          <cell r="X51">
            <v>12</v>
          </cell>
          <cell r="Y51">
            <v>0</v>
          </cell>
          <cell r="Z51">
            <v>0</v>
          </cell>
          <cell r="AA51">
            <v>3</v>
          </cell>
          <cell r="AB51">
            <v>14</v>
          </cell>
          <cell r="AC51">
            <v>35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/>
          <cell r="AI51">
            <v>134</v>
          </cell>
          <cell r="AJ51">
            <v>37</v>
          </cell>
          <cell r="AK51">
            <v>9</v>
          </cell>
        </row>
        <row r="52">
          <cell r="C52">
            <v>350123022</v>
          </cell>
          <cell r="D52">
            <v>0</v>
          </cell>
          <cell r="E52">
            <v>1</v>
          </cell>
          <cell r="F52">
            <v>1</v>
          </cell>
          <cell r="G52">
            <v>75</v>
          </cell>
          <cell r="H52">
            <v>38</v>
          </cell>
          <cell r="I52">
            <v>7</v>
          </cell>
          <cell r="J52">
            <v>0</v>
          </cell>
          <cell r="K52">
            <v>0</v>
          </cell>
          <cell r="L52">
            <v>44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71</v>
          </cell>
          <cell r="X52">
            <v>7</v>
          </cell>
          <cell r="Y52">
            <v>20</v>
          </cell>
          <cell r="Z52">
            <v>0</v>
          </cell>
          <cell r="AA52">
            <v>1</v>
          </cell>
          <cell r="AB52">
            <v>0</v>
          </cell>
          <cell r="AC52">
            <v>5</v>
          </cell>
          <cell r="AD52">
            <v>0</v>
          </cell>
          <cell r="AE52">
            <v>3</v>
          </cell>
          <cell r="AF52">
            <v>3</v>
          </cell>
          <cell r="AG52">
            <v>0</v>
          </cell>
          <cell r="AH52"/>
          <cell r="AI52">
            <v>277</v>
          </cell>
          <cell r="AJ52">
            <v>75</v>
          </cell>
          <cell r="AK52">
            <v>14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17</v>
          </cell>
          <cell r="G53">
            <v>16</v>
          </cell>
          <cell r="H53">
            <v>7</v>
          </cell>
          <cell r="I53">
            <v>16</v>
          </cell>
          <cell r="J53">
            <v>0</v>
          </cell>
          <cell r="K53">
            <v>0</v>
          </cell>
          <cell r="L53">
            <v>55</v>
          </cell>
          <cell r="M53">
            <v>0</v>
          </cell>
          <cell r="N53">
            <v>0</v>
          </cell>
          <cell r="O53">
            <v>2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5</v>
          </cell>
          <cell r="V53">
            <v>0</v>
          </cell>
          <cell r="W53">
            <v>45</v>
          </cell>
          <cell r="X53">
            <v>0</v>
          </cell>
          <cell r="Y53">
            <v>0</v>
          </cell>
          <cell r="Z53">
            <v>0</v>
          </cell>
          <cell r="AA53">
            <v>15</v>
          </cell>
          <cell r="AB53">
            <v>2</v>
          </cell>
          <cell r="AC53">
            <v>17</v>
          </cell>
          <cell r="AD53">
            <v>2</v>
          </cell>
          <cell r="AE53">
            <v>0</v>
          </cell>
          <cell r="AF53">
            <v>4</v>
          </cell>
          <cell r="AG53">
            <v>0</v>
          </cell>
          <cell r="AH53"/>
          <cell r="AI53">
            <v>203</v>
          </cell>
          <cell r="AJ53">
            <v>55</v>
          </cell>
          <cell r="AK53">
            <v>13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6</v>
          </cell>
          <cell r="H54">
            <v>7</v>
          </cell>
          <cell r="I54">
            <v>2</v>
          </cell>
          <cell r="J54">
            <v>0</v>
          </cell>
          <cell r="K54">
            <v>0</v>
          </cell>
          <cell r="L54">
            <v>33</v>
          </cell>
          <cell r="M54">
            <v>0</v>
          </cell>
          <cell r="N54">
            <v>4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63</v>
          </cell>
          <cell r="X54">
            <v>5</v>
          </cell>
          <cell r="Y54">
            <v>0</v>
          </cell>
          <cell r="Z54"/>
          <cell r="AA54">
            <v>0</v>
          </cell>
          <cell r="AB54">
            <v>0</v>
          </cell>
          <cell r="AC54">
            <v>6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/>
          <cell r="AI54">
            <v>126</v>
          </cell>
          <cell r="AJ54">
            <v>63</v>
          </cell>
          <cell r="AK54">
            <v>8</v>
          </cell>
        </row>
        <row r="55">
          <cell r="C55">
            <v>350123019</v>
          </cell>
          <cell r="D55">
            <v>0</v>
          </cell>
          <cell r="E55">
            <v>2</v>
          </cell>
          <cell r="F55">
            <v>2.5</v>
          </cell>
          <cell r="G55">
            <v>13</v>
          </cell>
          <cell r="H55">
            <v>11</v>
          </cell>
          <cell r="I55">
            <v>0</v>
          </cell>
          <cell r="J55">
            <v>0</v>
          </cell>
          <cell r="K55">
            <v>0</v>
          </cell>
          <cell r="L55">
            <v>8.5</v>
          </cell>
          <cell r="M55">
            <v>33</v>
          </cell>
          <cell r="N55">
            <v>0</v>
          </cell>
          <cell r="O55">
            <v>1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19</v>
          </cell>
          <cell r="V55">
            <v>2</v>
          </cell>
          <cell r="W55">
            <v>47</v>
          </cell>
          <cell r="X55">
            <v>3.5</v>
          </cell>
          <cell r="Y55">
            <v>1</v>
          </cell>
          <cell r="Z55">
            <v>0</v>
          </cell>
          <cell r="AA55">
            <v>10</v>
          </cell>
          <cell r="AB55">
            <v>24.5</v>
          </cell>
          <cell r="AC55">
            <v>14</v>
          </cell>
          <cell r="AD55">
            <v>0</v>
          </cell>
          <cell r="AE55">
            <v>1</v>
          </cell>
          <cell r="AF55">
            <v>13</v>
          </cell>
          <cell r="AG55">
            <v>0</v>
          </cell>
          <cell r="AH55"/>
          <cell r="AI55">
            <v>206</v>
          </cell>
          <cell r="AJ55">
            <v>47</v>
          </cell>
          <cell r="AK55">
            <v>17</v>
          </cell>
        </row>
        <row r="56">
          <cell r="C56">
            <v>350123018</v>
          </cell>
          <cell r="D56">
            <v>32</v>
          </cell>
          <cell r="E56">
            <v>0</v>
          </cell>
          <cell r="F56">
            <v>0</v>
          </cell>
          <cell r="G56">
            <v>10</v>
          </cell>
          <cell r="H56">
            <v>11</v>
          </cell>
          <cell r="I56">
            <v>4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17</v>
          </cell>
          <cell r="X56">
            <v>5</v>
          </cell>
          <cell r="Y56">
            <v>0</v>
          </cell>
          <cell r="Z56">
            <v>0</v>
          </cell>
          <cell r="AA56">
            <v>0</v>
          </cell>
          <cell r="AB56">
            <v>11</v>
          </cell>
          <cell r="AC56">
            <v>30</v>
          </cell>
          <cell r="AD56">
            <v>0</v>
          </cell>
          <cell r="AE56">
            <v>0</v>
          </cell>
          <cell r="AF56">
            <v>16</v>
          </cell>
          <cell r="AG56">
            <v>0</v>
          </cell>
          <cell r="AH56"/>
          <cell r="AI56">
            <v>166</v>
          </cell>
          <cell r="AJ56">
            <v>32</v>
          </cell>
          <cell r="AK56">
            <v>10</v>
          </cell>
        </row>
        <row r="57">
          <cell r="C57">
            <v>350123017</v>
          </cell>
          <cell r="D57">
            <v>0</v>
          </cell>
          <cell r="E57">
            <v>2</v>
          </cell>
          <cell r="F57">
            <v>0</v>
          </cell>
          <cell r="G57">
            <v>19</v>
          </cell>
          <cell r="H57">
            <v>2</v>
          </cell>
          <cell r="I57">
            <v>0</v>
          </cell>
          <cell r="J57">
            <v>0</v>
          </cell>
          <cell r="K57">
            <v>0</v>
          </cell>
          <cell r="L57">
            <v>4</v>
          </cell>
          <cell r="M57">
            <v>39</v>
          </cell>
          <cell r="N57">
            <v>1</v>
          </cell>
          <cell r="O57">
            <v>4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3</v>
          </cell>
          <cell r="V57">
            <v>4</v>
          </cell>
          <cell r="W57">
            <v>71</v>
          </cell>
          <cell r="X57">
            <v>5</v>
          </cell>
          <cell r="Y57">
            <v>21</v>
          </cell>
          <cell r="Z57">
            <v>0</v>
          </cell>
          <cell r="AA57">
            <v>0</v>
          </cell>
          <cell r="AB57">
            <v>0</v>
          </cell>
          <cell r="AC57">
            <v>2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H57"/>
          <cell r="AI57">
            <v>178</v>
          </cell>
          <cell r="AJ57">
            <v>71</v>
          </cell>
          <cell r="AK57">
            <v>14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18</v>
          </cell>
          <cell r="G58">
            <v>45</v>
          </cell>
          <cell r="H58">
            <v>0</v>
          </cell>
          <cell r="I58">
            <v>31</v>
          </cell>
          <cell r="J58">
            <v>0</v>
          </cell>
          <cell r="K58">
            <v>0</v>
          </cell>
          <cell r="L58">
            <v>33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6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46</v>
          </cell>
          <cell r="W58">
            <v>17</v>
          </cell>
          <cell r="X58">
            <v>25</v>
          </cell>
          <cell r="Y58">
            <v>16</v>
          </cell>
          <cell r="Z58">
            <v>0</v>
          </cell>
          <cell r="AA58">
            <v>0</v>
          </cell>
          <cell r="AB58">
            <v>0</v>
          </cell>
          <cell r="AC58">
            <v>2</v>
          </cell>
          <cell r="AD58">
            <v>0</v>
          </cell>
          <cell r="AE58">
            <v>1</v>
          </cell>
          <cell r="AF58">
            <v>2</v>
          </cell>
          <cell r="AG58">
            <v>0</v>
          </cell>
          <cell r="AH58"/>
          <cell r="AI58">
            <v>242</v>
          </cell>
          <cell r="AJ58">
            <v>46</v>
          </cell>
          <cell r="AK58">
            <v>12</v>
          </cell>
        </row>
        <row r="59">
          <cell r="C59">
            <v>350123015</v>
          </cell>
          <cell r="D59">
            <v>22</v>
          </cell>
          <cell r="E59">
            <v>0</v>
          </cell>
          <cell r="F59">
            <v>0</v>
          </cell>
          <cell r="G59">
            <v>5</v>
          </cell>
          <cell r="H59">
            <v>30</v>
          </cell>
          <cell r="I59">
            <v>7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3</v>
          </cell>
          <cell r="O59">
            <v>0</v>
          </cell>
          <cell r="P59">
            <v>7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3</v>
          </cell>
          <cell r="X59">
            <v>5</v>
          </cell>
          <cell r="Y59">
            <v>0</v>
          </cell>
          <cell r="Z59">
            <v>0</v>
          </cell>
          <cell r="AA59">
            <v>2</v>
          </cell>
          <cell r="AB59">
            <v>4</v>
          </cell>
          <cell r="AC59">
            <v>32</v>
          </cell>
          <cell r="AD59">
            <v>0</v>
          </cell>
          <cell r="AE59">
            <v>0</v>
          </cell>
          <cell r="AF59">
            <v>8</v>
          </cell>
          <cell r="AG59">
            <v>6</v>
          </cell>
          <cell r="AH59"/>
          <cell r="AI59">
            <v>134</v>
          </cell>
          <cell r="AJ59">
            <v>32</v>
          </cell>
          <cell r="AK59">
            <v>13</v>
          </cell>
        </row>
        <row r="60">
          <cell r="C60">
            <v>350123014</v>
          </cell>
          <cell r="D60">
            <v>22</v>
          </cell>
          <cell r="E60">
            <v>0</v>
          </cell>
          <cell r="F60">
            <v>0</v>
          </cell>
          <cell r="G60">
            <v>32</v>
          </cell>
          <cell r="H60">
            <v>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16</v>
          </cell>
          <cell r="N60">
            <v>6</v>
          </cell>
          <cell r="O60">
            <v>24</v>
          </cell>
          <cell r="P60">
            <v>28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16</v>
          </cell>
          <cell r="X60">
            <v>12</v>
          </cell>
          <cell r="Y60">
            <v>0</v>
          </cell>
          <cell r="Z60">
            <v>0</v>
          </cell>
          <cell r="AA60">
            <v>0</v>
          </cell>
          <cell r="AB60">
            <v>38</v>
          </cell>
          <cell r="AC60">
            <v>18</v>
          </cell>
          <cell r="AD60">
            <v>0</v>
          </cell>
          <cell r="AE60">
            <v>0</v>
          </cell>
          <cell r="AF60">
            <v>8</v>
          </cell>
          <cell r="AG60">
            <v>0</v>
          </cell>
          <cell r="AH60"/>
          <cell r="AI60">
            <v>228</v>
          </cell>
          <cell r="AJ60">
            <v>38</v>
          </cell>
          <cell r="AK60">
            <v>12</v>
          </cell>
        </row>
        <row r="61">
          <cell r="C61">
            <v>350123013</v>
          </cell>
          <cell r="D61">
            <v>0</v>
          </cell>
          <cell r="E61">
            <v>0</v>
          </cell>
          <cell r="F61">
            <v>0</v>
          </cell>
          <cell r="G61">
            <v>65</v>
          </cell>
          <cell r="H61">
            <v>36</v>
          </cell>
          <cell r="I61">
            <v>0</v>
          </cell>
          <cell r="J61">
            <v>0</v>
          </cell>
          <cell r="K61">
            <v>0</v>
          </cell>
          <cell r="L61">
            <v>55</v>
          </cell>
          <cell r="M61">
            <v>0</v>
          </cell>
          <cell r="N61">
            <v>0</v>
          </cell>
          <cell r="O61">
            <v>0</v>
          </cell>
          <cell r="P61">
            <v>7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42</v>
          </cell>
          <cell r="X61">
            <v>0</v>
          </cell>
          <cell r="Y61">
            <v>5</v>
          </cell>
          <cell r="Z61">
            <v>0</v>
          </cell>
          <cell r="AA61">
            <v>2</v>
          </cell>
          <cell r="AB61">
            <v>3</v>
          </cell>
          <cell r="AC61">
            <v>27</v>
          </cell>
          <cell r="AD61">
            <v>0</v>
          </cell>
          <cell r="AE61">
            <v>0</v>
          </cell>
          <cell r="AF61">
            <v>3</v>
          </cell>
          <cell r="AG61">
            <v>25</v>
          </cell>
          <cell r="AH61"/>
          <cell r="AI61">
            <v>270</v>
          </cell>
          <cell r="AJ61">
            <v>65</v>
          </cell>
          <cell r="AK61">
            <v>11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6</v>
          </cell>
          <cell r="H62">
            <v>2</v>
          </cell>
          <cell r="I62">
            <v>0</v>
          </cell>
          <cell r="J62">
            <v>0</v>
          </cell>
          <cell r="K62">
            <v>0</v>
          </cell>
          <cell r="L62">
            <v>14</v>
          </cell>
          <cell r="M62">
            <v>0</v>
          </cell>
          <cell r="N62">
            <v>0</v>
          </cell>
          <cell r="O62">
            <v>0</v>
          </cell>
          <cell r="P62">
            <v>9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82</v>
          </cell>
          <cell r="X62">
            <v>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/>
          <cell r="AI62">
            <v>120</v>
          </cell>
          <cell r="AJ62">
            <v>82</v>
          </cell>
          <cell r="AK62">
            <v>6</v>
          </cell>
        </row>
        <row r="63">
          <cell r="C63">
            <v>350123011</v>
          </cell>
          <cell r="D63">
            <v>0</v>
          </cell>
          <cell r="E63">
            <v>4</v>
          </cell>
          <cell r="F63">
            <v>0</v>
          </cell>
          <cell r="G63">
            <v>8</v>
          </cell>
          <cell r="H63">
            <v>5</v>
          </cell>
          <cell r="I63">
            <v>4</v>
          </cell>
          <cell r="J63">
            <v>0</v>
          </cell>
          <cell r="K63">
            <v>0</v>
          </cell>
          <cell r="L63">
            <v>6</v>
          </cell>
          <cell r="M63">
            <v>0</v>
          </cell>
          <cell r="N63">
            <v>0</v>
          </cell>
          <cell r="O63">
            <v>0</v>
          </cell>
          <cell r="P63">
            <v>12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9</v>
          </cell>
          <cell r="V63">
            <v>0</v>
          </cell>
          <cell r="W63">
            <v>28</v>
          </cell>
          <cell r="X63">
            <v>5</v>
          </cell>
          <cell r="Y63">
            <v>1</v>
          </cell>
          <cell r="Z63">
            <v>0</v>
          </cell>
          <cell r="AA63">
            <v>0</v>
          </cell>
          <cell r="AB63">
            <v>10</v>
          </cell>
          <cell r="AC63">
            <v>2</v>
          </cell>
          <cell r="AD63">
            <v>0</v>
          </cell>
          <cell r="AE63">
            <v>1</v>
          </cell>
          <cell r="AF63">
            <v>0</v>
          </cell>
          <cell r="AG63">
            <v>0</v>
          </cell>
          <cell r="AH63"/>
          <cell r="AI63">
            <v>95</v>
          </cell>
          <cell r="AJ63">
            <v>28</v>
          </cell>
          <cell r="AK63">
            <v>13</v>
          </cell>
        </row>
        <row r="64">
          <cell r="C64">
            <v>350123010</v>
          </cell>
          <cell r="D64">
            <v>0</v>
          </cell>
          <cell r="E64">
            <v>0</v>
          </cell>
          <cell r="F64">
            <v>0</v>
          </cell>
          <cell r="G64">
            <v>14</v>
          </cell>
          <cell r="H64">
            <v>20</v>
          </cell>
          <cell r="I64">
            <v>2</v>
          </cell>
          <cell r="J64">
            <v>0</v>
          </cell>
          <cell r="K64">
            <v>29</v>
          </cell>
          <cell r="L64">
            <v>2</v>
          </cell>
          <cell r="M64">
            <v>0</v>
          </cell>
          <cell r="N64">
            <v>0</v>
          </cell>
          <cell r="O64">
            <v>0</v>
          </cell>
          <cell r="P64">
            <v>2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12</v>
          </cell>
          <cell r="X64">
            <v>5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52</v>
          </cell>
          <cell r="AD64">
            <v>0</v>
          </cell>
          <cell r="AE64">
            <v>0</v>
          </cell>
          <cell r="AF64">
            <v>9</v>
          </cell>
          <cell r="AG64">
            <v>0</v>
          </cell>
          <cell r="AH64"/>
          <cell r="AI64">
            <v>147</v>
          </cell>
          <cell r="AJ64">
            <v>52</v>
          </cell>
          <cell r="AK64">
            <v>10</v>
          </cell>
        </row>
        <row r="65">
          <cell r="C65">
            <v>350123009</v>
          </cell>
          <cell r="D65">
            <v>4</v>
          </cell>
          <cell r="E65">
            <v>0</v>
          </cell>
          <cell r="F65">
            <v>0</v>
          </cell>
          <cell r="G65">
            <v>16</v>
          </cell>
          <cell r="H65">
            <v>7</v>
          </cell>
          <cell r="I65">
            <v>0</v>
          </cell>
          <cell r="J65">
            <v>18.5</v>
          </cell>
          <cell r="K65">
            <v>0</v>
          </cell>
          <cell r="L65">
            <v>14</v>
          </cell>
          <cell r="M65">
            <v>0</v>
          </cell>
          <cell r="N65">
            <v>14.5</v>
          </cell>
          <cell r="O65">
            <v>0</v>
          </cell>
          <cell r="P65">
            <v>3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64</v>
          </cell>
          <cell r="X65">
            <v>6.5</v>
          </cell>
          <cell r="Y65">
            <v>0</v>
          </cell>
          <cell r="Z65">
            <v>0</v>
          </cell>
          <cell r="AA65">
            <v>0</v>
          </cell>
          <cell r="AB65">
            <v>7</v>
          </cell>
          <cell r="AC65">
            <v>23.5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/>
          <cell r="AI65">
            <v>178</v>
          </cell>
          <cell r="AJ65">
            <v>64</v>
          </cell>
          <cell r="AK65">
            <v>11</v>
          </cell>
        </row>
        <row r="66">
          <cell r="C66">
            <v>350123008</v>
          </cell>
          <cell r="D66">
            <v>60</v>
          </cell>
          <cell r="E66">
            <v>0</v>
          </cell>
          <cell r="F66">
            <v>5</v>
          </cell>
          <cell r="G66">
            <v>5</v>
          </cell>
          <cell r="H66">
            <v>20</v>
          </cell>
          <cell r="I66">
            <v>0</v>
          </cell>
          <cell r="J66">
            <v>0</v>
          </cell>
          <cell r="K66">
            <v>0</v>
          </cell>
          <cell r="L66">
            <v>14</v>
          </cell>
          <cell r="M66">
            <v>2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80</v>
          </cell>
          <cell r="X66">
            <v>0</v>
          </cell>
          <cell r="Y66">
            <v>14</v>
          </cell>
          <cell r="Z66">
            <v>0</v>
          </cell>
          <cell r="AA66">
            <v>0</v>
          </cell>
          <cell r="AB66">
            <v>0</v>
          </cell>
          <cell r="AC66">
            <v>27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/>
          <cell r="AI66">
            <v>227</v>
          </cell>
          <cell r="AJ66">
            <v>80</v>
          </cell>
          <cell r="AK66">
            <v>9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14</v>
          </cell>
          <cell r="H67">
            <v>11</v>
          </cell>
          <cell r="I67">
            <v>0</v>
          </cell>
          <cell r="J67">
            <v>0</v>
          </cell>
          <cell r="K67">
            <v>16</v>
          </cell>
          <cell r="L67">
            <v>3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48</v>
          </cell>
          <cell r="X67">
            <v>8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/>
          <cell r="AI67">
            <v>100</v>
          </cell>
          <cell r="AJ67">
            <v>48</v>
          </cell>
          <cell r="AK67">
            <v>6</v>
          </cell>
        </row>
        <row r="68">
          <cell r="C68">
            <v>350123006</v>
          </cell>
          <cell r="D68">
            <v>4</v>
          </cell>
          <cell r="E68">
            <v>12</v>
          </cell>
          <cell r="F68">
            <v>3</v>
          </cell>
          <cell r="G68">
            <v>13</v>
          </cell>
          <cell r="H68">
            <v>10</v>
          </cell>
          <cell r="I68">
            <v>2</v>
          </cell>
          <cell r="J68">
            <v>0</v>
          </cell>
          <cell r="K68">
            <v>0</v>
          </cell>
          <cell r="L68">
            <v>3</v>
          </cell>
          <cell r="M68">
            <v>0</v>
          </cell>
          <cell r="N68">
            <v>0</v>
          </cell>
          <cell r="O68">
            <v>0</v>
          </cell>
          <cell r="P68">
            <v>27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5</v>
          </cell>
          <cell r="V68">
            <v>0</v>
          </cell>
          <cell r="W68">
            <v>15</v>
          </cell>
          <cell r="X68">
            <v>4</v>
          </cell>
          <cell r="Y68">
            <v>0</v>
          </cell>
          <cell r="Z68">
            <v>0</v>
          </cell>
          <cell r="AA68">
            <v>0</v>
          </cell>
          <cell r="AB68">
            <v>49</v>
          </cell>
          <cell r="AC68">
            <v>20</v>
          </cell>
          <cell r="AD68">
            <v>0</v>
          </cell>
          <cell r="AE68">
            <v>0</v>
          </cell>
          <cell r="AF68">
            <v>37</v>
          </cell>
          <cell r="AG68">
            <v>0</v>
          </cell>
          <cell r="AH68"/>
          <cell r="AI68">
            <v>204</v>
          </cell>
          <cell r="AJ68">
            <v>49</v>
          </cell>
          <cell r="AK68">
            <v>14</v>
          </cell>
        </row>
        <row r="69">
          <cell r="C69">
            <v>350123005</v>
          </cell>
          <cell r="D69">
            <v>40</v>
          </cell>
          <cell r="E69">
            <v>40</v>
          </cell>
          <cell r="F69">
            <v>4</v>
          </cell>
          <cell r="G69">
            <v>71</v>
          </cell>
          <cell r="H69">
            <v>14</v>
          </cell>
          <cell r="I69">
            <v>0</v>
          </cell>
          <cell r="J69">
            <v>0</v>
          </cell>
          <cell r="K69">
            <v>0</v>
          </cell>
          <cell r="L69">
            <v>10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139</v>
          </cell>
          <cell r="X69">
            <v>9</v>
          </cell>
          <cell r="Y69">
            <v>14</v>
          </cell>
          <cell r="Z69">
            <v>0</v>
          </cell>
          <cell r="AA69">
            <v>0</v>
          </cell>
          <cell r="AB69">
            <v>0</v>
          </cell>
          <cell r="AC69">
            <v>39</v>
          </cell>
          <cell r="AD69">
            <v>0</v>
          </cell>
          <cell r="AE69">
            <v>1</v>
          </cell>
          <cell r="AF69">
            <v>0</v>
          </cell>
          <cell r="AG69">
            <v>0</v>
          </cell>
          <cell r="AH69"/>
          <cell r="AI69">
            <v>381</v>
          </cell>
          <cell r="AJ69">
            <v>139</v>
          </cell>
          <cell r="AK69">
            <v>11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26</v>
          </cell>
          <cell r="H70">
            <v>8</v>
          </cell>
          <cell r="I70">
            <v>0</v>
          </cell>
          <cell r="J70">
            <v>0</v>
          </cell>
          <cell r="K70">
            <v>0</v>
          </cell>
          <cell r="L70">
            <v>18</v>
          </cell>
          <cell r="M70">
            <v>0</v>
          </cell>
          <cell r="N70">
            <v>0</v>
          </cell>
          <cell r="O70">
            <v>10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75</v>
          </cell>
          <cell r="X70">
            <v>4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14</v>
          </cell>
          <cell r="AD70">
            <v>0</v>
          </cell>
          <cell r="AE70">
            <v>0</v>
          </cell>
          <cell r="AF70">
            <v>2</v>
          </cell>
          <cell r="AG70">
            <v>0</v>
          </cell>
          <cell r="AH70"/>
          <cell r="AI70">
            <v>157</v>
          </cell>
          <cell r="AJ70">
            <v>75</v>
          </cell>
          <cell r="AK70">
            <v>8</v>
          </cell>
        </row>
        <row r="71">
          <cell r="C71">
            <v>350123003</v>
          </cell>
          <cell r="D71">
            <v>0</v>
          </cell>
          <cell r="E71">
            <v>5</v>
          </cell>
          <cell r="F71">
            <v>0</v>
          </cell>
          <cell r="G71">
            <v>0</v>
          </cell>
          <cell r="H71">
            <v>3</v>
          </cell>
          <cell r="I71">
            <v>0</v>
          </cell>
          <cell r="J71">
            <v>0</v>
          </cell>
          <cell r="K71">
            <v>0</v>
          </cell>
          <cell r="L71">
            <v>20</v>
          </cell>
          <cell r="M71">
            <v>5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157</v>
          </cell>
          <cell r="X71">
            <v>3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11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/>
          <cell r="AI71">
            <v>204</v>
          </cell>
          <cell r="AJ71">
            <v>157</v>
          </cell>
          <cell r="AK71">
            <v>7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6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63</v>
          </cell>
          <cell r="X72">
            <v>6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20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/>
          <cell r="AI72">
            <v>95</v>
          </cell>
          <cell r="AJ72">
            <v>63</v>
          </cell>
          <cell r="AK72">
            <v>4</v>
          </cell>
        </row>
        <row r="73">
          <cell r="C73">
            <v>350123001</v>
          </cell>
          <cell r="D73">
            <v>38</v>
          </cell>
          <cell r="E73">
            <v>0</v>
          </cell>
          <cell r="F73">
            <v>0</v>
          </cell>
          <cell r="G73">
            <v>0</v>
          </cell>
          <cell r="H73">
            <v>25</v>
          </cell>
          <cell r="I73">
            <v>6</v>
          </cell>
          <cell r="J73">
            <v>8</v>
          </cell>
          <cell r="K73">
            <v>5</v>
          </cell>
          <cell r="L73">
            <v>0</v>
          </cell>
          <cell r="M73">
            <v>0</v>
          </cell>
          <cell r="N73">
            <v>15</v>
          </cell>
          <cell r="O73">
            <v>0</v>
          </cell>
          <cell r="P73">
            <v>7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72</v>
          </cell>
          <cell r="X73">
            <v>5</v>
          </cell>
          <cell r="Y73">
            <v>0</v>
          </cell>
          <cell r="Z73">
            <v>0</v>
          </cell>
          <cell r="AA73">
            <v>3</v>
          </cell>
          <cell r="AB73">
            <v>0</v>
          </cell>
          <cell r="AC73">
            <v>10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/>
          <cell r="AI73">
            <v>194</v>
          </cell>
          <cell r="AJ73">
            <v>72</v>
          </cell>
          <cell r="AK73">
            <v>11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13</v>
          </cell>
          <cell r="G74">
            <v>14</v>
          </cell>
          <cell r="H74">
            <v>17</v>
          </cell>
          <cell r="I74">
            <v>5</v>
          </cell>
          <cell r="J74">
            <v>0</v>
          </cell>
          <cell r="K74">
            <v>0</v>
          </cell>
          <cell r="L74">
            <v>5</v>
          </cell>
          <cell r="M74">
            <v>0</v>
          </cell>
          <cell r="N74">
            <v>0</v>
          </cell>
          <cell r="O74">
            <v>12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21</v>
          </cell>
          <cell r="V74">
            <v>0</v>
          </cell>
          <cell r="W74">
            <v>14</v>
          </cell>
          <cell r="X74">
            <v>0</v>
          </cell>
          <cell r="Y74">
            <v>0</v>
          </cell>
          <cell r="Z74">
            <v>21</v>
          </cell>
          <cell r="AA74">
            <v>6</v>
          </cell>
          <cell r="AB74">
            <v>0</v>
          </cell>
          <cell r="AC74">
            <v>68</v>
          </cell>
          <cell r="AD74">
            <v>0</v>
          </cell>
          <cell r="AE74">
            <v>13</v>
          </cell>
          <cell r="AF74">
            <v>9</v>
          </cell>
          <cell r="AG74">
            <v>0</v>
          </cell>
          <cell r="AH74"/>
          <cell r="AI74">
            <v>218</v>
          </cell>
          <cell r="AJ74">
            <v>68</v>
          </cell>
          <cell r="AK74">
            <v>13</v>
          </cell>
        </row>
        <row r="75">
          <cell r="C75">
            <v>350122030</v>
          </cell>
          <cell r="D75">
            <v>0</v>
          </cell>
          <cell r="E75">
            <v>0</v>
          </cell>
          <cell r="F75">
            <v>0</v>
          </cell>
          <cell r="G75">
            <v>32</v>
          </cell>
          <cell r="H75">
            <v>0</v>
          </cell>
          <cell r="I75">
            <v>34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2</v>
          </cell>
          <cell r="O75">
            <v>0</v>
          </cell>
          <cell r="P75">
            <v>0</v>
          </cell>
          <cell r="Q75">
            <v>37</v>
          </cell>
          <cell r="R75">
            <v>0</v>
          </cell>
          <cell r="S75">
            <v>0</v>
          </cell>
          <cell r="T75">
            <v>0</v>
          </cell>
          <cell r="U75">
            <v>25</v>
          </cell>
          <cell r="V75">
            <v>0</v>
          </cell>
          <cell r="W75">
            <v>63</v>
          </cell>
          <cell r="X75">
            <v>3</v>
          </cell>
          <cell r="Y75">
            <v>5</v>
          </cell>
          <cell r="Z75">
            <v>0</v>
          </cell>
          <cell r="AA75">
            <v>0</v>
          </cell>
          <cell r="AB75">
            <v>18</v>
          </cell>
          <cell r="AC75">
            <v>13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/>
          <cell r="AI75">
            <v>232</v>
          </cell>
          <cell r="AJ75">
            <v>63</v>
          </cell>
          <cell r="AK75">
            <v>10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26</v>
          </cell>
          <cell r="G76">
            <v>13</v>
          </cell>
          <cell r="H76">
            <v>0</v>
          </cell>
          <cell r="I76">
            <v>1</v>
          </cell>
          <cell r="J76">
            <v>0</v>
          </cell>
          <cell r="K76">
            <v>0</v>
          </cell>
          <cell r="L76">
            <v>23</v>
          </cell>
          <cell r="M76">
            <v>13</v>
          </cell>
          <cell r="N76">
            <v>0</v>
          </cell>
          <cell r="O76">
            <v>2</v>
          </cell>
          <cell r="P76">
            <v>13</v>
          </cell>
          <cell r="Q76">
            <v>0</v>
          </cell>
          <cell r="R76">
            <v>0</v>
          </cell>
          <cell r="S76">
            <v>8</v>
          </cell>
          <cell r="T76">
            <v>0</v>
          </cell>
          <cell r="U76">
            <v>0</v>
          </cell>
          <cell r="V76">
            <v>0</v>
          </cell>
          <cell r="W76">
            <v>52</v>
          </cell>
          <cell r="X76">
            <v>8</v>
          </cell>
          <cell r="Y76">
            <v>32</v>
          </cell>
          <cell r="Z76">
            <v>0</v>
          </cell>
          <cell r="AA76">
            <v>8</v>
          </cell>
          <cell r="AB76">
            <v>0</v>
          </cell>
          <cell r="AC76">
            <v>31</v>
          </cell>
          <cell r="AD76">
            <v>0</v>
          </cell>
          <cell r="AE76">
            <v>23</v>
          </cell>
          <cell r="AF76">
            <v>0</v>
          </cell>
          <cell r="AG76">
            <v>0</v>
          </cell>
          <cell r="AH76"/>
          <cell r="AI76">
            <v>253</v>
          </cell>
          <cell r="AJ76">
            <v>52</v>
          </cell>
          <cell r="AK76">
            <v>14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37</v>
          </cell>
          <cell r="H77">
            <v>0</v>
          </cell>
          <cell r="I77">
            <v>4</v>
          </cell>
          <cell r="J77">
            <v>0</v>
          </cell>
          <cell r="K77">
            <v>0</v>
          </cell>
          <cell r="L77">
            <v>17</v>
          </cell>
          <cell r="M77">
            <v>0</v>
          </cell>
          <cell r="N77">
            <v>0</v>
          </cell>
          <cell r="O77">
            <v>4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/>
          <cell r="V77">
            <v>0</v>
          </cell>
          <cell r="W77">
            <v>35</v>
          </cell>
          <cell r="X77">
            <v>0</v>
          </cell>
          <cell r="Y77">
            <v>7</v>
          </cell>
          <cell r="Z77">
            <v>0</v>
          </cell>
          <cell r="AA77">
            <v>0</v>
          </cell>
          <cell r="AB77">
            <v>0</v>
          </cell>
          <cell r="AC77">
            <v>15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/>
          <cell r="AI77">
            <v>119</v>
          </cell>
          <cell r="AJ77">
            <v>37</v>
          </cell>
          <cell r="AK77">
            <v>7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6.5</v>
          </cell>
          <cell r="G78">
            <v>14</v>
          </cell>
          <cell r="H78">
            <v>16</v>
          </cell>
          <cell r="I78">
            <v>2</v>
          </cell>
          <cell r="J78">
            <v>0</v>
          </cell>
          <cell r="K78">
            <v>0</v>
          </cell>
          <cell r="L78">
            <v>46</v>
          </cell>
          <cell r="M78">
            <v>0</v>
          </cell>
          <cell r="N78">
            <v>0</v>
          </cell>
          <cell r="O78">
            <v>17</v>
          </cell>
          <cell r="P78">
            <v>4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15</v>
          </cell>
          <cell r="W78">
            <v>90</v>
          </cell>
          <cell r="X78">
            <v>1.3</v>
          </cell>
          <cell r="Y78">
            <v>13</v>
          </cell>
          <cell r="Z78">
            <v>4</v>
          </cell>
          <cell r="AA78">
            <v>23</v>
          </cell>
          <cell r="AB78">
            <v>0</v>
          </cell>
          <cell r="AC78">
            <v>47</v>
          </cell>
          <cell r="AD78">
            <v>14.5</v>
          </cell>
          <cell r="AE78">
            <v>9</v>
          </cell>
          <cell r="AF78">
            <v>14</v>
          </cell>
          <cell r="AG78">
            <v>0</v>
          </cell>
          <cell r="AH78"/>
          <cell r="AI78">
            <v>336.3</v>
          </cell>
          <cell r="AJ78">
            <v>90</v>
          </cell>
          <cell r="AK78">
            <v>17</v>
          </cell>
        </row>
        <row r="79">
          <cell r="C79">
            <v>350122026</v>
          </cell>
          <cell r="D79">
            <v>0</v>
          </cell>
          <cell r="E79">
            <v>0.5</v>
          </cell>
          <cell r="F79">
            <v>35</v>
          </cell>
          <cell r="G79">
            <v>15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46</v>
          </cell>
          <cell r="O79">
            <v>0</v>
          </cell>
          <cell r="P79">
            <v>0</v>
          </cell>
          <cell r="Q79">
            <v>39.5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118</v>
          </cell>
          <cell r="X79">
            <v>0</v>
          </cell>
          <cell r="Y79">
            <v>7.5</v>
          </cell>
          <cell r="Z79">
            <v>0</v>
          </cell>
          <cell r="AA79">
            <v>1.5</v>
          </cell>
          <cell r="AB79">
            <v>47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/>
          <cell r="AI79">
            <v>310</v>
          </cell>
          <cell r="AJ79">
            <v>118</v>
          </cell>
          <cell r="AK79">
            <v>9</v>
          </cell>
        </row>
        <row r="80">
          <cell r="C80">
            <v>350122025</v>
          </cell>
          <cell r="D80">
            <v>0</v>
          </cell>
          <cell r="E80">
            <v>19</v>
          </cell>
          <cell r="F80">
            <v>20</v>
          </cell>
          <cell r="G80">
            <v>9</v>
          </cell>
          <cell r="H80">
            <v>0</v>
          </cell>
          <cell r="I80">
            <v>12</v>
          </cell>
          <cell r="J80">
            <v>0</v>
          </cell>
          <cell r="K80">
            <v>0</v>
          </cell>
          <cell r="L80">
            <v>2</v>
          </cell>
          <cell r="M80">
            <v>0</v>
          </cell>
          <cell r="N80">
            <v>0</v>
          </cell>
          <cell r="O80">
            <v>1</v>
          </cell>
          <cell r="P80">
            <v>17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25</v>
          </cell>
          <cell r="X80">
            <v>85</v>
          </cell>
          <cell r="Y80">
            <v>32</v>
          </cell>
          <cell r="Z80">
            <v>0</v>
          </cell>
          <cell r="AA80">
            <v>0</v>
          </cell>
          <cell r="AB80">
            <v>0</v>
          </cell>
          <cell r="AC80">
            <v>7</v>
          </cell>
          <cell r="AD80">
            <v>0</v>
          </cell>
          <cell r="AE80">
            <v>10</v>
          </cell>
          <cell r="AF80">
            <v>0</v>
          </cell>
          <cell r="AG80">
            <v>0</v>
          </cell>
          <cell r="AH80"/>
          <cell r="AI80">
            <v>239</v>
          </cell>
          <cell r="AJ80">
            <v>85</v>
          </cell>
          <cell r="AK80">
            <v>12</v>
          </cell>
        </row>
        <row r="81">
          <cell r="C81">
            <v>350122024</v>
          </cell>
          <cell r="D81">
            <v>0</v>
          </cell>
          <cell r="E81">
            <v>3</v>
          </cell>
          <cell r="F81">
            <v>8</v>
          </cell>
          <cell r="G81">
            <v>10</v>
          </cell>
          <cell r="H81">
            <v>53</v>
          </cell>
          <cell r="I81">
            <v>5</v>
          </cell>
          <cell r="J81">
            <v>20</v>
          </cell>
          <cell r="K81">
            <v>30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1</v>
          </cell>
          <cell r="V81">
            <v>14</v>
          </cell>
          <cell r="W81">
            <v>30</v>
          </cell>
          <cell r="X81">
            <v>5</v>
          </cell>
          <cell r="Y81">
            <v>0</v>
          </cell>
          <cell r="Z81">
            <v>0</v>
          </cell>
          <cell r="AA81">
            <v>11</v>
          </cell>
          <cell r="AB81">
            <v>13</v>
          </cell>
          <cell r="AC81">
            <v>35</v>
          </cell>
          <cell r="AD81">
            <v>0</v>
          </cell>
          <cell r="AE81">
            <v>0</v>
          </cell>
          <cell r="AF81">
            <v>19</v>
          </cell>
          <cell r="AG81">
            <v>0</v>
          </cell>
          <cell r="AH81"/>
          <cell r="AI81">
            <v>257</v>
          </cell>
          <cell r="AJ81">
            <v>53</v>
          </cell>
          <cell r="AK81">
            <v>15</v>
          </cell>
        </row>
        <row r="82">
          <cell r="C82">
            <v>350122023</v>
          </cell>
          <cell r="D82">
            <v>0</v>
          </cell>
          <cell r="E82">
            <v>1</v>
          </cell>
          <cell r="F82">
            <v>5.6</v>
          </cell>
          <cell r="G82">
            <v>53</v>
          </cell>
          <cell r="H82">
            <v>19</v>
          </cell>
          <cell r="I82">
            <v>3.5</v>
          </cell>
          <cell r="J82">
            <v>0</v>
          </cell>
          <cell r="K82">
            <v>15</v>
          </cell>
          <cell r="L82">
            <v>0</v>
          </cell>
          <cell r="M82">
            <v>9</v>
          </cell>
          <cell r="N82">
            <v>6.5</v>
          </cell>
          <cell r="O82">
            <v>0</v>
          </cell>
          <cell r="P82">
            <v>0</v>
          </cell>
          <cell r="Q82">
            <v>58.5</v>
          </cell>
          <cell r="R82">
            <v>0</v>
          </cell>
          <cell r="S82">
            <v>0</v>
          </cell>
          <cell r="T82">
            <v>0</v>
          </cell>
          <cell r="U82">
            <v>2</v>
          </cell>
          <cell r="V82">
            <v>0</v>
          </cell>
          <cell r="W82">
            <v>6</v>
          </cell>
          <cell r="X82">
            <v>0</v>
          </cell>
          <cell r="Y82">
            <v>3.6</v>
          </cell>
          <cell r="Z82">
            <v>0</v>
          </cell>
          <cell r="AA82">
            <v>0</v>
          </cell>
          <cell r="AB82">
            <v>25</v>
          </cell>
          <cell r="AC82">
            <v>62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/>
          <cell r="AI82">
            <v>269.7</v>
          </cell>
          <cell r="AJ82">
            <v>62</v>
          </cell>
          <cell r="AK82">
            <v>14</v>
          </cell>
        </row>
        <row r="83">
          <cell r="C83">
            <v>350122022</v>
          </cell>
          <cell r="D83">
            <v>6</v>
          </cell>
          <cell r="E83">
            <v>0</v>
          </cell>
          <cell r="F83">
            <v>6</v>
          </cell>
          <cell r="G83">
            <v>10</v>
          </cell>
          <cell r="H83">
            <v>6</v>
          </cell>
          <cell r="I83">
            <v>6.5</v>
          </cell>
          <cell r="J83">
            <v>0</v>
          </cell>
          <cell r="K83">
            <v>0</v>
          </cell>
          <cell r="L83">
            <v>3</v>
          </cell>
          <cell r="M83">
            <v>0</v>
          </cell>
          <cell r="N83">
            <v>0</v>
          </cell>
          <cell r="O83">
            <v>0.5</v>
          </cell>
          <cell r="P83">
            <v>0</v>
          </cell>
          <cell r="Q83">
            <v>2.4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49</v>
          </cell>
          <cell r="X83">
            <v>0</v>
          </cell>
          <cell r="Y83">
            <v>15.4</v>
          </cell>
          <cell r="Z83">
            <v>0</v>
          </cell>
          <cell r="AA83">
            <v>9</v>
          </cell>
          <cell r="AB83">
            <v>1</v>
          </cell>
          <cell r="AC83">
            <v>3.5</v>
          </cell>
          <cell r="AD83">
            <v>0</v>
          </cell>
          <cell r="AE83">
            <v>10.4</v>
          </cell>
          <cell r="AF83">
            <v>1.6</v>
          </cell>
          <cell r="AG83">
            <v>4.8</v>
          </cell>
          <cell r="AH83"/>
          <cell r="AI83">
            <v>135.10000000000002</v>
          </cell>
          <cell r="AJ83">
            <v>49</v>
          </cell>
          <cell r="AK83">
            <v>16</v>
          </cell>
        </row>
        <row r="84">
          <cell r="C84">
            <v>350122021</v>
          </cell>
          <cell r="D84">
            <v>0</v>
          </cell>
          <cell r="E84">
            <v>7</v>
          </cell>
          <cell r="F84">
            <v>0</v>
          </cell>
          <cell r="G84">
            <v>65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18</v>
          </cell>
          <cell r="O84">
            <v>0</v>
          </cell>
          <cell r="P84">
            <v>0</v>
          </cell>
          <cell r="Q84">
            <v>3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40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17</v>
          </cell>
          <cell r="AC84">
            <v>0</v>
          </cell>
          <cell r="AD84">
            <v>4</v>
          </cell>
          <cell r="AE84">
            <v>2</v>
          </cell>
          <cell r="AF84">
            <v>0</v>
          </cell>
          <cell r="AG84">
            <v>0</v>
          </cell>
          <cell r="AH84"/>
          <cell r="AI84">
            <v>156</v>
          </cell>
          <cell r="AJ84">
            <v>65</v>
          </cell>
          <cell r="AK84">
            <v>8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3</v>
          </cell>
          <cell r="G85">
            <v>38</v>
          </cell>
          <cell r="H85">
            <v>0</v>
          </cell>
          <cell r="I85">
            <v>0</v>
          </cell>
          <cell r="J85">
            <v>0</v>
          </cell>
          <cell r="K85">
            <v>5</v>
          </cell>
          <cell r="L85">
            <v>0</v>
          </cell>
          <cell r="M85">
            <v>0</v>
          </cell>
          <cell r="N85">
            <v>7</v>
          </cell>
          <cell r="O85">
            <v>3</v>
          </cell>
          <cell r="P85">
            <v>0</v>
          </cell>
          <cell r="Q85">
            <v>26</v>
          </cell>
          <cell r="R85">
            <v>0</v>
          </cell>
          <cell r="S85">
            <v>0</v>
          </cell>
          <cell r="T85">
            <v>0</v>
          </cell>
          <cell r="U85">
            <v>1</v>
          </cell>
          <cell r="V85">
            <v>0</v>
          </cell>
          <cell r="W85">
            <v>21</v>
          </cell>
          <cell r="X85">
            <v>0</v>
          </cell>
          <cell r="Y85">
            <v>5</v>
          </cell>
          <cell r="Z85">
            <v>0</v>
          </cell>
          <cell r="AA85">
            <v>0</v>
          </cell>
          <cell r="AB85">
            <v>9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/>
          <cell r="AI85">
            <v>118</v>
          </cell>
          <cell r="AJ85">
            <v>38</v>
          </cell>
          <cell r="AK85">
            <v>10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7.5</v>
          </cell>
          <cell r="G86">
            <v>36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31</v>
          </cell>
          <cell r="M86">
            <v>45</v>
          </cell>
          <cell r="N86">
            <v>0</v>
          </cell>
          <cell r="O86">
            <v>7</v>
          </cell>
          <cell r="P86">
            <v>0</v>
          </cell>
          <cell r="Q86">
            <v>6</v>
          </cell>
          <cell r="R86">
            <v>0</v>
          </cell>
          <cell r="S86">
            <v>0</v>
          </cell>
          <cell r="T86">
            <v>0</v>
          </cell>
          <cell r="U86">
            <v>2</v>
          </cell>
          <cell r="V86">
            <v>0</v>
          </cell>
          <cell r="W86">
            <v>46</v>
          </cell>
          <cell r="X86">
            <v>1</v>
          </cell>
          <cell r="Y86">
            <v>1.5</v>
          </cell>
          <cell r="Z86">
            <v>0</v>
          </cell>
          <cell r="AA86">
            <v>0</v>
          </cell>
          <cell r="AB86">
            <v>0</v>
          </cell>
          <cell r="AC86">
            <v>4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/>
          <cell r="AI86">
            <v>187</v>
          </cell>
          <cell r="AJ86">
            <v>46</v>
          </cell>
          <cell r="AK86">
            <v>11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0</v>
          </cell>
          <cell r="G87">
            <v>39</v>
          </cell>
          <cell r="H87">
            <v>0</v>
          </cell>
          <cell r="I87">
            <v>40</v>
          </cell>
          <cell r="J87">
            <v>0</v>
          </cell>
          <cell r="K87">
            <v>0</v>
          </cell>
          <cell r="L87">
            <v>0</v>
          </cell>
          <cell r="M87">
            <v>16</v>
          </cell>
          <cell r="N87">
            <v>38</v>
          </cell>
          <cell r="O87">
            <v>0</v>
          </cell>
          <cell r="P87">
            <v>12</v>
          </cell>
          <cell r="Q87">
            <v>5</v>
          </cell>
          <cell r="R87">
            <v>0</v>
          </cell>
          <cell r="S87">
            <v>11</v>
          </cell>
          <cell r="T87">
            <v>21</v>
          </cell>
          <cell r="U87">
            <v>0</v>
          </cell>
          <cell r="V87">
            <v>0</v>
          </cell>
          <cell r="W87">
            <v>39</v>
          </cell>
          <cell r="X87">
            <v>0</v>
          </cell>
          <cell r="Y87">
            <v>0</v>
          </cell>
          <cell r="Z87">
            <v>0</v>
          </cell>
          <cell r="AA87">
            <v>18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/>
          <cell r="AI87">
            <v>239</v>
          </cell>
          <cell r="AJ87">
            <v>40</v>
          </cell>
          <cell r="AK87">
            <v>10</v>
          </cell>
        </row>
        <row r="88">
          <cell r="C88">
            <v>350122017</v>
          </cell>
          <cell r="D88">
            <v>0</v>
          </cell>
          <cell r="E88">
            <v>0</v>
          </cell>
          <cell r="F88">
            <v>4</v>
          </cell>
          <cell r="G88">
            <v>97</v>
          </cell>
          <cell r="H88">
            <v>10</v>
          </cell>
          <cell r="I88">
            <v>2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3</v>
          </cell>
          <cell r="O88">
            <v>0</v>
          </cell>
          <cell r="P88">
            <v>0</v>
          </cell>
          <cell r="Q88">
            <v>2</v>
          </cell>
          <cell r="R88">
            <v>0</v>
          </cell>
          <cell r="S88">
            <v>0</v>
          </cell>
          <cell r="T88">
            <v>0</v>
          </cell>
          <cell r="U88">
            <v>11</v>
          </cell>
          <cell r="V88">
            <v>0</v>
          </cell>
          <cell r="W88">
            <v>83</v>
          </cell>
          <cell r="X88">
            <v>2</v>
          </cell>
          <cell r="Y88">
            <v>4</v>
          </cell>
          <cell r="Z88">
            <v>0</v>
          </cell>
          <cell r="AA88">
            <v>0</v>
          </cell>
          <cell r="AB88">
            <v>4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/>
          <cell r="AI88">
            <v>222</v>
          </cell>
          <cell r="AJ88">
            <v>97</v>
          </cell>
          <cell r="AK88">
            <v>11</v>
          </cell>
        </row>
        <row r="89">
          <cell r="C89">
            <v>350122016</v>
          </cell>
          <cell r="D89">
            <v>2</v>
          </cell>
          <cell r="E89">
            <v>0</v>
          </cell>
          <cell r="F89">
            <v>14</v>
          </cell>
          <cell r="G89">
            <v>9</v>
          </cell>
          <cell r="H89">
            <v>6</v>
          </cell>
          <cell r="I89">
            <v>5</v>
          </cell>
          <cell r="J89">
            <v>0</v>
          </cell>
          <cell r="K89">
            <v>3</v>
          </cell>
          <cell r="L89">
            <v>38</v>
          </cell>
          <cell r="M89">
            <v>0</v>
          </cell>
          <cell r="N89">
            <v>18</v>
          </cell>
          <cell r="O89">
            <v>0</v>
          </cell>
          <cell r="P89">
            <v>6</v>
          </cell>
          <cell r="Q89">
            <v>5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25</v>
          </cell>
          <cell r="X89">
            <v>1</v>
          </cell>
          <cell r="Y89">
            <v>26</v>
          </cell>
          <cell r="Z89">
            <v>0</v>
          </cell>
          <cell r="AA89">
            <v>35</v>
          </cell>
          <cell r="AB89">
            <v>12</v>
          </cell>
          <cell r="AC89">
            <v>0</v>
          </cell>
          <cell r="AD89">
            <v>0</v>
          </cell>
          <cell r="AE89">
            <v>11</v>
          </cell>
          <cell r="AF89">
            <v>7</v>
          </cell>
          <cell r="AG89">
            <v>0</v>
          </cell>
          <cell r="AH89"/>
          <cell r="AI89">
            <v>223</v>
          </cell>
          <cell r="AJ89">
            <v>38</v>
          </cell>
          <cell r="AK89">
            <v>17</v>
          </cell>
        </row>
        <row r="90">
          <cell r="C90">
            <v>350122015</v>
          </cell>
          <cell r="D90">
            <v>0</v>
          </cell>
          <cell r="E90">
            <v>0</v>
          </cell>
          <cell r="F90">
            <v>23</v>
          </cell>
          <cell r="G90">
            <v>27</v>
          </cell>
          <cell r="H90">
            <v>21</v>
          </cell>
          <cell r="I90">
            <v>4</v>
          </cell>
          <cell r="J90">
            <v>0</v>
          </cell>
          <cell r="K90">
            <v>0</v>
          </cell>
          <cell r="L90">
            <v>15</v>
          </cell>
          <cell r="M90">
            <v>7</v>
          </cell>
          <cell r="N90">
            <v>0</v>
          </cell>
          <cell r="O90">
            <v>7</v>
          </cell>
          <cell r="P90">
            <v>25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5</v>
          </cell>
          <cell r="W90">
            <v>39</v>
          </cell>
          <cell r="X90">
            <v>0</v>
          </cell>
          <cell r="Y90">
            <v>19</v>
          </cell>
          <cell r="Z90">
            <v>0</v>
          </cell>
          <cell r="AA90">
            <v>5</v>
          </cell>
          <cell r="AB90">
            <v>2</v>
          </cell>
          <cell r="AC90">
            <v>0</v>
          </cell>
          <cell r="AD90">
            <v>12</v>
          </cell>
          <cell r="AE90">
            <v>1</v>
          </cell>
          <cell r="AF90">
            <v>0</v>
          </cell>
          <cell r="AG90">
            <v>0</v>
          </cell>
          <cell r="AH90"/>
          <cell r="AI90">
            <v>212</v>
          </cell>
          <cell r="AJ90">
            <v>39</v>
          </cell>
          <cell r="AK90">
            <v>15</v>
          </cell>
        </row>
        <row r="91">
          <cell r="C91">
            <v>350122014</v>
          </cell>
          <cell r="D91">
            <v>15</v>
          </cell>
          <cell r="E91">
            <v>0</v>
          </cell>
          <cell r="F91">
            <v>26</v>
          </cell>
          <cell r="G91">
            <v>65</v>
          </cell>
          <cell r="H91">
            <v>12</v>
          </cell>
          <cell r="I91">
            <v>56</v>
          </cell>
          <cell r="J91">
            <v>0</v>
          </cell>
          <cell r="K91">
            <v>0</v>
          </cell>
          <cell r="L91">
            <v>0</v>
          </cell>
          <cell r="M91">
            <v>24</v>
          </cell>
          <cell r="N91">
            <v>0</v>
          </cell>
          <cell r="O91">
            <v>28</v>
          </cell>
          <cell r="P91">
            <v>8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10</v>
          </cell>
          <cell r="V91">
            <v>0</v>
          </cell>
          <cell r="W91">
            <v>14</v>
          </cell>
          <cell r="X91">
            <v>6</v>
          </cell>
          <cell r="Y91">
            <v>20</v>
          </cell>
          <cell r="Z91">
            <v>0</v>
          </cell>
          <cell r="AA91">
            <v>22</v>
          </cell>
          <cell r="AB91">
            <v>0</v>
          </cell>
          <cell r="AC91">
            <v>0</v>
          </cell>
          <cell r="AD91">
            <v>16</v>
          </cell>
          <cell r="AE91">
            <v>0</v>
          </cell>
          <cell r="AF91">
            <v>0</v>
          </cell>
          <cell r="AG91">
            <v>0</v>
          </cell>
          <cell r="AH91"/>
          <cell r="AI91">
            <v>322</v>
          </cell>
          <cell r="AJ91">
            <v>65</v>
          </cell>
          <cell r="AK91">
            <v>14</v>
          </cell>
        </row>
        <row r="92">
          <cell r="C92">
            <v>350122013</v>
          </cell>
          <cell r="D92">
            <v>0</v>
          </cell>
          <cell r="E92">
            <v>19</v>
          </cell>
          <cell r="F92">
            <v>6</v>
          </cell>
          <cell r="G92">
            <v>21</v>
          </cell>
          <cell r="H92">
            <v>32</v>
          </cell>
          <cell r="I92">
            <v>16</v>
          </cell>
          <cell r="J92">
            <v>0</v>
          </cell>
          <cell r="K92">
            <v>0</v>
          </cell>
          <cell r="L92">
            <v>32</v>
          </cell>
          <cell r="M92">
            <v>4</v>
          </cell>
          <cell r="N92">
            <v>0</v>
          </cell>
          <cell r="O92">
            <v>0</v>
          </cell>
          <cell r="P92">
            <v>4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86</v>
          </cell>
          <cell r="X92">
            <v>0</v>
          </cell>
          <cell r="Y92">
            <v>0</v>
          </cell>
          <cell r="Z92">
            <v>0</v>
          </cell>
          <cell r="AA92">
            <v>9</v>
          </cell>
          <cell r="AB92">
            <v>7</v>
          </cell>
          <cell r="AC92">
            <v>4</v>
          </cell>
          <cell r="AD92">
            <v>5</v>
          </cell>
          <cell r="AE92">
            <v>11</v>
          </cell>
          <cell r="AF92">
            <v>4</v>
          </cell>
          <cell r="AG92">
            <v>0</v>
          </cell>
          <cell r="AH92"/>
          <cell r="AI92">
            <v>260</v>
          </cell>
          <cell r="AJ92">
            <v>86</v>
          </cell>
          <cell r="AK92">
            <v>15</v>
          </cell>
        </row>
        <row r="93">
          <cell r="C93">
            <v>350122012</v>
          </cell>
          <cell r="D93">
            <v>84</v>
          </cell>
          <cell r="E93">
            <v>0</v>
          </cell>
          <cell r="F93">
            <v>0</v>
          </cell>
          <cell r="G93">
            <v>13</v>
          </cell>
          <cell r="H93">
            <v>0</v>
          </cell>
          <cell r="I93">
            <v>32</v>
          </cell>
          <cell r="J93">
            <v>0</v>
          </cell>
          <cell r="K93">
            <v>0</v>
          </cell>
          <cell r="L93">
            <v>0</v>
          </cell>
          <cell r="M93">
            <v>16</v>
          </cell>
          <cell r="N93">
            <v>7</v>
          </cell>
          <cell r="O93">
            <v>0</v>
          </cell>
          <cell r="P93">
            <v>18</v>
          </cell>
          <cell r="Q93">
            <v>50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24</v>
          </cell>
          <cell r="X93">
            <v>0</v>
          </cell>
          <cell r="Y93">
            <v>0</v>
          </cell>
          <cell r="Z93">
            <v>0</v>
          </cell>
          <cell r="AA93">
            <v>36</v>
          </cell>
          <cell r="AB93">
            <v>17</v>
          </cell>
          <cell r="AC93">
            <v>29</v>
          </cell>
          <cell r="AD93">
            <v>0</v>
          </cell>
          <cell r="AE93">
            <v>0</v>
          </cell>
          <cell r="AF93">
            <v>8</v>
          </cell>
          <cell r="AG93">
            <v>12</v>
          </cell>
          <cell r="AH93"/>
          <cell r="AI93">
            <v>346</v>
          </cell>
          <cell r="AJ93">
            <v>84</v>
          </cell>
          <cell r="AK93">
            <v>13</v>
          </cell>
        </row>
        <row r="94">
          <cell r="C94">
            <v>350122011</v>
          </cell>
          <cell r="D94">
            <v>0</v>
          </cell>
          <cell r="E94">
            <v>78.5</v>
          </cell>
          <cell r="F94">
            <v>6</v>
          </cell>
          <cell r="G94">
            <v>5</v>
          </cell>
          <cell r="H94">
            <v>0</v>
          </cell>
          <cell r="I94">
            <v>12.5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29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20.5</v>
          </cell>
          <cell r="X94">
            <v>93</v>
          </cell>
          <cell r="Y94">
            <v>23.5</v>
          </cell>
          <cell r="Z94">
            <v>0</v>
          </cell>
          <cell r="AA94">
            <v>0</v>
          </cell>
          <cell r="AB94">
            <v>0</v>
          </cell>
          <cell r="AC94">
            <v>7.5</v>
          </cell>
          <cell r="AD94">
            <v>0</v>
          </cell>
          <cell r="AE94">
            <v>29</v>
          </cell>
          <cell r="AF94">
            <v>0</v>
          </cell>
          <cell r="AG94">
            <v>0</v>
          </cell>
          <cell r="AH94"/>
          <cell r="AI94">
            <v>304.5</v>
          </cell>
          <cell r="AJ94">
            <v>93</v>
          </cell>
          <cell r="AK94">
            <v>10</v>
          </cell>
        </row>
        <row r="95">
          <cell r="C95">
            <v>350122010</v>
          </cell>
          <cell r="D95">
            <v>21</v>
          </cell>
          <cell r="E95">
            <v>0</v>
          </cell>
          <cell r="F95">
            <v>6</v>
          </cell>
          <cell r="G95">
            <v>49</v>
          </cell>
          <cell r="H95">
            <v>2</v>
          </cell>
          <cell r="I95">
            <v>19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8</v>
          </cell>
          <cell r="O95">
            <v>19</v>
          </cell>
          <cell r="P95">
            <v>2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23</v>
          </cell>
          <cell r="X95">
            <v>19</v>
          </cell>
          <cell r="Y95">
            <v>18</v>
          </cell>
          <cell r="Z95">
            <v>0</v>
          </cell>
          <cell r="AA95">
            <v>34</v>
          </cell>
          <cell r="AB95">
            <v>2</v>
          </cell>
          <cell r="AC95">
            <v>0</v>
          </cell>
          <cell r="AD95">
            <v>0</v>
          </cell>
          <cell r="AE95">
            <v>4</v>
          </cell>
          <cell r="AF95">
            <v>12</v>
          </cell>
          <cell r="AG95">
            <v>0</v>
          </cell>
          <cell r="AH95"/>
          <cell r="AI95">
            <v>238</v>
          </cell>
          <cell r="AJ95">
            <v>49</v>
          </cell>
          <cell r="AK95">
            <v>15</v>
          </cell>
        </row>
        <row r="96">
          <cell r="C96">
            <v>350122009</v>
          </cell>
          <cell r="D96">
            <v>2</v>
          </cell>
          <cell r="E96">
            <v>0</v>
          </cell>
          <cell r="F96">
            <v>0</v>
          </cell>
          <cell r="G96">
            <v>35</v>
          </cell>
          <cell r="H96">
            <v>20</v>
          </cell>
          <cell r="I96">
            <v>1</v>
          </cell>
          <cell r="J96">
            <v>0</v>
          </cell>
          <cell r="K96">
            <v>0</v>
          </cell>
          <cell r="L96">
            <v>28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79</v>
          </cell>
          <cell r="X96">
            <v>2</v>
          </cell>
          <cell r="Y96">
            <v>5</v>
          </cell>
          <cell r="Z96">
            <v>0</v>
          </cell>
          <cell r="AA96">
            <v>4</v>
          </cell>
          <cell r="AB96">
            <v>0</v>
          </cell>
          <cell r="AC96">
            <v>3</v>
          </cell>
          <cell r="AD96">
            <v>0</v>
          </cell>
          <cell r="AE96">
            <v>7</v>
          </cell>
          <cell r="AF96">
            <v>8</v>
          </cell>
          <cell r="AG96">
            <v>6</v>
          </cell>
          <cell r="AH96"/>
          <cell r="AI96">
            <v>200</v>
          </cell>
          <cell r="AJ96">
            <v>79</v>
          </cell>
          <cell r="AK96">
            <v>13</v>
          </cell>
        </row>
        <row r="97">
          <cell r="C97">
            <v>350122008</v>
          </cell>
          <cell r="D97">
            <v>12.5</v>
          </cell>
          <cell r="E97">
            <v>0</v>
          </cell>
          <cell r="F97">
            <v>0</v>
          </cell>
          <cell r="G97">
            <v>57.5</v>
          </cell>
          <cell r="H97">
            <v>14</v>
          </cell>
          <cell r="I97">
            <v>21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7</v>
          </cell>
          <cell r="P97">
            <v>1</v>
          </cell>
          <cell r="Q97">
            <v>0</v>
          </cell>
          <cell r="R97">
            <v>0</v>
          </cell>
          <cell r="S97">
            <v>0</v>
          </cell>
          <cell r="T97">
            <v>26</v>
          </cell>
          <cell r="U97">
            <v>0</v>
          </cell>
          <cell r="V97">
            <v>0</v>
          </cell>
          <cell r="W97">
            <v>8</v>
          </cell>
          <cell r="X97">
            <v>0</v>
          </cell>
          <cell r="Y97">
            <v>16</v>
          </cell>
          <cell r="Z97">
            <v>0</v>
          </cell>
          <cell r="AA97">
            <v>5</v>
          </cell>
          <cell r="AB97">
            <v>2</v>
          </cell>
          <cell r="AC97">
            <v>0</v>
          </cell>
          <cell r="AD97">
            <v>2</v>
          </cell>
          <cell r="AE97">
            <v>1</v>
          </cell>
          <cell r="AF97">
            <v>0</v>
          </cell>
          <cell r="AG97">
            <v>0</v>
          </cell>
          <cell r="AH97"/>
          <cell r="AI97">
            <v>173</v>
          </cell>
          <cell r="AJ97">
            <v>57.5</v>
          </cell>
          <cell r="AK97">
            <v>13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5</v>
          </cell>
          <cell r="G98">
            <v>82</v>
          </cell>
          <cell r="H98">
            <v>0</v>
          </cell>
          <cell r="I98">
            <v>16</v>
          </cell>
          <cell r="J98">
            <v>0</v>
          </cell>
          <cell r="K98">
            <v>0</v>
          </cell>
          <cell r="L98">
            <v>0</v>
          </cell>
          <cell r="M98">
            <v>33</v>
          </cell>
          <cell r="N98">
            <v>19</v>
          </cell>
          <cell r="O98">
            <v>0</v>
          </cell>
          <cell r="P98">
            <v>0</v>
          </cell>
          <cell r="Q98">
            <v>17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11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31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/>
          <cell r="AI98">
            <v>214</v>
          </cell>
          <cell r="AJ98">
            <v>82</v>
          </cell>
          <cell r="AK98">
            <v>8</v>
          </cell>
        </row>
        <row r="99">
          <cell r="C99">
            <v>350122006</v>
          </cell>
          <cell r="D99">
            <v>0</v>
          </cell>
          <cell r="E99">
            <v>0</v>
          </cell>
          <cell r="F99">
            <v>5</v>
          </cell>
          <cell r="G99">
            <v>49</v>
          </cell>
          <cell r="H99">
            <v>15</v>
          </cell>
          <cell r="I99">
            <v>3</v>
          </cell>
          <cell r="J99">
            <v>0</v>
          </cell>
          <cell r="K99">
            <v>0</v>
          </cell>
          <cell r="L99">
            <v>0</v>
          </cell>
          <cell r="M99">
            <v>61</v>
          </cell>
          <cell r="N99">
            <v>11</v>
          </cell>
          <cell r="O99">
            <v>0</v>
          </cell>
          <cell r="P99">
            <v>0</v>
          </cell>
          <cell r="Q99">
            <v>2</v>
          </cell>
          <cell r="R99">
            <v>0</v>
          </cell>
          <cell r="S99">
            <v>0</v>
          </cell>
          <cell r="T99">
            <v>0</v>
          </cell>
          <cell r="U99">
            <v>19</v>
          </cell>
          <cell r="V99">
            <v>0</v>
          </cell>
          <cell r="W99">
            <v>20</v>
          </cell>
          <cell r="X99">
            <v>3</v>
          </cell>
          <cell r="Y99">
            <v>2</v>
          </cell>
          <cell r="Z99">
            <v>0</v>
          </cell>
          <cell r="AA99">
            <v>6</v>
          </cell>
          <cell r="AB99">
            <v>31</v>
          </cell>
          <cell r="AC99">
            <v>48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/>
          <cell r="AI99">
            <v>275</v>
          </cell>
          <cell r="AJ99">
            <v>61</v>
          </cell>
          <cell r="AK99">
            <v>14</v>
          </cell>
        </row>
        <row r="100">
          <cell r="C100">
            <v>350122005</v>
          </cell>
          <cell r="D100">
            <v>8</v>
          </cell>
          <cell r="E100">
            <v>0</v>
          </cell>
          <cell r="F100">
            <v>17</v>
          </cell>
          <cell r="G100">
            <v>68</v>
          </cell>
          <cell r="H100">
            <v>5</v>
          </cell>
          <cell r="I100">
            <v>20</v>
          </cell>
          <cell r="J100">
            <v>0</v>
          </cell>
          <cell r="K100">
            <v>0</v>
          </cell>
          <cell r="L100">
            <v>12</v>
          </cell>
          <cell r="M100">
            <v>0</v>
          </cell>
          <cell r="N100">
            <v>0</v>
          </cell>
          <cell r="O100">
            <v>12</v>
          </cell>
          <cell r="P100">
            <v>1</v>
          </cell>
          <cell r="Q100">
            <v>3</v>
          </cell>
          <cell r="R100">
            <v>0</v>
          </cell>
          <cell r="S100">
            <v>0</v>
          </cell>
          <cell r="T100">
            <v>11</v>
          </cell>
          <cell r="U100">
            <v>5</v>
          </cell>
          <cell r="V100">
            <v>1</v>
          </cell>
          <cell r="W100">
            <v>20</v>
          </cell>
          <cell r="X100">
            <v>0</v>
          </cell>
          <cell r="Y100">
            <v>15</v>
          </cell>
          <cell r="Z100">
            <v>0</v>
          </cell>
          <cell r="AA100">
            <v>3</v>
          </cell>
          <cell r="AB100">
            <v>10</v>
          </cell>
          <cell r="AC100">
            <v>12</v>
          </cell>
          <cell r="AD100">
            <v>23</v>
          </cell>
          <cell r="AE100">
            <v>1</v>
          </cell>
          <cell r="AF100">
            <v>0</v>
          </cell>
          <cell r="AG100">
            <v>0</v>
          </cell>
          <cell r="AH100"/>
          <cell r="AI100">
            <v>247</v>
          </cell>
          <cell r="AJ100">
            <v>68</v>
          </cell>
          <cell r="AK100">
            <v>19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3</v>
          </cell>
          <cell r="G101">
            <v>14</v>
          </cell>
          <cell r="H101">
            <v>22</v>
          </cell>
          <cell r="I101">
            <v>13</v>
          </cell>
          <cell r="J101">
            <v>0</v>
          </cell>
          <cell r="K101">
            <v>8</v>
          </cell>
          <cell r="L101">
            <v>43</v>
          </cell>
          <cell r="M101">
            <v>2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64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3</v>
          </cell>
          <cell r="AC101">
            <v>0</v>
          </cell>
          <cell r="AD101">
            <v>2</v>
          </cell>
          <cell r="AE101">
            <v>32</v>
          </cell>
          <cell r="AF101">
            <v>3</v>
          </cell>
          <cell r="AG101">
            <v>0</v>
          </cell>
          <cell r="AH101"/>
          <cell r="AI101">
            <v>219</v>
          </cell>
          <cell r="AJ101">
            <v>64</v>
          </cell>
          <cell r="AK101">
            <v>13</v>
          </cell>
        </row>
        <row r="102">
          <cell r="C102">
            <v>350122003</v>
          </cell>
          <cell r="D102">
            <v>0</v>
          </cell>
          <cell r="E102">
            <v>0</v>
          </cell>
          <cell r="F102">
            <v>2</v>
          </cell>
          <cell r="G102">
            <v>16</v>
          </cell>
          <cell r="H102">
            <v>1</v>
          </cell>
          <cell r="I102">
            <v>2</v>
          </cell>
          <cell r="J102">
            <v>0</v>
          </cell>
          <cell r="K102">
            <v>0</v>
          </cell>
          <cell r="L102">
            <v>1</v>
          </cell>
          <cell r="M102">
            <v>0</v>
          </cell>
          <cell r="N102">
            <v>0</v>
          </cell>
          <cell r="O102">
            <v>20</v>
          </cell>
          <cell r="P102">
            <v>2</v>
          </cell>
          <cell r="Q102">
            <v>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28</v>
          </cell>
          <cell r="X102">
            <v>0</v>
          </cell>
          <cell r="Y102">
            <v>11</v>
          </cell>
          <cell r="Z102">
            <v>0</v>
          </cell>
          <cell r="AA102">
            <v>2</v>
          </cell>
          <cell r="AB102">
            <v>0</v>
          </cell>
          <cell r="AC102">
            <v>0</v>
          </cell>
          <cell r="AD102">
            <v>17</v>
          </cell>
          <cell r="AE102">
            <v>7</v>
          </cell>
          <cell r="AF102">
            <v>0</v>
          </cell>
          <cell r="AG102">
            <v>0</v>
          </cell>
          <cell r="AH102"/>
          <cell r="AI102">
            <v>110</v>
          </cell>
          <cell r="AJ102">
            <v>28</v>
          </cell>
          <cell r="AK102">
            <v>13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5</v>
          </cell>
          <cell r="G103">
            <v>25</v>
          </cell>
          <cell r="H103">
            <v>30</v>
          </cell>
          <cell r="I103">
            <v>0</v>
          </cell>
          <cell r="J103">
            <v>0</v>
          </cell>
          <cell r="K103">
            <v>0</v>
          </cell>
          <cell r="L103">
            <v>18</v>
          </cell>
          <cell r="M103">
            <v>2</v>
          </cell>
          <cell r="N103">
            <v>0</v>
          </cell>
          <cell r="O103">
            <v>0</v>
          </cell>
          <cell r="P103">
            <v>5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8</v>
          </cell>
          <cell r="V103">
            <v>0</v>
          </cell>
          <cell r="W103">
            <v>54</v>
          </cell>
          <cell r="X103">
            <v>1</v>
          </cell>
          <cell r="Y103">
            <v>7</v>
          </cell>
          <cell r="Z103">
            <v>0</v>
          </cell>
          <cell r="AA103">
            <v>0</v>
          </cell>
          <cell r="AB103">
            <v>8</v>
          </cell>
          <cell r="AC103">
            <v>16</v>
          </cell>
          <cell r="AD103">
            <v>0</v>
          </cell>
          <cell r="AE103">
            <v>18</v>
          </cell>
          <cell r="AF103">
            <v>12</v>
          </cell>
          <cell r="AG103">
            <v>1</v>
          </cell>
          <cell r="AH103"/>
          <cell r="AI103">
            <v>210</v>
          </cell>
          <cell r="AJ103">
            <v>54</v>
          </cell>
          <cell r="AK103">
            <v>15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6</v>
          </cell>
          <cell r="G104">
            <v>29</v>
          </cell>
          <cell r="H104">
            <v>2</v>
          </cell>
          <cell r="I104">
            <v>11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1</v>
          </cell>
          <cell r="O104">
            <v>10</v>
          </cell>
          <cell r="P104">
            <v>8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29</v>
          </cell>
          <cell r="X104">
            <v>0</v>
          </cell>
          <cell r="Y104">
            <v>10</v>
          </cell>
          <cell r="Z104">
            <v>0</v>
          </cell>
          <cell r="AA104">
            <v>20</v>
          </cell>
          <cell r="AB104">
            <v>3</v>
          </cell>
          <cell r="AC104">
            <v>0</v>
          </cell>
          <cell r="AD104">
            <v>0</v>
          </cell>
          <cell r="AE104">
            <v>6</v>
          </cell>
          <cell r="AF104">
            <v>15</v>
          </cell>
          <cell r="AG104">
            <v>0</v>
          </cell>
          <cell r="AH104"/>
          <cell r="AI104">
            <v>150</v>
          </cell>
          <cell r="AJ104">
            <v>29</v>
          </cell>
          <cell r="AK104">
            <v>13</v>
          </cell>
        </row>
        <row r="105">
          <cell r="C105">
            <v>350619001</v>
          </cell>
          <cell r="D105">
            <v>0</v>
          </cell>
          <cell r="E105">
            <v>0</v>
          </cell>
          <cell r="F105">
            <v>1</v>
          </cell>
          <cell r="G105">
            <v>0</v>
          </cell>
          <cell r="H105">
            <v>2</v>
          </cell>
          <cell r="I105">
            <v>53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3.5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2</v>
          </cell>
          <cell r="U105">
            <v>0</v>
          </cell>
          <cell r="V105">
            <v>0</v>
          </cell>
          <cell r="W105">
            <v>39</v>
          </cell>
          <cell r="X105">
            <v>13</v>
          </cell>
          <cell r="Y105">
            <v>10</v>
          </cell>
          <cell r="Z105">
            <v>0</v>
          </cell>
          <cell r="AA105">
            <v>0</v>
          </cell>
          <cell r="AB105">
            <v>0</v>
          </cell>
          <cell r="AC105">
            <v>2</v>
          </cell>
          <cell r="AD105">
            <v>0</v>
          </cell>
          <cell r="AE105">
            <v>2</v>
          </cell>
          <cell r="AF105">
            <v>0</v>
          </cell>
          <cell r="AG105">
            <v>0</v>
          </cell>
          <cell r="AH105"/>
          <cell r="AI105">
            <v>127.5</v>
          </cell>
          <cell r="AJ105">
            <v>53</v>
          </cell>
          <cell r="AK105">
            <v>10</v>
          </cell>
        </row>
        <row r="106">
          <cell r="C106">
            <v>350619002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26</v>
          </cell>
          <cell r="I106">
            <v>0</v>
          </cell>
          <cell r="J106">
            <v>0</v>
          </cell>
          <cell r="K106">
            <v>0</v>
          </cell>
          <cell r="L106">
            <v>7</v>
          </cell>
          <cell r="M106">
            <v>0</v>
          </cell>
          <cell r="N106">
            <v>0</v>
          </cell>
          <cell r="O106">
            <v>6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29</v>
          </cell>
          <cell r="U106">
            <v>0</v>
          </cell>
          <cell r="V106">
            <v>0</v>
          </cell>
          <cell r="W106">
            <v>32</v>
          </cell>
          <cell r="X106">
            <v>0</v>
          </cell>
          <cell r="Y106">
            <v>11</v>
          </cell>
          <cell r="Z106">
            <v>0</v>
          </cell>
          <cell r="AA106">
            <v>6</v>
          </cell>
          <cell r="AB106">
            <v>19</v>
          </cell>
          <cell r="AC106">
            <v>0</v>
          </cell>
          <cell r="AD106">
            <v>11</v>
          </cell>
          <cell r="AE106">
            <v>0</v>
          </cell>
          <cell r="AF106">
            <v>0</v>
          </cell>
          <cell r="AG106">
            <v>0</v>
          </cell>
          <cell r="AH106"/>
          <cell r="AI106">
            <v>147</v>
          </cell>
          <cell r="AJ106">
            <v>32</v>
          </cell>
          <cell r="AK106">
            <v>9</v>
          </cell>
        </row>
        <row r="107">
          <cell r="C107">
            <v>350619003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47</v>
          </cell>
          <cell r="N107">
            <v>0</v>
          </cell>
          <cell r="O107">
            <v>7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38</v>
          </cell>
          <cell r="X107">
            <v>5</v>
          </cell>
          <cell r="Y107">
            <v>0</v>
          </cell>
          <cell r="Z107">
            <v>0</v>
          </cell>
          <cell r="AA107">
            <v>44</v>
          </cell>
          <cell r="AB107">
            <v>18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/>
          <cell r="AI107">
            <v>159</v>
          </cell>
          <cell r="AJ107">
            <v>47</v>
          </cell>
          <cell r="AK107">
            <v>6</v>
          </cell>
        </row>
        <row r="108">
          <cell r="C108">
            <v>350619004</v>
          </cell>
          <cell r="D108">
            <v>0</v>
          </cell>
          <cell r="E108">
            <v>0</v>
          </cell>
          <cell r="F108">
            <v>0</v>
          </cell>
          <cell r="G108">
            <v>57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10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22</v>
          </cell>
          <cell r="U108">
            <v>0</v>
          </cell>
          <cell r="V108">
            <v>0</v>
          </cell>
          <cell r="W108">
            <v>22</v>
          </cell>
          <cell r="X108">
            <v>0</v>
          </cell>
          <cell r="Y108">
            <v>5</v>
          </cell>
          <cell r="Z108">
            <v>0</v>
          </cell>
          <cell r="AA108">
            <v>36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/>
          <cell r="AI108">
            <v>152</v>
          </cell>
          <cell r="AJ108">
            <v>57</v>
          </cell>
          <cell r="AK108">
            <v>6</v>
          </cell>
        </row>
        <row r="109">
          <cell r="C109">
            <v>350619005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40</v>
          </cell>
          <cell r="I109">
            <v>0</v>
          </cell>
          <cell r="J109">
            <v>0</v>
          </cell>
          <cell r="K109">
            <v>0</v>
          </cell>
          <cell r="L109">
            <v>5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5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40</v>
          </cell>
          <cell r="X109">
            <v>15</v>
          </cell>
          <cell r="Y109">
            <v>5</v>
          </cell>
          <cell r="Z109">
            <v>0</v>
          </cell>
          <cell r="AA109">
            <v>5</v>
          </cell>
          <cell r="AB109">
            <v>10</v>
          </cell>
          <cell r="AC109">
            <v>0</v>
          </cell>
          <cell r="AD109">
            <v>20</v>
          </cell>
          <cell r="AE109">
            <v>0</v>
          </cell>
          <cell r="AF109">
            <v>0</v>
          </cell>
          <cell r="AG109">
            <v>0</v>
          </cell>
          <cell r="AH109"/>
          <cell r="AI109">
            <v>145</v>
          </cell>
          <cell r="AJ109">
            <v>40</v>
          </cell>
          <cell r="AK109">
            <v>9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0</v>
          </cell>
          <cell r="G110">
            <v>2</v>
          </cell>
          <cell r="H110">
            <v>5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5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32</v>
          </cell>
          <cell r="X110">
            <v>2</v>
          </cell>
          <cell r="Y110">
            <v>6</v>
          </cell>
          <cell r="Z110">
            <v>0</v>
          </cell>
          <cell r="AA110">
            <v>55</v>
          </cell>
          <cell r="AB110">
            <v>15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/>
          <cell r="AI110">
            <v>122</v>
          </cell>
          <cell r="AJ110">
            <v>55</v>
          </cell>
          <cell r="AK110">
            <v>8</v>
          </cell>
        </row>
        <row r="111">
          <cell r="C111">
            <v>350619007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18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16</v>
          </cell>
          <cell r="X111">
            <v>6</v>
          </cell>
          <cell r="Y111">
            <v>8</v>
          </cell>
          <cell r="Z111">
            <v>0</v>
          </cell>
          <cell r="AA111">
            <v>45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/>
          <cell r="AI111">
            <v>93</v>
          </cell>
          <cell r="AJ111">
            <v>45</v>
          </cell>
          <cell r="AK111">
            <v>5</v>
          </cell>
        </row>
        <row r="112">
          <cell r="C112">
            <v>350619008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12</v>
          </cell>
          <cell r="L112">
            <v>18</v>
          </cell>
          <cell r="M112">
            <v>7</v>
          </cell>
          <cell r="N112">
            <v>8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8</v>
          </cell>
          <cell r="X112">
            <v>17</v>
          </cell>
          <cell r="Y112">
            <v>8</v>
          </cell>
          <cell r="Z112">
            <v>0</v>
          </cell>
          <cell r="AA112">
            <v>24</v>
          </cell>
          <cell r="AB112">
            <v>17</v>
          </cell>
          <cell r="AC112">
            <v>6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/>
          <cell r="AI112">
            <v>125</v>
          </cell>
          <cell r="AJ112">
            <v>24</v>
          </cell>
          <cell r="AK112">
            <v>10</v>
          </cell>
        </row>
        <row r="113">
          <cell r="C113">
            <v>350619009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5</v>
          </cell>
          <cell r="K113">
            <v>8</v>
          </cell>
          <cell r="L113">
            <v>15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18</v>
          </cell>
          <cell r="X113">
            <v>24</v>
          </cell>
          <cell r="Y113">
            <v>5</v>
          </cell>
          <cell r="Z113">
            <v>0</v>
          </cell>
          <cell r="AA113">
            <v>0</v>
          </cell>
          <cell r="AB113">
            <v>8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/>
          <cell r="AI113">
            <v>83</v>
          </cell>
          <cell r="AJ113">
            <v>24</v>
          </cell>
          <cell r="AK113">
            <v>7</v>
          </cell>
        </row>
        <row r="114">
          <cell r="C114">
            <v>350619010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17</v>
          </cell>
          <cell r="M114">
            <v>15</v>
          </cell>
          <cell r="N114">
            <v>0</v>
          </cell>
          <cell r="O114">
            <v>8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16</v>
          </cell>
          <cell r="W114">
            <v>13</v>
          </cell>
          <cell r="X114">
            <v>10</v>
          </cell>
          <cell r="Y114">
            <v>8</v>
          </cell>
          <cell r="Z114">
            <v>6</v>
          </cell>
          <cell r="AA114">
            <v>26</v>
          </cell>
          <cell r="AB114">
            <v>22</v>
          </cell>
          <cell r="AC114">
            <v>8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/>
          <cell r="AI114">
            <v>149</v>
          </cell>
          <cell r="AJ114">
            <v>26</v>
          </cell>
          <cell r="AK114">
            <v>11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0</v>
          </cell>
          <cell r="G115">
            <v>13</v>
          </cell>
          <cell r="H115">
            <v>14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14</v>
          </cell>
          <cell r="O115">
            <v>8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16</v>
          </cell>
          <cell r="U115">
            <v>0</v>
          </cell>
          <cell r="V115">
            <v>0</v>
          </cell>
          <cell r="W115">
            <v>14</v>
          </cell>
          <cell r="X115">
            <v>0</v>
          </cell>
          <cell r="Y115">
            <v>0</v>
          </cell>
          <cell r="Z115">
            <v>0</v>
          </cell>
          <cell r="AA115">
            <v>10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/>
          <cell r="AI115">
            <v>89</v>
          </cell>
          <cell r="AJ115">
            <v>16</v>
          </cell>
          <cell r="AK115">
            <v>7</v>
          </cell>
        </row>
        <row r="116">
          <cell r="C116">
            <v>350619012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10</v>
          </cell>
          <cell r="M116">
            <v>14</v>
          </cell>
          <cell r="N116">
            <v>0</v>
          </cell>
          <cell r="O116">
            <v>9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18</v>
          </cell>
          <cell r="W116">
            <v>15</v>
          </cell>
          <cell r="X116">
            <v>9</v>
          </cell>
          <cell r="Y116">
            <v>7</v>
          </cell>
          <cell r="Z116">
            <v>5</v>
          </cell>
          <cell r="AA116">
            <v>29</v>
          </cell>
          <cell r="AB116">
            <v>20</v>
          </cell>
          <cell r="AC116">
            <v>0</v>
          </cell>
          <cell r="AD116">
            <v>10</v>
          </cell>
          <cell r="AE116">
            <v>0</v>
          </cell>
          <cell r="AF116">
            <v>0</v>
          </cell>
          <cell r="AG116">
            <v>0</v>
          </cell>
          <cell r="AH116"/>
          <cell r="AI116">
            <v>146</v>
          </cell>
          <cell r="AJ116">
            <v>29</v>
          </cell>
          <cell r="AK116">
            <v>11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26</v>
          </cell>
          <cell r="H117">
            <v>5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10</v>
          </cell>
          <cell r="U117">
            <v>0</v>
          </cell>
          <cell r="V117">
            <v>12</v>
          </cell>
          <cell r="W117">
            <v>39</v>
          </cell>
          <cell r="X117">
            <v>0</v>
          </cell>
          <cell r="Y117">
            <v>13</v>
          </cell>
          <cell r="Z117">
            <v>0</v>
          </cell>
          <cell r="AA117">
            <v>25</v>
          </cell>
          <cell r="AB117">
            <v>25</v>
          </cell>
          <cell r="AC117">
            <v>0</v>
          </cell>
          <cell r="AD117">
            <v>0</v>
          </cell>
          <cell r="AE117">
            <v>10</v>
          </cell>
          <cell r="AF117">
            <v>5</v>
          </cell>
          <cell r="AG117">
            <v>0</v>
          </cell>
          <cell r="AH117"/>
          <cell r="AI117">
            <v>170</v>
          </cell>
          <cell r="AJ117">
            <v>39</v>
          </cell>
          <cell r="AK117">
            <v>10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5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12</v>
          </cell>
          <cell r="R118">
            <v>0</v>
          </cell>
          <cell r="S118">
            <v>0</v>
          </cell>
          <cell r="T118">
            <v>10</v>
          </cell>
          <cell r="U118">
            <v>0</v>
          </cell>
          <cell r="V118">
            <v>8</v>
          </cell>
          <cell r="W118">
            <v>14</v>
          </cell>
          <cell r="X118">
            <v>10</v>
          </cell>
          <cell r="Y118">
            <v>15</v>
          </cell>
          <cell r="Z118">
            <v>0</v>
          </cell>
          <cell r="AA118">
            <v>0</v>
          </cell>
          <cell r="AB118">
            <v>5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/>
          <cell r="AI118">
            <v>79</v>
          </cell>
          <cell r="AJ118">
            <v>15</v>
          </cell>
          <cell r="AK118">
            <v>8</v>
          </cell>
        </row>
        <row r="119">
          <cell r="C119">
            <v>350619015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32</v>
          </cell>
          <cell r="N119">
            <v>10</v>
          </cell>
          <cell r="O119">
            <v>25</v>
          </cell>
          <cell r="P119">
            <v>0</v>
          </cell>
          <cell r="Q119">
            <v>5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20</v>
          </cell>
          <cell r="X119">
            <v>0</v>
          </cell>
          <cell r="Y119">
            <v>13</v>
          </cell>
          <cell r="Z119">
            <v>13</v>
          </cell>
          <cell r="AA119">
            <v>0</v>
          </cell>
          <cell r="AB119">
            <v>0</v>
          </cell>
          <cell r="AC119">
            <v>17</v>
          </cell>
          <cell r="AD119">
            <v>6</v>
          </cell>
          <cell r="AE119">
            <v>0</v>
          </cell>
          <cell r="AF119">
            <v>0</v>
          </cell>
          <cell r="AG119">
            <v>0</v>
          </cell>
          <cell r="AH119"/>
          <cell r="AI119">
            <v>141</v>
          </cell>
          <cell r="AJ119">
            <v>32</v>
          </cell>
          <cell r="AK119">
            <v>9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11</v>
          </cell>
          <cell r="X120">
            <v>0</v>
          </cell>
          <cell r="Y120">
            <v>28</v>
          </cell>
          <cell r="Z120">
            <v>0</v>
          </cell>
          <cell r="AA120">
            <v>7</v>
          </cell>
          <cell r="AB120">
            <v>0</v>
          </cell>
          <cell r="AC120">
            <v>0</v>
          </cell>
          <cell r="AD120">
            <v>5</v>
          </cell>
          <cell r="AE120">
            <v>0</v>
          </cell>
          <cell r="AF120">
            <v>0</v>
          </cell>
          <cell r="AG120">
            <v>0</v>
          </cell>
          <cell r="AH120"/>
          <cell r="AI120">
            <v>57</v>
          </cell>
          <cell r="AJ120">
            <v>28</v>
          </cell>
          <cell r="AK120">
            <v>5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11</v>
          </cell>
          <cell r="R121">
            <v>0</v>
          </cell>
          <cell r="S121">
            <v>0</v>
          </cell>
          <cell r="T121">
            <v>12</v>
          </cell>
          <cell r="U121">
            <v>0</v>
          </cell>
          <cell r="V121">
            <v>9</v>
          </cell>
          <cell r="W121">
            <v>18</v>
          </cell>
          <cell r="X121">
            <v>10</v>
          </cell>
          <cell r="Y121">
            <v>15</v>
          </cell>
          <cell r="Z121">
            <v>0</v>
          </cell>
          <cell r="AA121">
            <v>0</v>
          </cell>
          <cell r="AB121">
            <v>7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/>
          <cell r="AI121">
            <v>82</v>
          </cell>
          <cell r="AJ121">
            <v>18</v>
          </cell>
          <cell r="AK121">
            <v>7</v>
          </cell>
        </row>
        <row r="122">
          <cell r="C122">
            <v>350619018</v>
          </cell>
          <cell r="D122">
            <v>0</v>
          </cell>
          <cell r="E122">
            <v>6</v>
          </cell>
          <cell r="F122">
            <v>0</v>
          </cell>
          <cell r="G122">
            <v>8</v>
          </cell>
          <cell r="H122">
            <v>0</v>
          </cell>
          <cell r="I122">
            <v>0</v>
          </cell>
          <cell r="J122">
            <v>9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8</v>
          </cell>
          <cell r="Q122">
            <v>0</v>
          </cell>
          <cell r="R122">
            <v>0</v>
          </cell>
          <cell r="S122">
            <v>0</v>
          </cell>
          <cell r="T122">
            <v>14</v>
          </cell>
          <cell r="U122">
            <v>0</v>
          </cell>
          <cell r="V122">
            <v>0</v>
          </cell>
          <cell r="W122">
            <v>105</v>
          </cell>
          <cell r="X122">
            <v>5</v>
          </cell>
          <cell r="Y122">
            <v>38</v>
          </cell>
          <cell r="Z122">
            <v>0</v>
          </cell>
          <cell r="AA122">
            <v>7</v>
          </cell>
          <cell r="AB122">
            <v>13</v>
          </cell>
          <cell r="AC122">
            <v>46</v>
          </cell>
          <cell r="AD122">
            <v>5</v>
          </cell>
          <cell r="AE122">
            <v>0</v>
          </cell>
          <cell r="AF122">
            <v>7</v>
          </cell>
          <cell r="AG122">
            <v>0</v>
          </cell>
          <cell r="AH122"/>
          <cell r="AI122">
            <v>271</v>
          </cell>
          <cell r="AJ122">
            <v>105</v>
          </cell>
          <cell r="AK122">
            <v>13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5</v>
          </cell>
          <cell r="M123">
            <v>51</v>
          </cell>
          <cell r="N123">
            <v>0</v>
          </cell>
          <cell r="O123">
            <v>0</v>
          </cell>
          <cell r="P123">
            <v>0</v>
          </cell>
          <cell r="Q123">
            <v>11</v>
          </cell>
          <cell r="R123">
            <v>0</v>
          </cell>
          <cell r="S123">
            <v>0</v>
          </cell>
          <cell r="T123">
            <v>9</v>
          </cell>
          <cell r="U123">
            <v>0</v>
          </cell>
          <cell r="V123">
            <v>3</v>
          </cell>
          <cell r="W123">
            <v>29</v>
          </cell>
          <cell r="X123">
            <v>9</v>
          </cell>
          <cell r="Y123">
            <v>14</v>
          </cell>
          <cell r="Z123">
            <v>0</v>
          </cell>
          <cell r="AA123">
            <v>0</v>
          </cell>
          <cell r="AB123">
            <v>6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/>
          <cell r="AI123">
            <v>137</v>
          </cell>
          <cell r="AJ123">
            <v>51</v>
          </cell>
          <cell r="AK123">
            <v>9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37</v>
          </cell>
          <cell r="X124">
            <v>10</v>
          </cell>
          <cell r="Y124">
            <v>6</v>
          </cell>
          <cell r="Z124">
            <v>0</v>
          </cell>
          <cell r="AA124">
            <v>0</v>
          </cell>
          <cell r="AB124">
            <v>16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/>
          <cell r="AI124">
            <v>69</v>
          </cell>
          <cell r="AJ124">
            <v>37</v>
          </cell>
          <cell r="AK124">
            <v>4</v>
          </cell>
        </row>
        <row r="125">
          <cell r="C125">
            <v>350619021</v>
          </cell>
          <cell r="D125">
            <v>0</v>
          </cell>
          <cell r="E125">
            <v>11</v>
          </cell>
          <cell r="F125">
            <v>0</v>
          </cell>
          <cell r="G125">
            <v>2</v>
          </cell>
          <cell r="H125">
            <v>21</v>
          </cell>
          <cell r="I125">
            <v>1</v>
          </cell>
          <cell r="J125">
            <v>2</v>
          </cell>
          <cell r="K125">
            <v>31</v>
          </cell>
          <cell r="L125">
            <v>0</v>
          </cell>
          <cell r="M125">
            <v>4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13</v>
          </cell>
          <cell r="U125">
            <v>0</v>
          </cell>
          <cell r="V125">
            <v>0</v>
          </cell>
          <cell r="W125">
            <v>9</v>
          </cell>
          <cell r="X125">
            <v>5</v>
          </cell>
          <cell r="Y125">
            <v>25</v>
          </cell>
          <cell r="Z125">
            <v>0</v>
          </cell>
          <cell r="AA125">
            <v>4</v>
          </cell>
          <cell r="AB125">
            <v>15</v>
          </cell>
          <cell r="AC125">
            <v>8</v>
          </cell>
          <cell r="AD125">
            <v>44</v>
          </cell>
          <cell r="AE125">
            <v>3</v>
          </cell>
          <cell r="AF125">
            <v>3</v>
          </cell>
          <cell r="AG125">
            <v>0</v>
          </cell>
          <cell r="AH125"/>
          <cell r="AI125">
            <v>201</v>
          </cell>
          <cell r="AJ125">
            <v>44</v>
          </cell>
          <cell r="AK125">
            <v>17</v>
          </cell>
        </row>
        <row r="126">
          <cell r="C126">
            <v>350619022</v>
          </cell>
          <cell r="D126">
            <v>0</v>
          </cell>
          <cell r="E126">
            <v>57</v>
          </cell>
          <cell r="F126">
            <v>34</v>
          </cell>
          <cell r="G126">
            <v>23</v>
          </cell>
          <cell r="H126">
            <v>12</v>
          </cell>
          <cell r="I126">
            <v>0</v>
          </cell>
          <cell r="J126">
            <v>50</v>
          </cell>
          <cell r="K126">
            <v>40</v>
          </cell>
          <cell r="L126">
            <v>16</v>
          </cell>
          <cell r="M126">
            <v>2</v>
          </cell>
          <cell r="N126">
            <v>0</v>
          </cell>
          <cell r="O126">
            <v>18</v>
          </cell>
          <cell r="P126">
            <v>0</v>
          </cell>
          <cell r="Q126">
            <v>0</v>
          </cell>
          <cell r="R126">
            <v>8</v>
          </cell>
          <cell r="S126">
            <v>38</v>
          </cell>
          <cell r="T126">
            <v>12</v>
          </cell>
          <cell r="U126">
            <v>11</v>
          </cell>
          <cell r="V126">
            <v>3</v>
          </cell>
          <cell r="W126">
            <v>78</v>
          </cell>
          <cell r="X126">
            <v>11</v>
          </cell>
          <cell r="Y126">
            <v>8</v>
          </cell>
          <cell r="Z126">
            <v>4</v>
          </cell>
          <cell r="AA126">
            <v>45</v>
          </cell>
          <cell r="AB126">
            <v>56</v>
          </cell>
          <cell r="AC126">
            <v>15</v>
          </cell>
          <cell r="AD126">
            <v>23</v>
          </cell>
          <cell r="AE126">
            <v>2</v>
          </cell>
          <cell r="AF126">
            <v>4</v>
          </cell>
          <cell r="AG126">
            <v>13</v>
          </cell>
          <cell r="AH126"/>
          <cell r="AI126">
            <v>583</v>
          </cell>
          <cell r="AJ126">
            <v>78</v>
          </cell>
          <cell r="AK126">
            <v>25</v>
          </cell>
        </row>
        <row r="127">
          <cell r="C127">
            <v>350619023</v>
          </cell>
          <cell r="D127">
            <v>0</v>
          </cell>
          <cell r="E127">
            <v>6</v>
          </cell>
          <cell r="F127">
            <v>9</v>
          </cell>
          <cell r="G127">
            <v>12</v>
          </cell>
          <cell r="H127">
            <v>6</v>
          </cell>
          <cell r="I127">
            <v>3</v>
          </cell>
          <cell r="J127">
            <v>15</v>
          </cell>
          <cell r="K127">
            <v>0</v>
          </cell>
          <cell r="L127">
            <v>4</v>
          </cell>
          <cell r="M127">
            <v>0</v>
          </cell>
          <cell r="N127">
            <v>0</v>
          </cell>
          <cell r="O127">
            <v>4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20</v>
          </cell>
          <cell r="U127">
            <v>0</v>
          </cell>
          <cell r="V127">
            <v>0</v>
          </cell>
          <cell r="W127">
            <v>33</v>
          </cell>
          <cell r="X127">
            <v>9</v>
          </cell>
          <cell r="Y127">
            <v>7</v>
          </cell>
          <cell r="Z127">
            <v>13</v>
          </cell>
          <cell r="AA127">
            <v>31</v>
          </cell>
          <cell r="AB127">
            <v>43</v>
          </cell>
          <cell r="AC127">
            <v>0</v>
          </cell>
          <cell r="AD127">
            <v>0</v>
          </cell>
          <cell r="AE127">
            <v>0</v>
          </cell>
          <cell r="AF127">
            <v>2</v>
          </cell>
          <cell r="AG127">
            <v>0</v>
          </cell>
          <cell r="AH127"/>
          <cell r="AI127">
            <v>217</v>
          </cell>
          <cell r="AJ127">
            <v>43</v>
          </cell>
          <cell r="AK127">
            <v>16</v>
          </cell>
        </row>
        <row r="128">
          <cell r="C128">
            <v>350619024</v>
          </cell>
          <cell r="D128">
            <v>0</v>
          </cell>
          <cell r="E128">
            <v>14</v>
          </cell>
          <cell r="F128">
            <v>0</v>
          </cell>
          <cell r="G128">
            <v>6</v>
          </cell>
          <cell r="H128">
            <v>17</v>
          </cell>
          <cell r="I128">
            <v>0</v>
          </cell>
          <cell r="J128">
            <v>6</v>
          </cell>
          <cell r="K128">
            <v>37</v>
          </cell>
          <cell r="L128">
            <v>0</v>
          </cell>
          <cell r="M128">
            <v>8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20</v>
          </cell>
          <cell r="U128">
            <v>0</v>
          </cell>
          <cell r="V128">
            <v>0</v>
          </cell>
          <cell r="W128">
            <v>42</v>
          </cell>
          <cell r="X128">
            <v>7</v>
          </cell>
          <cell r="Y128">
            <v>29</v>
          </cell>
          <cell r="Z128">
            <v>0</v>
          </cell>
          <cell r="AA128">
            <v>11</v>
          </cell>
          <cell r="AB128">
            <v>23</v>
          </cell>
          <cell r="AC128">
            <v>13</v>
          </cell>
          <cell r="AD128">
            <v>52</v>
          </cell>
          <cell r="AE128">
            <v>6</v>
          </cell>
          <cell r="AF128">
            <v>5</v>
          </cell>
          <cell r="AG128">
            <v>0</v>
          </cell>
          <cell r="AH128"/>
          <cell r="AI128">
            <v>296</v>
          </cell>
          <cell r="AJ128">
            <v>52</v>
          </cell>
          <cell r="AK128">
            <v>16</v>
          </cell>
        </row>
        <row r="129">
          <cell r="C129">
            <v>350619025</v>
          </cell>
          <cell r="D129">
            <v>0</v>
          </cell>
          <cell r="E129">
            <v>10</v>
          </cell>
          <cell r="F129">
            <v>0</v>
          </cell>
          <cell r="G129">
            <v>0</v>
          </cell>
          <cell r="H129">
            <v>0</v>
          </cell>
          <cell r="I129">
            <v>6</v>
          </cell>
          <cell r="J129">
            <v>14</v>
          </cell>
          <cell r="K129">
            <v>45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20</v>
          </cell>
          <cell r="X129">
            <v>5</v>
          </cell>
          <cell r="Y129">
            <v>37</v>
          </cell>
          <cell r="Z129">
            <v>3</v>
          </cell>
          <cell r="AA129">
            <v>0</v>
          </cell>
          <cell r="AB129">
            <v>12</v>
          </cell>
          <cell r="AC129">
            <v>6</v>
          </cell>
          <cell r="AD129">
            <v>4</v>
          </cell>
          <cell r="AE129">
            <v>0</v>
          </cell>
          <cell r="AF129">
            <v>0</v>
          </cell>
          <cell r="AG129">
            <v>0</v>
          </cell>
          <cell r="AH129"/>
          <cell r="AI129">
            <v>162</v>
          </cell>
          <cell r="AJ129">
            <v>45</v>
          </cell>
          <cell r="AK129">
            <v>11</v>
          </cell>
        </row>
        <row r="130">
          <cell r="C130">
            <v>350619026</v>
          </cell>
          <cell r="D130">
            <v>0</v>
          </cell>
          <cell r="E130">
            <v>0</v>
          </cell>
          <cell r="F130">
            <v>15</v>
          </cell>
          <cell r="G130">
            <v>11</v>
          </cell>
          <cell r="H130">
            <v>6</v>
          </cell>
          <cell r="I130">
            <v>11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9</v>
          </cell>
          <cell r="Q130">
            <v>13</v>
          </cell>
          <cell r="R130">
            <v>0</v>
          </cell>
          <cell r="S130">
            <v>0</v>
          </cell>
          <cell r="T130">
            <v>8</v>
          </cell>
          <cell r="U130">
            <v>0</v>
          </cell>
          <cell r="V130">
            <v>15</v>
          </cell>
          <cell r="W130">
            <v>60</v>
          </cell>
          <cell r="X130">
            <v>23</v>
          </cell>
          <cell r="Y130">
            <v>30</v>
          </cell>
          <cell r="Z130">
            <v>0</v>
          </cell>
          <cell r="AA130">
            <v>27</v>
          </cell>
          <cell r="AB130">
            <v>40</v>
          </cell>
          <cell r="AC130">
            <v>23</v>
          </cell>
          <cell r="AD130">
            <v>15</v>
          </cell>
          <cell r="AE130">
            <v>7</v>
          </cell>
          <cell r="AF130">
            <v>6</v>
          </cell>
          <cell r="AG130">
            <v>0</v>
          </cell>
          <cell r="AH130"/>
          <cell r="AI130">
            <v>319</v>
          </cell>
          <cell r="AJ130">
            <v>60</v>
          </cell>
          <cell r="AK130">
            <v>17</v>
          </cell>
        </row>
        <row r="131">
          <cell r="C131">
            <v>350619027</v>
          </cell>
          <cell r="D131">
            <v>0</v>
          </cell>
          <cell r="E131">
            <v>0</v>
          </cell>
          <cell r="F131">
            <v>0</v>
          </cell>
          <cell r="G131">
            <v>3</v>
          </cell>
          <cell r="H131">
            <v>2</v>
          </cell>
          <cell r="I131">
            <v>7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8</v>
          </cell>
          <cell r="O131">
            <v>0</v>
          </cell>
          <cell r="P131">
            <v>0</v>
          </cell>
          <cell r="Q131">
            <v>3</v>
          </cell>
          <cell r="R131">
            <v>0</v>
          </cell>
          <cell r="S131">
            <v>0</v>
          </cell>
          <cell r="T131">
            <v>2</v>
          </cell>
          <cell r="U131">
            <v>0</v>
          </cell>
          <cell r="V131">
            <v>0</v>
          </cell>
          <cell r="W131">
            <v>30</v>
          </cell>
          <cell r="X131">
            <v>12</v>
          </cell>
          <cell r="Y131">
            <v>15</v>
          </cell>
          <cell r="Z131">
            <v>0</v>
          </cell>
          <cell r="AA131">
            <v>0</v>
          </cell>
          <cell r="AB131">
            <v>2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1</v>
          </cell>
          <cell r="AH131"/>
          <cell r="AI131">
            <v>86</v>
          </cell>
          <cell r="AJ131">
            <v>30</v>
          </cell>
          <cell r="AK131">
            <v>12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16</v>
          </cell>
          <cell r="I132">
            <v>42</v>
          </cell>
          <cell r="J132">
            <v>0</v>
          </cell>
          <cell r="K132">
            <v>6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37</v>
          </cell>
          <cell r="X132">
            <v>12</v>
          </cell>
          <cell r="Y132">
            <v>26</v>
          </cell>
          <cell r="Z132">
            <v>0</v>
          </cell>
          <cell r="AA132">
            <v>0</v>
          </cell>
          <cell r="AB132">
            <v>0</v>
          </cell>
          <cell r="AC132">
            <v>7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/>
          <cell r="AI132">
            <v>146</v>
          </cell>
          <cell r="AJ132">
            <v>42</v>
          </cell>
          <cell r="AK132">
            <v>7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10</v>
          </cell>
          <cell r="I133">
            <v>45</v>
          </cell>
          <cell r="J133">
            <v>0</v>
          </cell>
          <cell r="K133">
            <v>15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17</v>
          </cell>
          <cell r="U133">
            <v>0</v>
          </cell>
          <cell r="V133">
            <v>0</v>
          </cell>
          <cell r="W133">
            <v>10</v>
          </cell>
          <cell r="X133">
            <v>18</v>
          </cell>
          <cell r="Y133">
            <v>22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/>
          <cell r="AI133">
            <v>137</v>
          </cell>
          <cell r="AJ133">
            <v>45</v>
          </cell>
          <cell r="AK133">
            <v>7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15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35</v>
          </cell>
          <cell r="X134">
            <v>10</v>
          </cell>
          <cell r="Y134">
            <v>15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/>
          <cell r="AI134">
            <v>75</v>
          </cell>
          <cell r="AJ134">
            <v>35</v>
          </cell>
          <cell r="AK134">
            <v>4</v>
          </cell>
        </row>
        <row r="135">
          <cell r="C135">
            <v>350619031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22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2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2</v>
          </cell>
          <cell r="V135">
            <v>0</v>
          </cell>
          <cell r="W135">
            <v>23</v>
          </cell>
          <cell r="X135">
            <v>41</v>
          </cell>
          <cell r="Y135">
            <v>15</v>
          </cell>
          <cell r="Z135">
            <v>0</v>
          </cell>
          <cell r="AA135">
            <v>0</v>
          </cell>
          <cell r="AB135">
            <v>2</v>
          </cell>
          <cell r="AC135">
            <v>8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/>
          <cell r="AI135">
            <v>115</v>
          </cell>
          <cell r="AJ135">
            <v>41</v>
          </cell>
          <cell r="AK135">
            <v>8</v>
          </cell>
        </row>
        <row r="136">
          <cell r="C136">
            <v>350619032</v>
          </cell>
          <cell r="D136">
            <v>0</v>
          </cell>
          <cell r="E136">
            <v>5</v>
          </cell>
          <cell r="F136">
            <v>0</v>
          </cell>
          <cell r="G136">
            <v>1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2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44</v>
          </cell>
          <cell r="U136">
            <v>0</v>
          </cell>
          <cell r="V136">
            <v>9</v>
          </cell>
          <cell r="W136">
            <v>10</v>
          </cell>
          <cell r="X136">
            <v>63</v>
          </cell>
          <cell r="Y136">
            <v>16</v>
          </cell>
          <cell r="Z136">
            <v>0</v>
          </cell>
          <cell r="AA136">
            <v>0</v>
          </cell>
          <cell r="AB136">
            <v>12</v>
          </cell>
          <cell r="AC136">
            <v>0</v>
          </cell>
          <cell r="AD136">
            <v>0</v>
          </cell>
          <cell r="AE136">
            <v>0</v>
          </cell>
          <cell r="AF136">
            <v>8</v>
          </cell>
          <cell r="AG136">
            <v>0</v>
          </cell>
          <cell r="AH136"/>
          <cell r="AI136">
            <v>170</v>
          </cell>
          <cell r="AJ136">
            <v>63</v>
          </cell>
          <cell r="AK136">
            <v>10</v>
          </cell>
        </row>
        <row r="137">
          <cell r="C137">
            <v>350619033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72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21</v>
          </cell>
          <cell r="U137">
            <v>0</v>
          </cell>
          <cell r="V137">
            <v>0</v>
          </cell>
          <cell r="W137">
            <v>27</v>
          </cell>
          <cell r="X137">
            <v>17</v>
          </cell>
          <cell r="Y137">
            <v>19</v>
          </cell>
          <cell r="Z137">
            <v>0</v>
          </cell>
          <cell r="AA137">
            <v>19</v>
          </cell>
          <cell r="AB137">
            <v>21</v>
          </cell>
          <cell r="AC137">
            <v>22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/>
          <cell r="AI137">
            <v>218</v>
          </cell>
          <cell r="AJ137">
            <v>72</v>
          </cell>
          <cell r="AK137">
            <v>8</v>
          </cell>
        </row>
        <row r="138">
          <cell r="C138">
            <v>350619034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35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45</v>
          </cell>
          <cell r="U138">
            <v>2</v>
          </cell>
          <cell r="V138">
            <v>0</v>
          </cell>
          <cell r="W138">
            <v>25</v>
          </cell>
          <cell r="X138">
            <v>25</v>
          </cell>
          <cell r="Y138">
            <v>16</v>
          </cell>
          <cell r="Z138">
            <v>1</v>
          </cell>
          <cell r="AA138">
            <v>0</v>
          </cell>
          <cell r="AB138">
            <v>17</v>
          </cell>
          <cell r="AC138">
            <v>6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/>
          <cell r="AI138">
            <v>172</v>
          </cell>
          <cell r="AJ138">
            <v>45</v>
          </cell>
          <cell r="AK138">
            <v>9</v>
          </cell>
        </row>
        <row r="139">
          <cell r="C139">
            <v>350619035</v>
          </cell>
          <cell r="D139">
            <v>0</v>
          </cell>
          <cell r="E139">
            <v>12</v>
          </cell>
          <cell r="F139">
            <v>0</v>
          </cell>
          <cell r="G139">
            <v>14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16</v>
          </cell>
          <cell r="O139">
            <v>0</v>
          </cell>
          <cell r="P139">
            <v>0</v>
          </cell>
          <cell r="Q139">
            <v>10</v>
          </cell>
          <cell r="R139">
            <v>8</v>
          </cell>
          <cell r="S139">
            <v>0</v>
          </cell>
          <cell r="T139">
            <v>0</v>
          </cell>
          <cell r="U139">
            <v>0</v>
          </cell>
          <cell r="V139">
            <v>12</v>
          </cell>
          <cell r="W139">
            <v>22</v>
          </cell>
          <cell r="X139">
            <v>20</v>
          </cell>
          <cell r="Y139">
            <v>17</v>
          </cell>
          <cell r="Z139">
            <v>4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10</v>
          </cell>
          <cell r="AH139"/>
          <cell r="AI139">
            <v>145</v>
          </cell>
          <cell r="AJ139">
            <v>22</v>
          </cell>
          <cell r="AK139">
            <v>11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18</v>
          </cell>
          <cell r="I140">
            <v>39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19</v>
          </cell>
          <cell r="X140">
            <v>15</v>
          </cell>
          <cell r="Y140">
            <v>29</v>
          </cell>
          <cell r="Z140">
            <v>0</v>
          </cell>
          <cell r="AA140">
            <v>0</v>
          </cell>
          <cell r="AB140">
            <v>0</v>
          </cell>
          <cell r="AC140">
            <v>5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/>
          <cell r="AI140">
            <v>125</v>
          </cell>
          <cell r="AJ140">
            <v>39</v>
          </cell>
          <cell r="AK140">
            <v>6</v>
          </cell>
        </row>
        <row r="141">
          <cell r="C141">
            <v>350620001</v>
          </cell>
          <cell r="D141">
            <v>0</v>
          </cell>
          <cell r="E141">
            <v>0</v>
          </cell>
          <cell r="F141">
            <v>0</v>
          </cell>
          <cell r="G141">
            <v>6</v>
          </cell>
          <cell r="H141">
            <v>0</v>
          </cell>
          <cell r="I141">
            <v>82</v>
          </cell>
          <cell r="J141">
            <v>0</v>
          </cell>
          <cell r="K141">
            <v>1</v>
          </cell>
          <cell r="L141">
            <v>0</v>
          </cell>
          <cell r="M141">
            <v>0</v>
          </cell>
          <cell r="N141">
            <v>43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28</v>
          </cell>
          <cell r="U141">
            <v>0</v>
          </cell>
          <cell r="V141">
            <v>9</v>
          </cell>
          <cell r="W141">
            <v>56</v>
          </cell>
          <cell r="X141">
            <v>11</v>
          </cell>
          <cell r="Y141">
            <v>5</v>
          </cell>
          <cell r="Z141">
            <v>0</v>
          </cell>
          <cell r="AA141">
            <v>0</v>
          </cell>
          <cell r="AB141">
            <v>17</v>
          </cell>
          <cell r="AC141">
            <v>0</v>
          </cell>
          <cell r="AD141">
            <v>0</v>
          </cell>
          <cell r="AE141">
            <v>4</v>
          </cell>
          <cell r="AF141">
            <v>0</v>
          </cell>
          <cell r="AG141">
            <v>7</v>
          </cell>
          <cell r="AH141"/>
          <cell r="AI141">
            <v>269</v>
          </cell>
          <cell r="AJ141">
            <v>82</v>
          </cell>
          <cell r="AK141">
            <v>12</v>
          </cell>
        </row>
        <row r="142">
          <cell r="C142">
            <v>350620002</v>
          </cell>
          <cell r="D142">
            <v>1</v>
          </cell>
          <cell r="E142">
            <v>0</v>
          </cell>
          <cell r="F142">
            <v>5</v>
          </cell>
          <cell r="G142">
            <v>52</v>
          </cell>
          <cell r="H142">
            <v>0</v>
          </cell>
          <cell r="I142">
            <v>54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16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25</v>
          </cell>
          <cell r="U142">
            <v>0</v>
          </cell>
          <cell r="V142">
            <v>5</v>
          </cell>
          <cell r="W142">
            <v>89</v>
          </cell>
          <cell r="X142">
            <v>40</v>
          </cell>
          <cell r="Y142">
            <v>13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/>
          <cell r="AI142">
            <v>300</v>
          </cell>
          <cell r="AJ142">
            <v>89</v>
          </cell>
          <cell r="AK142">
            <v>10</v>
          </cell>
        </row>
        <row r="143">
          <cell r="C143">
            <v>350620003</v>
          </cell>
          <cell r="D143">
            <v>0</v>
          </cell>
          <cell r="E143">
            <v>0</v>
          </cell>
          <cell r="F143">
            <v>18</v>
          </cell>
          <cell r="G143">
            <v>0</v>
          </cell>
          <cell r="H143">
            <v>36</v>
          </cell>
          <cell r="I143">
            <v>79</v>
          </cell>
          <cell r="J143">
            <v>0</v>
          </cell>
          <cell r="K143">
            <v>0</v>
          </cell>
          <cell r="L143">
            <v>0</v>
          </cell>
          <cell r="M143">
            <v>5</v>
          </cell>
          <cell r="N143">
            <v>35</v>
          </cell>
          <cell r="O143">
            <v>0</v>
          </cell>
          <cell r="P143">
            <v>15</v>
          </cell>
          <cell r="Q143">
            <v>15</v>
          </cell>
          <cell r="R143">
            <v>4</v>
          </cell>
          <cell r="S143">
            <v>0</v>
          </cell>
          <cell r="T143">
            <v>2</v>
          </cell>
          <cell r="U143">
            <v>0</v>
          </cell>
          <cell r="V143">
            <v>0</v>
          </cell>
          <cell r="W143">
            <v>2</v>
          </cell>
          <cell r="X143">
            <v>13</v>
          </cell>
          <cell r="Y143">
            <v>8</v>
          </cell>
          <cell r="Z143">
            <v>0</v>
          </cell>
          <cell r="AA143">
            <v>9</v>
          </cell>
          <cell r="AB143">
            <v>50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7</v>
          </cell>
          <cell r="AH143"/>
          <cell r="AI143">
            <v>298</v>
          </cell>
          <cell r="AJ143">
            <v>79</v>
          </cell>
          <cell r="AK143">
            <v>15</v>
          </cell>
        </row>
        <row r="144">
          <cell r="C144">
            <v>350620004</v>
          </cell>
          <cell r="D144">
            <v>0</v>
          </cell>
          <cell r="E144">
            <v>0</v>
          </cell>
          <cell r="F144">
            <v>10</v>
          </cell>
          <cell r="G144">
            <v>20</v>
          </cell>
          <cell r="H144">
            <v>3</v>
          </cell>
          <cell r="I144">
            <v>65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31</v>
          </cell>
          <cell r="O144">
            <v>0</v>
          </cell>
          <cell r="P144">
            <v>0</v>
          </cell>
          <cell r="Q144">
            <v>15</v>
          </cell>
          <cell r="R144">
            <v>10</v>
          </cell>
          <cell r="S144">
            <v>0</v>
          </cell>
          <cell r="T144">
            <v>26</v>
          </cell>
          <cell r="U144">
            <v>0</v>
          </cell>
          <cell r="V144">
            <v>19</v>
          </cell>
          <cell r="W144">
            <v>16</v>
          </cell>
          <cell r="X144">
            <v>10</v>
          </cell>
          <cell r="Y144">
            <v>6</v>
          </cell>
          <cell r="Z144">
            <v>0</v>
          </cell>
          <cell r="AA144">
            <v>0</v>
          </cell>
          <cell r="AB144">
            <v>16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13</v>
          </cell>
          <cell r="AH144"/>
          <cell r="AI144">
            <v>260</v>
          </cell>
          <cell r="AJ144">
            <v>65</v>
          </cell>
          <cell r="AK144">
            <v>14</v>
          </cell>
        </row>
        <row r="145">
          <cell r="C145">
            <v>350620005</v>
          </cell>
          <cell r="D145">
            <v>0</v>
          </cell>
          <cell r="E145">
            <v>0</v>
          </cell>
          <cell r="F145">
            <v>17</v>
          </cell>
          <cell r="G145">
            <v>33</v>
          </cell>
          <cell r="H145">
            <v>26</v>
          </cell>
          <cell r="I145">
            <v>73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40</v>
          </cell>
          <cell r="O145">
            <v>0</v>
          </cell>
          <cell r="P145">
            <v>0</v>
          </cell>
          <cell r="Q145">
            <v>39</v>
          </cell>
          <cell r="R145">
            <v>12</v>
          </cell>
          <cell r="S145">
            <v>0</v>
          </cell>
          <cell r="T145">
            <v>23</v>
          </cell>
          <cell r="U145">
            <v>0</v>
          </cell>
          <cell r="V145">
            <v>7</v>
          </cell>
          <cell r="W145">
            <v>9</v>
          </cell>
          <cell r="X145">
            <v>12</v>
          </cell>
          <cell r="Y145">
            <v>7</v>
          </cell>
          <cell r="Z145">
            <v>0</v>
          </cell>
          <cell r="AA145">
            <v>0</v>
          </cell>
          <cell r="AB145">
            <v>19</v>
          </cell>
          <cell r="AC145">
            <v>5</v>
          </cell>
          <cell r="AD145">
            <v>0</v>
          </cell>
          <cell r="AE145">
            <v>0</v>
          </cell>
          <cell r="AF145">
            <v>0</v>
          </cell>
          <cell r="AG145">
            <v>27</v>
          </cell>
          <cell r="AH145"/>
          <cell r="AI145">
            <v>349</v>
          </cell>
          <cell r="AJ145">
            <v>73</v>
          </cell>
          <cell r="AK145">
            <v>15</v>
          </cell>
        </row>
        <row r="146">
          <cell r="C146">
            <v>350620006</v>
          </cell>
          <cell r="D146">
            <v>0</v>
          </cell>
          <cell r="E146">
            <v>0</v>
          </cell>
          <cell r="F146">
            <v>7</v>
          </cell>
          <cell r="G146">
            <v>14</v>
          </cell>
          <cell r="H146">
            <v>1</v>
          </cell>
          <cell r="I146">
            <v>67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36</v>
          </cell>
          <cell r="O146">
            <v>0</v>
          </cell>
          <cell r="P146">
            <v>8</v>
          </cell>
          <cell r="Q146">
            <v>67</v>
          </cell>
          <cell r="R146">
            <v>2</v>
          </cell>
          <cell r="S146">
            <v>0</v>
          </cell>
          <cell r="T146">
            <v>41</v>
          </cell>
          <cell r="U146">
            <v>0</v>
          </cell>
          <cell r="V146">
            <v>8</v>
          </cell>
          <cell r="W146">
            <v>16</v>
          </cell>
          <cell r="X146">
            <v>11</v>
          </cell>
          <cell r="Y146">
            <v>5</v>
          </cell>
          <cell r="Z146">
            <v>0</v>
          </cell>
          <cell r="AA146">
            <v>0</v>
          </cell>
          <cell r="AB146">
            <v>34</v>
          </cell>
          <cell r="AC146">
            <v>8</v>
          </cell>
          <cell r="AD146">
            <v>0</v>
          </cell>
          <cell r="AE146">
            <v>0</v>
          </cell>
          <cell r="AF146">
            <v>0</v>
          </cell>
          <cell r="AG146">
            <v>25</v>
          </cell>
          <cell r="AH146"/>
          <cell r="AI146">
            <v>350</v>
          </cell>
          <cell r="AJ146">
            <v>67</v>
          </cell>
          <cell r="AK146">
            <v>16</v>
          </cell>
        </row>
        <row r="147">
          <cell r="C147">
            <v>350620007</v>
          </cell>
          <cell r="D147">
            <v>0</v>
          </cell>
          <cell r="E147">
            <v>0</v>
          </cell>
          <cell r="F147">
            <v>7</v>
          </cell>
          <cell r="G147">
            <v>6</v>
          </cell>
          <cell r="H147">
            <v>0</v>
          </cell>
          <cell r="I147">
            <v>17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25</v>
          </cell>
          <cell r="O147">
            <v>0</v>
          </cell>
          <cell r="P147">
            <v>0</v>
          </cell>
          <cell r="Q147">
            <v>31</v>
          </cell>
          <cell r="R147">
            <v>6</v>
          </cell>
          <cell r="S147">
            <v>0</v>
          </cell>
          <cell r="T147">
            <v>3</v>
          </cell>
          <cell r="U147">
            <v>0</v>
          </cell>
          <cell r="V147">
            <v>3</v>
          </cell>
          <cell r="W147">
            <v>9</v>
          </cell>
          <cell r="X147">
            <v>9</v>
          </cell>
          <cell r="Y147">
            <v>5</v>
          </cell>
          <cell r="Z147">
            <v>0</v>
          </cell>
          <cell r="AA147">
            <v>0</v>
          </cell>
          <cell r="AB147">
            <v>1</v>
          </cell>
          <cell r="AC147">
            <v>25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/>
          <cell r="AI147">
            <v>147</v>
          </cell>
          <cell r="AJ147">
            <v>31</v>
          </cell>
          <cell r="AK147">
            <v>13</v>
          </cell>
        </row>
        <row r="148">
          <cell r="C148">
            <v>350620008</v>
          </cell>
          <cell r="D148">
            <v>0</v>
          </cell>
          <cell r="E148">
            <v>0</v>
          </cell>
          <cell r="F148">
            <v>5</v>
          </cell>
          <cell r="G148">
            <v>0</v>
          </cell>
          <cell r="H148">
            <v>0</v>
          </cell>
          <cell r="I148">
            <v>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40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15</v>
          </cell>
          <cell r="X148">
            <v>10</v>
          </cell>
          <cell r="Y148">
            <v>5</v>
          </cell>
          <cell r="Z148">
            <v>0</v>
          </cell>
          <cell r="AA148">
            <v>0</v>
          </cell>
          <cell r="AB148">
            <v>10</v>
          </cell>
          <cell r="AC148">
            <v>35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/>
          <cell r="AI148">
            <v>123</v>
          </cell>
          <cell r="AJ148">
            <v>40</v>
          </cell>
          <cell r="AK148">
            <v>8</v>
          </cell>
        </row>
        <row r="149">
          <cell r="C149">
            <v>350620009</v>
          </cell>
          <cell r="D149">
            <v>0</v>
          </cell>
          <cell r="E149">
            <v>0</v>
          </cell>
          <cell r="F149">
            <v>8</v>
          </cell>
          <cell r="G149">
            <v>50</v>
          </cell>
          <cell r="H149">
            <v>17</v>
          </cell>
          <cell r="I149">
            <v>21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14</v>
          </cell>
          <cell r="O149">
            <v>0</v>
          </cell>
          <cell r="P149">
            <v>0</v>
          </cell>
          <cell r="Q149">
            <v>5</v>
          </cell>
          <cell r="R149">
            <v>0</v>
          </cell>
          <cell r="S149">
            <v>0</v>
          </cell>
          <cell r="T149">
            <v>2</v>
          </cell>
          <cell r="U149">
            <v>18</v>
          </cell>
          <cell r="V149">
            <v>0</v>
          </cell>
          <cell r="W149">
            <v>3</v>
          </cell>
          <cell r="X149">
            <v>16</v>
          </cell>
          <cell r="Y149">
            <v>12</v>
          </cell>
          <cell r="Z149">
            <v>0</v>
          </cell>
          <cell r="AA149">
            <v>32</v>
          </cell>
          <cell r="AB149">
            <v>4</v>
          </cell>
          <cell r="AC149">
            <v>0</v>
          </cell>
          <cell r="AD149">
            <v>0</v>
          </cell>
          <cell r="AE149">
            <v>6</v>
          </cell>
          <cell r="AF149">
            <v>0</v>
          </cell>
          <cell r="AG149">
            <v>0</v>
          </cell>
          <cell r="AH149"/>
          <cell r="AI149">
            <v>208</v>
          </cell>
          <cell r="AJ149">
            <v>50</v>
          </cell>
          <cell r="AK149">
            <v>14</v>
          </cell>
        </row>
        <row r="150">
          <cell r="C150">
            <v>350620010</v>
          </cell>
          <cell r="D150">
            <v>8</v>
          </cell>
          <cell r="E150">
            <v>3</v>
          </cell>
          <cell r="F150">
            <v>15</v>
          </cell>
          <cell r="G150">
            <v>33</v>
          </cell>
          <cell r="H150">
            <v>29</v>
          </cell>
          <cell r="I150">
            <v>2</v>
          </cell>
          <cell r="J150">
            <v>0</v>
          </cell>
          <cell r="K150">
            <v>0</v>
          </cell>
          <cell r="L150">
            <v>0</v>
          </cell>
          <cell r="M150">
            <v>5</v>
          </cell>
          <cell r="N150">
            <v>19</v>
          </cell>
          <cell r="O150">
            <v>0</v>
          </cell>
          <cell r="P150">
            <v>0</v>
          </cell>
          <cell r="Q150">
            <v>14</v>
          </cell>
          <cell r="R150">
            <v>0</v>
          </cell>
          <cell r="S150">
            <v>0</v>
          </cell>
          <cell r="T150">
            <v>5</v>
          </cell>
          <cell r="U150">
            <v>2</v>
          </cell>
          <cell r="V150">
            <v>28</v>
          </cell>
          <cell r="W150">
            <v>0</v>
          </cell>
          <cell r="X150">
            <v>23</v>
          </cell>
          <cell r="Y150">
            <v>17</v>
          </cell>
          <cell r="Z150">
            <v>0</v>
          </cell>
          <cell r="AA150">
            <v>9</v>
          </cell>
          <cell r="AB150">
            <v>2</v>
          </cell>
          <cell r="AC150">
            <v>0</v>
          </cell>
          <cell r="AD150">
            <v>0</v>
          </cell>
          <cell r="AE150">
            <v>10</v>
          </cell>
          <cell r="AF150">
            <v>0</v>
          </cell>
          <cell r="AG150">
            <v>0</v>
          </cell>
          <cell r="AH150"/>
          <cell r="AI150">
            <v>224</v>
          </cell>
          <cell r="AJ150">
            <v>33</v>
          </cell>
          <cell r="AK150">
            <v>17</v>
          </cell>
        </row>
        <row r="151">
          <cell r="C151">
            <v>350620011</v>
          </cell>
          <cell r="D151">
            <v>0</v>
          </cell>
          <cell r="E151">
            <v>6</v>
          </cell>
          <cell r="F151">
            <v>7</v>
          </cell>
          <cell r="G151">
            <v>20</v>
          </cell>
          <cell r="H151">
            <v>11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15</v>
          </cell>
          <cell r="N151">
            <v>5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20</v>
          </cell>
          <cell r="W151">
            <v>31</v>
          </cell>
          <cell r="X151">
            <v>24</v>
          </cell>
          <cell r="Y151">
            <v>19</v>
          </cell>
          <cell r="Z151">
            <v>0</v>
          </cell>
          <cell r="AA151">
            <v>0</v>
          </cell>
          <cell r="AB151">
            <v>5</v>
          </cell>
          <cell r="AC151">
            <v>0</v>
          </cell>
          <cell r="AD151">
            <v>17</v>
          </cell>
          <cell r="AE151">
            <v>2</v>
          </cell>
          <cell r="AF151">
            <v>0</v>
          </cell>
          <cell r="AG151">
            <v>0</v>
          </cell>
          <cell r="AH151"/>
          <cell r="AI151">
            <v>197</v>
          </cell>
          <cell r="AJ151">
            <v>31</v>
          </cell>
          <cell r="AK151">
            <v>14</v>
          </cell>
        </row>
        <row r="152">
          <cell r="C152">
            <v>350620012</v>
          </cell>
          <cell r="D152">
            <v>2</v>
          </cell>
          <cell r="E152">
            <v>0</v>
          </cell>
          <cell r="F152">
            <v>23</v>
          </cell>
          <cell r="G152">
            <v>34</v>
          </cell>
          <cell r="H152">
            <v>26</v>
          </cell>
          <cell r="I152">
            <v>6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6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3</v>
          </cell>
          <cell r="U152">
            <v>38</v>
          </cell>
          <cell r="V152">
            <v>0</v>
          </cell>
          <cell r="W152">
            <v>3</v>
          </cell>
          <cell r="X152">
            <v>22</v>
          </cell>
          <cell r="Y152">
            <v>14</v>
          </cell>
          <cell r="Z152">
            <v>0</v>
          </cell>
          <cell r="AA152">
            <v>65</v>
          </cell>
          <cell r="AB152">
            <v>9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/>
          <cell r="AI152">
            <v>251</v>
          </cell>
          <cell r="AJ152">
            <v>65</v>
          </cell>
          <cell r="AK152">
            <v>13</v>
          </cell>
        </row>
        <row r="153">
          <cell r="C153">
            <v>350620013</v>
          </cell>
          <cell r="D153">
            <v>5</v>
          </cell>
          <cell r="E153">
            <v>7</v>
          </cell>
          <cell r="F153">
            <v>34</v>
          </cell>
          <cell r="G153">
            <v>28</v>
          </cell>
          <cell r="H153">
            <v>46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2</v>
          </cell>
          <cell r="N153">
            <v>20</v>
          </cell>
          <cell r="O153">
            <v>0</v>
          </cell>
          <cell r="P153">
            <v>0</v>
          </cell>
          <cell r="Q153">
            <v>16</v>
          </cell>
          <cell r="R153">
            <v>0</v>
          </cell>
          <cell r="S153">
            <v>0</v>
          </cell>
          <cell r="T153">
            <v>2</v>
          </cell>
          <cell r="U153">
            <v>32</v>
          </cell>
          <cell r="V153">
            <v>0</v>
          </cell>
          <cell r="W153">
            <v>4</v>
          </cell>
          <cell r="X153">
            <v>37</v>
          </cell>
          <cell r="Y153">
            <v>26</v>
          </cell>
          <cell r="Z153">
            <v>0</v>
          </cell>
          <cell r="AA153">
            <v>3</v>
          </cell>
          <cell r="AB153">
            <v>36</v>
          </cell>
          <cell r="AC153">
            <v>1</v>
          </cell>
          <cell r="AD153">
            <v>0</v>
          </cell>
          <cell r="AE153">
            <v>2</v>
          </cell>
          <cell r="AF153">
            <v>1</v>
          </cell>
          <cell r="AG153">
            <v>4</v>
          </cell>
          <cell r="AH153"/>
          <cell r="AI153">
            <v>306</v>
          </cell>
          <cell r="AJ153">
            <v>46</v>
          </cell>
          <cell r="AK153">
            <v>19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4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2</v>
          </cell>
          <cell r="R154">
            <v>0</v>
          </cell>
          <cell r="S154">
            <v>0</v>
          </cell>
          <cell r="T154">
            <v>21</v>
          </cell>
          <cell r="U154">
            <v>0</v>
          </cell>
          <cell r="V154">
            <v>0</v>
          </cell>
          <cell r="W154">
            <v>30</v>
          </cell>
          <cell r="X154">
            <v>5</v>
          </cell>
          <cell r="Y154">
            <v>0</v>
          </cell>
          <cell r="Z154">
            <v>0</v>
          </cell>
          <cell r="AA154">
            <v>0</v>
          </cell>
          <cell r="AB154">
            <v>3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/>
          <cell r="AI154">
            <v>65</v>
          </cell>
          <cell r="AJ154">
            <v>30</v>
          </cell>
          <cell r="AK154">
            <v>6</v>
          </cell>
        </row>
        <row r="155">
          <cell r="C155">
            <v>350620015</v>
          </cell>
          <cell r="D155">
            <v>0</v>
          </cell>
          <cell r="E155">
            <v>0</v>
          </cell>
          <cell r="F155">
            <v>0</v>
          </cell>
          <cell r="G155">
            <v>1</v>
          </cell>
          <cell r="H155">
            <v>0</v>
          </cell>
          <cell r="I155">
            <v>2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7</v>
          </cell>
          <cell r="O155">
            <v>0</v>
          </cell>
          <cell r="P155">
            <v>0</v>
          </cell>
          <cell r="Q155">
            <v>4</v>
          </cell>
          <cell r="R155">
            <v>10</v>
          </cell>
          <cell r="S155">
            <v>0</v>
          </cell>
          <cell r="T155">
            <v>2</v>
          </cell>
          <cell r="U155">
            <v>3</v>
          </cell>
          <cell r="V155">
            <v>0</v>
          </cell>
          <cell r="W155">
            <v>12</v>
          </cell>
          <cell r="X155">
            <v>17</v>
          </cell>
          <cell r="Y155">
            <v>5</v>
          </cell>
          <cell r="Z155">
            <v>0</v>
          </cell>
          <cell r="AA155">
            <v>0</v>
          </cell>
          <cell r="AB155">
            <v>15</v>
          </cell>
          <cell r="AC155">
            <v>1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/>
          <cell r="AI155">
            <v>79</v>
          </cell>
          <cell r="AJ155">
            <v>17</v>
          </cell>
          <cell r="AK155">
            <v>12</v>
          </cell>
        </row>
        <row r="156">
          <cell r="C156">
            <v>350620016</v>
          </cell>
          <cell r="D156">
            <v>0</v>
          </cell>
          <cell r="E156">
            <v>0</v>
          </cell>
          <cell r="F156">
            <v>1</v>
          </cell>
          <cell r="G156">
            <v>0</v>
          </cell>
          <cell r="H156">
            <v>0</v>
          </cell>
          <cell r="I156">
            <v>13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4</v>
          </cell>
          <cell r="O156">
            <v>0</v>
          </cell>
          <cell r="P156">
            <v>0</v>
          </cell>
          <cell r="Q156">
            <v>3</v>
          </cell>
          <cell r="R156">
            <v>0</v>
          </cell>
          <cell r="S156">
            <v>1</v>
          </cell>
          <cell r="T156">
            <v>0</v>
          </cell>
          <cell r="U156">
            <v>0</v>
          </cell>
          <cell r="V156">
            <v>0</v>
          </cell>
          <cell r="W156">
            <v>8</v>
          </cell>
          <cell r="X156">
            <v>15</v>
          </cell>
          <cell r="Y156">
            <v>0</v>
          </cell>
          <cell r="Z156">
            <v>4</v>
          </cell>
          <cell r="AA156">
            <v>8</v>
          </cell>
          <cell r="AB156">
            <v>3</v>
          </cell>
          <cell r="AC156">
            <v>7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/>
          <cell r="AI156">
            <v>67</v>
          </cell>
          <cell r="AJ156">
            <v>15</v>
          </cell>
          <cell r="AK156">
            <v>11</v>
          </cell>
        </row>
        <row r="157">
          <cell r="C157">
            <v>350620017</v>
          </cell>
          <cell r="D157">
            <v>0</v>
          </cell>
          <cell r="E157">
            <v>2</v>
          </cell>
          <cell r="F157">
            <v>0</v>
          </cell>
          <cell r="G157">
            <v>0</v>
          </cell>
          <cell r="H157">
            <v>4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10</v>
          </cell>
          <cell r="V157">
            <v>0</v>
          </cell>
          <cell r="W157">
            <v>35</v>
          </cell>
          <cell r="X157">
            <v>7</v>
          </cell>
          <cell r="Y157">
            <v>7</v>
          </cell>
          <cell r="Z157">
            <v>0</v>
          </cell>
          <cell r="AA157">
            <v>0</v>
          </cell>
          <cell r="AB157">
            <v>14</v>
          </cell>
          <cell r="AC157">
            <v>3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/>
          <cell r="AI157">
            <v>82</v>
          </cell>
          <cell r="AJ157">
            <v>35</v>
          </cell>
          <cell r="AK157">
            <v>8</v>
          </cell>
        </row>
        <row r="158">
          <cell r="C158">
            <v>350620018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20</v>
          </cell>
          <cell r="I158">
            <v>0</v>
          </cell>
          <cell r="J158">
            <v>0</v>
          </cell>
          <cell r="K158">
            <v>16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1</v>
          </cell>
          <cell r="R158">
            <v>0</v>
          </cell>
          <cell r="S158">
            <v>0</v>
          </cell>
          <cell r="T158">
            <v>0</v>
          </cell>
          <cell r="U158">
            <v>17</v>
          </cell>
          <cell r="V158">
            <v>0</v>
          </cell>
          <cell r="W158">
            <v>0</v>
          </cell>
          <cell r="X158">
            <v>9</v>
          </cell>
          <cell r="Y158">
            <v>0</v>
          </cell>
          <cell r="Z158">
            <v>0</v>
          </cell>
          <cell r="AA158">
            <v>0</v>
          </cell>
          <cell r="AB158">
            <v>31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/>
          <cell r="AI158">
            <v>94</v>
          </cell>
          <cell r="AJ158">
            <v>31</v>
          </cell>
          <cell r="AK158">
            <v>6</v>
          </cell>
        </row>
        <row r="159">
          <cell r="C159">
            <v>350620019</v>
          </cell>
          <cell r="D159">
            <v>29</v>
          </cell>
          <cell r="E159">
            <v>23</v>
          </cell>
          <cell r="F159">
            <v>19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</v>
          </cell>
          <cell r="L159">
            <v>18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46</v>
          </cell>
          <cell r="U159">
            <v>14</v>
          </cell>
          <cell r="V159">
            <v>0</v>
          </cell>
          <cell r="W159">
            <v>36</v>
          </cell>
          <cell r="X159">
            <v>13</v>
          </cell>
          <cell r="Y159">
            <v>0</v>
          </cell>
          <cell r="Z159">
            <v>0</v>
          </cell>
          <cell r="AA159">
            <v>0</v>
          </cell>
          <cell r="AB159">
            <v>29</v>
          </cell>
          <cell r="AC159">
            <v>6</v>
          </cell>
          <cell r="AD159">
            <v>8</v>
          </cell>
          <cell r="AE159">
            <v>0</v>
          </cell>
          <cell r="AF159">
            <v>12</v>
          </cell>
          <cell r="AG159">
            <v>0</v>
          </cell>
          <cell r="AH159"/>
          <cell r="AI159">
            <v>257</v>
          </cell>
          <cell r="AJ159">
            <v>46</v>
          </cell>
          <cell r="AK159">
            <v>13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0</v>
          </cell>
          <cell r="G160">
            <v>35</v>
          </cell>
          <cell r="H160">
            <v>0</v>
          </cell>
          <cell r="I160">
            <v>11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24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7</v>
          </cell>
          <cell r="U160">
            <v>0</v>
          </cell>
          <cell r="V160">
            <v>0</v>
          </cell>
          <cell r="W160">
            <v>77</v>
          </cell>
          <cell r="X160">
            <v>14</v>
          </cell>
          <cell r="Y160">
            <v>11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/>
          <cell r="AI160">
            <v>179</v>
          </cell>
          <cell r="AJ160">
            <v>77</v>
          </cell>
          <cell r="AK160">
            <v>7</v>
          </cell>
        </row>
        <row r="161">
          <cell r="C161">
            <v>350621001</v>
          </cell>
          <cell r="D161">
            <v>0</v>
          </cell>
          <cell r="E161">
            <v>30</v>
          </cell>
          <cell r="F161">
            <v>26</v>
          </cell>
          <cell r="G161">
            <v>15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27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103</v>
          </cell>
          <cell r="X161">
            <v>33</v>
          </cell>
          <cell r="Y161">
            <v>13</v>
          </cell>
          <cell r="Z161">
            <v>0</v>
          </cell>
          <cell r="AA161">
            <v>0</v>
          </cell>
          <cell r="AB161">
            <v>15</v>
          </cell>
          <cell r="AC161">
            <v>2</v>
          </cell>
          <cell r="AD161">
            <v>13</v>
          </cell>
          <cell r="AE161">
            <v>0</v>
          </cell>
          <cell r="AF161">
            <v>0</v>
          </cell>
          <cell r="AG161">
            <v>0</v>
          </cell>
          <cell r="AH161"/>
          <cell r="AI161">
            <v>277</v>
          </cell>
          <cell r="AJ161">
            <v>103</v>
          </cell>
          <cell r="AK161">
            <v>10</v>
          </cell>
        </row>
        <row r="162">
          <cell r="C162">
            <v>350621002</v>
          </cell>
          <cell r="D162">
            <v>0</v>
          </cell>
          <cell r="E162">
            <v>8</v>
          </cell>
          <cell r="F162">
            <v>20</v>
          </cell>
          <cell r="G162">
            <v>14</v>
          </cell>
          <cell r="H162">
            <v>16</v>
          </cell>
          <cell r="I162">
            <v>48</v>
          </cell>
          <cell r="J162">
            <v>0</v>
          </cell>
          <cell r="K162">
            <v>0</v>
          </cell>
          <cell r="L162">
            <v>41</v>
          </cell>
          <cell r="M162">
            <v>0</v>
          </cell>
          <cell r="N162">
            <v>0</v>
          </cell>
          <cell r="O162">
            <v>47</v>
          </cell>
          <cell r="P162">
            <v>0</v>
          </cell>
          <cell r="Q162">
            <v>5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8</v>
          </cell>
          <cell r="X162">
            <v>16</v>
          </cell>
          <cell r="Y162">
            <v>20</v>
          </cell>
          <cell r="Z162">
            <v>0</v>
          </cell>
          <cell r="AA162">
            <v>2</v>
          </cell>
          <cell r="AB162">
            <v>3</v>
          </cell>
          <cell r="AC162">
            <v>6.5</v>
          </cell>
          <cell r="AD162">
            <v>0</v>
          </cell>
          <cell r="AE162">
            <v>8</v>
          </cell>
          <cell r="AF162">
            <v>0</v>
          </cell>
          <cell r="AG162">
            <v>0</v>
          </cell>
          <cell r="AH162"/>
          <cell r="AI162">
            <v>262.5</v>
          </cell>
          <cell r="AJ162">
            <v>48</v>
          </cell>
          <cell r="AK162">
            <v>15</v>
          </cell>
        </row>
        <row r="163">
          <cell r="C163">
            <v>350621003</v>
          </cell>
          <cell r="D163">
            <v>0</v>
          </cell>
          <cell r="E163">
            <v>1</v>
          </cell>
          <cell r="F163">
            <v>3.5</v>
          </cell>
          <cell r="G163">
            <v>37</v>
          </cell>
          <cell r="H163">
            <v>30</v>
          </cell>
          <cell r="I163">
            <v>37</v>
          </cell>
          <cell r="J163">
            <v>1</v>
          </cell>
          <cell r="K163">
            <v>0</v>
          </cell>
          <cell r="L163">
            <v>3</v>
          </cell>
          <cell r="M163">
            <v>0</v>
          </cell>
          <cell r="N163">
            <v>0</v>
          </cell>
          <cell r="O163">
            <v>1</v>
          </cell>
          <cell r="P163">
            <v>2.5</v>
          </cell>
          <cell r="Q163">
            <v>32</v>
          </cell>
          <cell r="R163">
            <v>1</v>
          </cell>
          <cell r="S163">
            <v>0</v>
          </cell>
          <cell r="T163">
            <v>14.5</v>
          </cell>
          <cell r="U163">
            <v>0</v>
          </cell>
          <cell r="V163">
            <v>6.5</v>
          </cell>
          <cell r="W163">
            <v>15</v>
          </cell>
          <cell r="X163">
            <v>32</v>
          </cell>
          <cell r="Y163">
            <v>19</v>
          </cell>
          <cell r="Z163">
            <v>1</v>
          </cell>
          <cell r="AA163">
            <v>0</v>
          </cell>
          <cell r="AB163">
            <v>19</v>
          </cell>
          <cell r="AC163">
            <v>6</v>
          </cell>
          <cell r="AD163">
            <v>0</v>
          </cell>
          <cell r="AE163">
            <v>11</v>
          </cell>
          <cell r="AF163">
            <v>0</v>
          </cell>
          <cell r="AG163">
            <v>0</v>
          </cell>
          <cell r="AH163"/>
          <cell r="AI163">
            <v>273</v>
          </cell>
          <cell r="AJ163">
            <v>37</v>
          </cell>
          <cell r="AK163">
            <v>20</v>
          </cell>
        </row>
        <row r="164">
          <cell r="C164">
            <v>350621004</v>
          </cell>
          <cell r="D164">
            <v>0</v>
          </cell>
          <cell r="E164">
            <v>5</v>
          </cell>
          <cell r="F164">
            <v>17</v>
          </cell>
          <cell r="G164">
            <v>37</v>
          </cell>
          <cell r="H164">
            <v>10</v>
          </cell>
          <cell r="I164">
            <v>5</v>
          </cell>
          <cell r="J164">
            <v>14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54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35</v>
          </cell>
          <cell r="X164">
            <v>16</v>
          </cell>
          <cell r="Y164">
            <v>17</v>
          </cell>
          <cell r="Z164">
            <v>0</v>
          </cell>
          <cell r="AA164">
            <v>0</v>
          </cell>
          <cell r="AB164">
            <v>0</v>
          </cell>
          <cell r="AC164">
            <v>27</v>
          </cell>
          <cell r="AD164">
            <v>0</v>
          </cell>
          <cell r="AE164">
            <v>24</v>
          </cell>
          <cell r="AF164">
            <v>0</v>
          </cell>
          <cell r="AG164">
            <v>0</v>
          </cell>
          <cell r="AH164"/>
          <cell r="AI164">
            <v>261</v>
          </cell>
          <cell r="AJ164">
            <v>54</v>
          </cell>
          <cell r="AK164">
            <v>12</v>
          </cell>
        </row>
        <row r="165">
          <cell r="C165">
            <v>350621005</v>
          </cell>
          <cell r="D165">
            <v>0</v>
          </cell>
          <cell r="E165">
            <v>22</v>
          </cell>
          <cell r="F165">
            <v>4</v>
          </cell>
          <cell r="G165">
            <v>14</v>
          </cell>
          <cell r="H165">
            <v>0</v>
          </cell>
          <cell r="I165">
            <v>6</v>
          </cell>
          <cell r="J165">
            <v>0</v>
          </cell>
          <cell r="K165">
            <v>0</v>
          </cell>
          <cell r="L165">
            <v>2</v>
          </cell>
          <cell r="M165">
            <v>2</v>
          </cell>
          <cell r="N165">
            <v>1</v>
          </cell>
          <cell r="O165">
            <v>0</v>
          </cell>
          <cell r="P165">
            <v>1</v>
          </cell>
          <cell r="Q165">
            <v>31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27</v>
          </cell>
          <cell r="W165">
            <v>68</v>
          </cell>
          <cell r="X165">
            <v>89</v>
          </cell>
          <cell r="Y165">
            <v>22</v>
          </cell>
          <cell r="Z165">
            <v>0</v>
          </cell>
          <cell r="AA165">
            <v>19</v>
          </cell>
          <cell r="AB165">
            <v>0</v>
          </cell>
          <cell r="AC165">
            <v>33</v>
          </cell>
          <cell r="AD165">
            <v>6</v>
          </cell>
          <cell r="AE165">
            <v>8</v>
          </cell>
          <cell r="AF165">
            <v>9</v>
          </cell>
          <cell r="AG165">
            <v>0</v>
          </cell>
          <cell r="AH165"/>
          <cell r="AI165">
            <v>364</v>
          </cell>
          <cell r="AJ165">
            <v>89</v>
          </cell>
          <cell r="AK165">
            <v>18</v>
          </cell>
        </row>
        <row r="166">
          <cell r="C166">
            <v>350621006</v>
          </cell>
          <cell r="D166">
            <v>0</v>
          </cell>
          <cell r="E166">
            <v>55</v>
          </cell>
          <cell r="F166">
            <v>52</v>
          </cell>
          <cell r="G166">
            <v>26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7</v>
          </cell>
          <cell r="Q166">
            <v>2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56</v>
          </cell>
          <cell r="X166">
            <v>39</v>
          </cell>
          <cell r="Y166">
            <v>10</v>
          </cell>
          <cell r="Z166">
            <v>0</v>
          </cell>
          <cell r="AA166">
            <v>0</v>
          </cell>
          <cell r="AB166">
            <v>27</v>
          </cell>
          <cell r="AC166">
            <v>4</v>
          </cell>
          <cell r="AD166">
            <v>0</v>
          </cell>
          <cell r="AE166">
            <v>22</v>
          </cell>
          <cell r="AF166">
            <v>0</v>
          </cell>
          <cell r="AG166">
            <v>0</v>
          </cell>
          <cell r="AH166"/>
          <cell r="AI166">
            <v>300</v>
          </cell>
          <cell r="AJ166">
            <v>56</v>
          </cell>
          <cell r="AK166">
            <v>11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11</v>
          </cell>
          <cell r="G167">
            <v>56</v>
          </cell>
          <cell r="H167">
            <v>3</v>
          </cell>
          <cell r="I167">
            <v>2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3.2</v>
          </cell>
          <cell r="P167">
            <v>9.5</v>
          </cell>
          <cell r="Q167">
            <v>6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16.399999999999999</v>
          </cell>
          <cell r="X167">
            <v>14.5</v>
          </cell>
          <cell r="Y167">
            <v>5</v>
          </cell>
          <cell r="Z167">
            <v>0</v>
          </cell>
          <cell r="AA167">
            <v>0</v>
          </cell>
          <cell r="AB167">
            <v>12</v>
          </cell>
          <cell r="AC167">
            <v>0</v>
          </cell>
          <cell r="AD167">
            <v>0</v>
          </cell>
          <cell r="AE167">
            <v>3</v>
          </cell>
          <cell r="AF167">
            <v>0</v>
          </cell>
          <cell r="AG167">
            <v>0</v>
          </cell>
          <cell r="AH167"/>
          <cell r="AI167">
            <v>141.6</v>
          </cell>
          <cell r="AJ167">
            <v>56</v>
          </cell>
          <cell r="AK167">
            <v>12</v>
          </cell>
        </row>
        <row r="168">
          <cell r="C168">
            <v>350621008</v>
          </cell>
          <cell r="D168">
            <v>0</v>
          </cell>
          <cell r="E168">
            <v>0</v>
          </cell>
          <cell r="F168">
            <v>5</v>
          </cell>
          <cell r="G168">
            <v>28</v>
          </cell>
          <cell r="H168">
            <v>20</v>
          </cell>
          <cell r="I168">
            <v>15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22</v>
          </cell>
          <cell r="O168">
            <v>0</v>
          </cell>
          <cell r="P168">
            <v>5</v>
          </cell>
          <cell r="Q168">
            <v>72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10</v>
          </cell>
          <cell r="X168">
            <v>17</v>
          </cell>
          <cell r="Y168">
            <v>13</v>
          </cell>
          <cell r="Z168">
            <v>0</v>
          </cell>
          <cell r="AA168">
            <v>0</v>
          </cell>
          <cell r="AB168">
            <v>89</v>
          </cell>
          <cell r="AC168">
            <v>0</v>
          </cell>
          <cell r="AD168">
            <v>0</v>
          </cell>
          <cell r="AE168">
            <v>16</v>
          </cell>
          <cell r="AF168">
            <v>0</v>
          </cell>
          <cell r="AG168">
            <v>17</v>
          </cell>
          <cell r="AH168"/>
          <cell r="AI168">
            <v>332</v>
          </cell>
          <cell r="AJ168">
            <v>89</v>
          </cell>
          <cell r="AK168">
            <v>14</v>
          </cell>
        </row>
        <row r="169">
          <cell r="C169">
            <v>350621009</v>
          </cell>
          <cell r="D169">
            <v>0</v>
          </cell>
          <cell r="E169">
            <v>7</v>
          </cell>
          <cell r="F169">
            <v>15</v>
          </cell>
          <cell r="G169">
            <v>45</v>
          </cell>
          <cell r="H169">
            <v>0</v>
          </cell>
          <cell r="I169">
            <v>6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1.5</v>
          </cell>
          <cell r="O169">
            <v>0</v>
          </cell>
          <cell r="P169">
            <v>14</v>
          </cell>
          <cell r="Q169">
            <v>2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13</v>
          </cell>
          <cell r="X169">
            <v>16</v>
          </cell>
          <cell r="Y169">
            <v>12</v>
          </cell>
          <cell r="Z169">
            <v>0</v>
          </cell>
          <cell r="AA169">
            <v>0</v>
          </cell>
          <cell r="AB169">
            <v>0</v>
          </cell>
          <cell r="AC169">
            <v>23</v>
          </cell>
          <cell r="AD169">
            <v>0</v>
          </cell>
          <cell r="AE169">
            <v>28</v>
          </cell>
          <cell r="AF169">
            <v>0</v>
          </cell>
          <cell r="AG169">
            <v>0</v>
          </cell>
          <cell r="AH169"/>
          <cell r="AI169">
            <v>182.5</v>
          </cell>
          <cell r="AJ169">
            <v>45</v>
          </cell>
          <cell r="AK169">
            <v>12</v>
          </cell>
        </row>
        <row r="170">
          <cell r="C170">
            <v>350621010</v>
          </cell>
          <cell r="D170">
            <v>0</v>
          </cell>
          <cell r="E170">
            <v>47</v>
          </cell>
          <cell r="F170">
            <v>25</v>
          </cell>
          <cell r="G170">
            <v>0</v>
          </cell>
          <cell r="H170">
            <v>0</v>
          </cell>
          <cell r="I170">
            <v>50</v>
          </cell>
          <cell r="J170">
            <v>0</v>
          </cell>
          <cell r="K170">
            <v>0</v>
          </cell>
          <cell r="L170">
            <v>9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30</v>
          </cell>
          <cell r="Y170">
            <v>13</v>
          </cell>
          <cell r="Z170">
            <v>0</v>
          </cell>
          <cell r="AA170">
            <v>0</v>
          </cell>
          <cell r="AB170">
            <v>7</v>
          </cell>
          <cell r="AC170">
            <v>6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/>
          <cell r="AI170">
            <v>187</v>
          </cell>
          <cell r="AJ170">
            <v>50</v>
          </cell>
          <cell r="AK170">
            <v>8</v>
          </cell>
        </row>
        <row r="171">
          <cell r="C171">
            <v>350621011</v>
          </cell>
          <cell r="D171">
            <v>0</v>
          </cell>
          <cell r="E171">
            <v>12</v>
          </cell>
          <cell r="F171">
            <v>3</v>
          </cell>
          <cell r="G171">
            <v>18</v>
          </cell>
          <cell r="H171">
            <v>6</v>
          </cell>
          <cell r="I171">
            <v>25</v>
          </cell>
          <cell r="J171">
            <v>0</v>
          </cell>
          <cell r="K171">
            <v>0</v>
          </cell>
          <cell r="L171">
            <v>45</v>
          </cell>
          <cell r="M171">
            <v>26</v>
          </cell>
          <cell r="N171">
            <v>0</v>
          </cell>
          <cell r="O171">
            <v>12</v>
          </cell>
          <cell r="P171">
            <v>0</v>
          </cell>
          <cell r="Q171">
            <v>8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0</v>
          </cell>
          <cell r="W171">
            <v>16</v>
          </cell>
          <cell r="X171">
            <v>23</v>
          </cell>
          <cell r="Y171">
            <v>24</v>
          </cell>
          <cell r="Z171">
            <v>0</v>
          </cell>
          <cell r="AA171">
            <v>38</v>
          </cell>
          <cell r="AB171">
            <v>0</v>
          </cell>
          <cell r="AC171">
            <v>0</v>
          </cell>
          <cell r="AD171">
            <v>0</v>
          </cell>
          <cell r="AE171">
            <v>7</v>
          </cell>
          <cell r="AF171">
            <v>0</v>
          </cell>
          <cell r="AG171">
            <v>0</v>
          </cell>
          <cell r="AH171"/>
          <cell r="AI171">
            <v>268</v>
          </cell>
          <cell r="AJ171">
            <v>45</v>
          </cell>
          <cell r="AK171">
            <v>15</v>
          </cell>
        </row>
        <row r="172">
          <cell r="C172">
            <v>350621012</v>
          </cell>
          <cell r="D172">
            <v>0</v>
          </cell>
          <cell r="E172">
            <v>13.5</v>
          </cell>
          <cell r="F172">
            <v>2</v>
          </cell>
          <cell r="G172">
            <v>19.5</v>
          </cell>
          <cell r="H172">
            <v>7</v>
          </cell>
          <cell r="I172">
            <v>26</v>
          </cell>
          <cell r="J172">
            <v>0</v>
          </cell>
          <cell r="K172">
            <v>0</v>
          </cell>
          <cell r="L172">
            <v>49</v>
          </cell>
          <cell r="M172">
            <v>24.5</v>
          </cell>
          <cell r="N172">
            <v>0</v>
          </cell>
          <cell r="O172">
            <v>18</v>
          </cell>
          <cell r="P172">
            <v>0</v>
          </cell>
          <cell r="Q172">
            <v>2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6</v>
          </cell>
          <cell r="W172">
            <v>23</v>
          </cell>
          <cell r="X172">
            <v>24.5</v>
          </cell>
          <cell r="Y172">
            <v>29.5</v>
          </cell>
          <cell r="Z172">
            <v>0</v>
          </cell>
          <cell r="AA172">
            <v>39</v>
          </cell>
          <cell r="AB172">
            <v>1</v>
          </cell>
          <cell r="AC172">
            <v>0</v>
          </cell>
          <cell r="AD172">
            <v>0</v>
          </cell>
          <cell r="AE172">
            <v>2.5</v>
          </cell>
          <cell r="AF172">
            <v>0</v>
          </cell>
          <cell r="AG172">
            <v>0</v>
          </cell>
          <cell r="AH172"/>
          <cell r="AI172">
            <v>287</v>
          </cell>
          <cell r="AJ172">
            <v>49</v>
          </cell>
          <cell r="AK172">
            <v>16</v>
          </cell>
        </row>
        <row r="173">
          <cell r="C173">
            <v>350621013</v>
          </cell>
          <cell r="D173">
            <v>0</v>
          </cell>
          <cell r="E173">
            <v>2.2000000000000002</v>
          </cell>
          <cell r="F173">
            <v>10.199999999999999</v>
          </cell>
          <cell r="G173">
            <v>25</v>
          </cell>
          <cell r="H173">
            <v>5.0999999999999996</v>
          </cell>
          <cell r="I173">
            <v>30.5</v>
          </cell>
          <cell r="J173">
            <v>0</v>
          </cell>
          <cell r="K173">
            <v>0</v>
          </cell>
          <cell r="L173">
            <v>20.8</v>
          </cell>
          <cell r="M173">
            <v>1.2</v>
          </cell>
          <cell r="N173">
            <v>0</v>
          </cell>
          <cell r="O173">
            <v>9.1999999999999993</v>
          </cell>
          <cell r="P173">
            <v>0</v>
          </cell>
          <cell r="Q173">
            <v>2.2999999999999998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55</v>
          </cell>
          <cell r="X173">
            <v>36.200000000000003</v>
          </cell>
          <cell r="Y173">
            <v>47</v>
          </cell>
          <cell r="Z173">
            <v>0</v>
          </cell>
          <cell r="AA173">
            <v>16.2</v>
          </cell>
          <cell r="AB173">
            <v>19</v>
          </cell>
          <cell r="AC173">
            <v>0</v>
          </cell>
          <cell r="AD173">
            <v>0</v>
          </cell>
          <cell r="AE173">
            <v>13.3</v>
          </cell>
          <cell r="AF173">
            <v>0</v>
          </cell>
          <cell r="AG173">
            <v>0</v>
          </cell>
          <cell r="AH173"/>
          <cell r="AI173">
            <v>293.2</v>
          </cell>
          <cell r="AJ173">
            <v>55</v>
          </cell>
          <cell r="AK173">
            <v>15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16</v>
          </cell>
          <cell r="G174">
            <v>0</v>
          </cell>
          <cell r="H174">
            <v>0</v>
          </cell>
          <cell r="I174">
            <v>86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14</v>
          </cell>
          <cell r="X174">
            <v>27</v>
          </cell>
          <cell r="Y174">
            <v>19</v>
          </cell>
          <cell r="Z174">
            <v>16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/>
          <cell r="AI174">
            <v>178</v>
          </cell>
          <cell r="AJ174">
            <v>86</v>
          </cell>
          <cell r="AK174">
            <v>6</v>
          </cell>
        </row>
        <row r="175">
          <cell r="C175">
            <v>350621015</v>
          </cell>
          <cell r="D175">
            <v>2</v>
          </cell>
          <cell r="E175">
            <v>27</v>
          </cell>
          <cell r="F175">
            <v>0</v>
          </cell>
          <cell r="G175">
            <v>25</v>
          </cell>
          <cell r="H175">
            <v>4</v>
          </cell>
          <cell r="I175">
            <v>23</v>
          </cell>
          <cell r="J175">
            <v>3</v>
          </cell>
          <cell r="K175">
            <v>0</v>
          </cell>
          <cell r="L175">
            <v>25</v>
          </cell>
          <cell r="M175">
            <v>9</v>
          </cell>
          <cell r="N175">
            <v>5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17</v>
          </cell>
          <cell r="X175">
            <v>3</v>
          </cell>
          <cell r="Y175">
            <v>0</v>
          </cell>
          <cell r="Z175">
            <v>19</v>
          </cell>
          <cell r="AA175">
            <v>29</v>
          </cell>
          <cell r="AB175">
            <v>25</v>
          </cell>
          <cell r="AC175">
            <v>23</v>
          </cell>
          <cell r="AD175">
            <v>3</v>
          </cell>
          <cell r="AE175">
            <v>2</v>
          </cell>
          <cell r="AF175">
            <v>0</v>
          </cell>
          <cell r="AG175">
            <v>0</v>
          </cell>
          <cell r="AH175"/>
          <cell r="AI175">
            <v>244</v>
          </cell>
          <cell r="AJ175">
            <v>29</v>
          </cell>
          <cell r="AK175">
            <v>17</v>
          </cell>
        </row>
        <row r="176">
          <cell r="C176">
            <v>350621016</v>
          </cell>
          <cell r="D176">
            <v>0</v>
          </cell>
          <cell r="E176">
            <v>15</v>
          </cell>
          <cell r="F176">
            <v>0</v>
          </cell>
          <cell r="G176">
            <v>18</v>
          </cell>
          <cell r="H176">
            <v>0</v>
          </cell>
          <cell r="I176">
            <v>53</v>
          </cell>
          <cell r="J176">
            <v>0</v>
          </cell>
          <cell r="K176">
            <v>0</v>
          </cell>
          <cell r="L176">
            <v>10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55</v>
          </cell>
          <cell r="X176">
            <v>21</v>
          </cell>
          <cell r="Y176">
            <v>2</v>
          </cell>
          <cell r="Z176">
            <v>0</v>
          </cell>
          <cell r="AA176">
            <v>0</v>
          </cell>
          <cell r="AB176">
            <v>0</v>
          </cell>
          <cell r="AC176">
            <v>3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/>
          <cell r="AI176">
            <v>177</v>
          </cell>
          <cell r="AJ176">
            <v>55</v>
          </cell>
          <cell r="AK176">
            <v>8</v>
          </cell>
        </row>
        <row r="177">
          <cell r="C177">
            <v>350621017</v>
          </cell>
          <cell r="D177">
            <v>0</v>
          </cell>
          <cell r="E177">
            <v>9</v>
          </cell>
          <cell r="F177">
            <v>16</v>
          </cell>
          <cell r="G177">
            <v>46</v>
          </cell>
          <cell r="H177">
            <v>12</v>
          </cell>
          <cell r="I177">
            <v>18</v>
          </cell>
          <cell r="J177">
            <v>0</v>
          </cell>
          <cell r="K177">
            <v>0</v>
          </cell>
          <cell r="L177">
            <v>7</v>
          </cell>
          <cell r="M177">
            <v>0</v>
          </cell>
          <cell r="N177">
            <v>0</v>
          </cell>
          <cell r="O177">
            <v>0</v>
          </cell>
          <cell r="P177">
            <v>11</v>
          </cell>
          <cell r="Q177">
            <v>24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9</v>
          </cell>
          <cell r="X177">
            <v>31</v>
          </cell>
          <cell r="Y177">
            <v>23</v>
          </cell>
          <cell r="Z177">
            <v>0</v>
          </cell>
          <cell r="AA177">
            <v>0</v>
          </cell>
          <cell r="AB177">
            <v>24</v>
          </cell>
          <cell r="AC177">
            <v>0</v>
          </cell>
          <cell r="AD177">
            <v>0</v>
          </cell>
          <cell r="AE177">
            <v>18</v>
          </cell>
          <cell r="AF177">
            <v>0</v>
          </cell>
          <cell r="AG177">
            <v>0</v>
          </cell>
          <cell r="AH177"/>
          <cell r="AI177">
            <v>248</v>
          </cell>
          <cell r="AJ177">
            <v>46</v>
          </cell>
          <cell r="AK177">
            <v>13</v>
          </cell>
        </row>
        <row r="178">
          <cell r="C178">
            <v>350621018</v>
          </cell>
          <cell r="D178">
            <v>0</v>
          </cell>
          <cell r="E178">
            <v>37</v>
          </cell>
          <cell r="F178">
            <v>11</v>
          </cell>
          <cell r="G178">
            <v>18.899999999999999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29</v>
          </cell>
          <cell r="Q178">
            <v>21.5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54</v>
          </cell>
          <cell r="X178">
            <v>46</v>
          </cell>
          <cell r="Y178">
            <v>18</v>
          </cell>
          <cell r="Z178">
            <v>0</v>
          </cell>
          <cell r="AA178">
            <v>0</v>
          </cell>
          <cell r="AB178">
            <v>0</v>
          </cell>
          <cell r="AC178">
            <v>9.5</v>
          </cell>
          <cell r="AD178">
            <v>34.5</v>
          </cell>
          <cell r="AE178">
            <v>2</v>
          </cell>
          <cell r="AF178">
            <v>0</v>
          </cell>
          <cell r="AG178">
            <v>0</v>
          </cell>
          <cell r="AH178"/>
          <cell r="AI178">
            <v>281.39999999999998</v>
          </cell>
          <cell r="AJ178">
            <v>54</v>
          </cell>
          <cell r="AK178">
            <v>11</v>
          </cell>
        </row>
        <row r="179">
          <cell r="C179">
            <v>350621019</v>
          </cell>
          <cell r="D179">
            <v>3</v>
          </cell>
          <cell r="E179">
            <v>0</v>
          </cell>
          <cell r="F179">
            <v>0</v>
          </cell>
          <cell r="G179">
            <v>38</v>
          </cell>
          <cell r="H179">
            <v>0</v>
          </cell>
          <cell r="I179">
            <v>28</v>
          </cell>
          <cell r="J179">
            <v>0</v>
          </cell>
          <cell r="K179">
            <v>18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8</v>
          </cell>
          <cell r="R179">
            <v>0</v>
          </cell>
          <cell r="S179">
            <v>0</v>
          </cell>
          <cell r="T179">
            <v>0</v>
          </cell>
          <cell r="U179">
            <v>6</v>
          </cell>
          <cell r="V179">
            <v>0</v>
          </cell>
          <cell r="W179">
            <v>18</v>
          </cell>
          <cell r="X179">
            <v>28</v>
          </cell>
          <cell r="Y179">
            <v>22</v>
          </cell>
          <cell r="Z179">
            <v>18</v>
          </cell>
          <cell r="AA179">
            <v>23</v>
          </cell>
          <cell r="AB179">
            <v>8</v>
          </cell>
          <cell r="AC179">
            <v>6</v>
          </cell>
          <cell r="AD179">
            <v>0</v>
          </cell>
          <cell r="AE179">
            <v>6</v>
          </cell>
          <cell r="AF179">
            <v>0</v>
          </cell>
          <cell r="AG179">
            <v>0</v>
          </cell>
          <cell r="AH179"/>
          <cell r="AI179">
            <v>230</v>
          </cell>
          <cell r="AJ179">
            <v>38</v>
          </cell>
          <cell r="AK179">
            <v>14</v>
          </cell>
        </row>
        <row r="180">
          <cell r="C180">
            <v>350621020</v>
          </cell>
          <cell r="D180">
            <v>0</v>
          </cell>
          <cell r="E180">
            <v>6</v>
          </cell>
          <cell r="F180">
            <v>14</v>
          </cell>
          <cell r="G180">
            <v>30</v>
          </cell>
          <cell r="H180">
            <v>0</v>
          </cell>
          <cell r="I180">
            <v>2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13</v>
          </cell>
          <cell r="Q180">
            <v>5</v>
          </cell>
          <cell r="R180"/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40</v>
          </cell>
          <cell r="X180"/>
          <cell r="Y180">
            <v>17</v>
          </cell>
          <cell r="Z180">
            <v>0</v>
          </cell>
          <cell r="AA180">
            <v>0</v>
          </cell>
          <cell r="AB180">
            <v>0</v>
          </cell>
          <cell r="AC180">
            <v>11</v>
          </cell>
          <cell r="AD180">
            <v>5</v>
          </cell>
          <cell r="AE180">
            <v>0</v>
          </cell>
          <cell r="AF180">
            <v>0</v>
          </cell>
          <cell r="AG180">
            <v>0</v>
          </cell>
          <cell r="AH180"/>
          <cell r="AI180">
            <v>143</v>
          </cell>
          <cell r="AJ180">
            <v>40</v>
          </cell>
          <cell r="AK180">
            <v>10</v>
          </cell>
        </row>
        <row r="181">
          <cell r="C181">
            <v>350621021</v>
          </cell>
          <cell r="D181">
            <v>0</v>
          </cell>
          <cell r="E181">
            <v>5</v>
          </cell>
          <cell r="F181">
            <v>12</v>
          </cell>
          <cell r="G181">
            <v>38</v>
          </cell>
          <cell r="H181">
            <v>0</v>
          </cell>
          <cell r="I181">
            <v>3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12</v>
          </cell>
          <cell r="Q181">
            <v>3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12</v>
          </cell>
          <cell r="X181">
            <v>21</v>
          </cell>
          <cell r="Y181">
            <v>12</v>
          </cell>
          <cell r="Z181">
            <v>0</v>
          </cell>
          <cell r="AA181">
            <v>0</v>
          </cell>
          <cell r="AB181">
            <v>0</v>
          </cell>
          <cell r="AC181">
            <v>14</v>
          </cell>
          <cell r="AD181">
            <v>0</v>
          </cell>
          <cell r="AE181">
            <v>3</v>
          </cell>
          <cell r="AF181">
            <v>0</v>
          </cell>
          <cell r="AG181">
            <v>0</v>
          </cell>
          <cell r="AH181"/>
          <cell r="AI181">
            <v>135</v>
          </cell>
          <cell r="AJ181">
            <v>38</v>
          </cell>
          <cell r="AK181">
            <v>11</v>
          </cell>
        </row>
        <row r="182">
          <cell r="C182">
            <v>350621022</v>
          </cell>
          <cell r="D182">
            <v>0</v>
          </cell>
          <cell r="E182">
            <v>3</v>
          </cell>
          <cell r="F182">
            <v>10</v>
          </cell>
          <cell r="G182">
            <v>68</v>
          </cell>
          <cell r="H182">
            <v>12</v>
          </cell>
          <cell r="I182">
            <v>15</v>
          </cell>
          <cell r="J182">
            <v>0</v>
          </cell>
          <cell r="K182">
            <v>0</v>
          </cell>
          <cell r="L182">
            <v>0</v>
          </cell>
          <cell r="M182">
            <v>45</v>
          </cell>
          <cell r="N182">
            <v>0</v>
          </cell>
          <cell r="O182">
            <v>0</v>
          </cell>
          <cell r="P182">
            <v>0</v>
          </cell>
          <cell r="Q182">
            <v>11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4</v>
          </cell>
          <cell r="W182">
            <v>27</v>
          </cell>
          <cell r="X182">
            <v>55</v>
          </cell>
          <cell r="Y182">
            <v>14</v>
          </cell>
          <cell r="Z182">
            <v>0</v>
          </cell>
          <cell r="AA182">
            <v>37</v>
          </cell>
          <cell r="AB182">
            <v>0</v>
          </cell>
          <cell r="AC182">
            <v>0</v>
          </cell>
          <cell r="AD182">
            <v>0</v>
          </cell>
          <cell r="AE182">
            <v>3</v>
          </cell>
          <cell r="AF182">
            <v>0</v>
          </cell>
          <cell r="AG182">
            <v>0</v>
          </cell>
          <cell r="AH182"/>
          <cell r="AI182">
            <v>304</v>
          </cell>
          <cell r="AJ182">
            <v>68</v>
          </cell>
          <cell r="AK182">
            <v>13</v>
          </cell>
        </row>
        <row r="183">
          <cell r="C183">
            <v>350621023</v>
          </cell>
          <cell r="D183">
            <v>0</v>
          </cell>
          <cell r="E183">
            <v>1.5</v>
          </cell>
          <cell r="F183">
            <v>7.5</v>
          </cell>
          <cell r="G183">
            <v>24</v>
          </cell>
          <cell r="H183">
            <v>5</v>
          </cell>
          <cell r="I183">
            <v>17.5</v>
          </cell>
          <cell r="J183">
            <v>0</v>
          </cell>
          <cell r="K183">
            <v>0</v>
          </cell>
          <cell r="L183">
            <v>0</v>
          </cell>
          <cell r="M183">
            <v>32</v>
          </cell>
          <cell r="N183">
            <v>0.5</v>
          </cell>
          <cell r="O183">
            <v>2</v>
          </cell>
          <cell r="P183">
            <v>0</v>
          </cell>
          <cell r="Q183">
            <v>4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30.5</v>
          </cell>
          <cell r="X183">
            <v>33</v>
          </cell>
          <cell r="Y183">
            <v>21.2</v>
          </cell>
          <cell r="Z183">
            <v>0</v>
          </cell>
          <cell r="AA183">
            <v>26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/>
          <cell r="AI183">
            <v>204.7</v>
          </cell>
          <cell r="AJ183">
            <v>33</v>
          </cell>
          <cell r="AK183">
            <v>13</v>
          </cell>
        </row>
        <row r="184">
          <cell r="C184">
            <v>350621024</v>
          </cell>
          <cell r="D184">
            <v>0</v>
          </cell>
          <cell r="E184">
            <v>6</v>
          </cell>
          <cell r="F184">
            <v>10</v>
          </cell>
          <cell r="G184">
            <v>35</v>
          </cell>
          <cell r="H184">
            <v>0</v>
          </cell>
          <cell r="I184">
            <v>2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7</v>
          </cell>
          <cell r="X184">
            <v>20</v>
          </cell>
          <cell r="Y184">
            <v>11</v>
          </cell>
          <cell r="Z184">
            <v>0</v>
          </cell>
          <cell r="AA184">
            <v>0</v>
          </cell>
          <cell r="AB184">
            <v>0</v>
          </cell>
          <cell r="AC184">
            <v>10</v>
          </cell>
          <cell r="AD184">
            <v>0</v>
          </cell>
          <cell r="AE184">
            <v>2</v>
          </cell>
          <cell r="AF184">
            <v>0</v>
          </cell>
          <cell r="AG184">
            <v>0</v>
          </cell>
          <cell r="AH184"/>
          <cell r="AI184">
            <v>103</v>
          </cell>
          <cell r="AJ184">
            <v>35</v>
          </cell>
          <cell r="AK184">
            <v>9</v>
          </cell>
        </row>
        <row r="185">
          <cell r="C185">
            <v>350621025</v>
          </cell>
          <cell r="D185">
            <v>0</v>
          </cell>
          <cell r="E185">
            <v>0</v>
          </cell>
          <cell r="F185">
            <v>0</v>
          </cell>
          <cell r="G185">
            <v>29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4</v>
          </cell>
          <cell r="O185">
            <v>0</v>
          </cell>
          <cell r="P185">
            <v>0</v>
          </cell>
          <cell r="Q185">
            <v>3</v>
          </cell>
          <cell r="R185">
            <v>0</v>
          </cell>
          <cell r="S185">
            <v>0</v>
          </cell>
          <cell r="T185">
            <v>5</v>
          </cell>
          <cell r="U185">
            <v>0</v>
          </cell>
          <cell r="V185">
            <v>34</v>
          </cell>
          <cell r="W185">
            <v>72</v>
          </cell>
          <cell r="X185">
            <v>19</v>
          </cell>
          <cell r="Y185">
            <v>16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/>
          <cell r="AI185">
            <v>182</v>
          </cell>
          <cell r="AJ185">
            <v>72</v>
          </cell>
          <cell r="AK185">
            <v>8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16</v>
          </cell>
          <cell r="G186">
            <v>29</v>
          </cell>
          <cell r="H186">
            <v>0</v>
          </cell>
          <cell r="I186">
            <v>27</v>
          </cell>
          <cell r="J186">
            <v>0</v>
          </cell>
          <cell r="K186">
            <v>0</v>
          </cell>
          <cell r="L186">
            <v>0</v>
          </cell>
          <cell r="M186">
            <v>7</v>
          </cell>
          <cell r="N186">
            <v>12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34</v>
          </cell>
          <cell r="X186">
            <v>38</v>
          </cell>
          <cell r="Y186">
            <v>14</v>
          </cell>
          <cell r="Z186">
            <v>12</v>
          </cell>
          <cell r="AA186">
            <v>23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/>
          <cell r="AI186">
            <v>212</v>
          </cell>
          <cell r="AJ186">
            <v>38</v>
          </cell>
          <cell r="AK186">
            <v>10</v>
          </cell>
        </row>
        <row r="187">
          <cell r="C187">
            <v>350602001</v>
          </cell>
          <cell r="D187">
            <v>0</v>
          </cell>
          <cell r="E187">
            <v>0</v>
          </cell>
          <cell r="F187">
            <v>0</v>
          </cell>
          <cell r="G187">
            <v>2</v>
          </cell>
          <cell r="H187">
            <v>5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2.5</v>
          </cell>
          <cell r="O187">
            <v>0</v>
          </cell>
          <cell r="P187">
            <v>0</v>
          </cell>
          <cell r="Q187">
            <v>0</v>
          </cell>
          <cell r="R187">
            <v>1</v>
          </cell>
          <cell r="S187">
            <v>0</v>
          </cell>
          <cell r="T187">
            <v>0</v>
          </cell>
          <cell r="U187">
            <v>0</v>
          </cell>
          <cell r="V187">
            <v>23</v>
          </cell>
          <cell r="W187">
            <v>29</v>
          </cell>
          <cell r="X187">
            <v>1</v>
          </cell>
          <cell r="Y187">
            <v>5</v>
          </cell>
          <cell r="Z187">
            <v>0</v>
          </cell>
          <cell r="AA187">
            <v>0</v>
          </cell>
          <cell r="AB187">
            <v>1</v>
          </cell>
          <cell r="AC187">
            <v>0</v>
          </cell>
          <cell r="AD187">
            <v>0</v>
          </cell>
          <cell r="AE187">
            <v>0</v>
          </cell>
          <cell r="AF187">
            <v>16</v>
          </cell>
          <cell r="AG187">
            <v>0</v>
          </cell>
          <cell r="AH187"/>
          <cell r="AI187">
            <v>85.5</v>
          </cell>
          <cell r="AJ187">
            <v>29</v>
          </cell>
          <cell r="AK187">
            <v>10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1</v>
          </cell>
          <cell r="H188">
            <v>1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7</v>
          </cell>
          <cell r="X188">
            <v>8</v>
          </cell>
          <cell r="Y188">
            <v>0</v>
          </cell>
          <cell r="Z188">
            <v>0</v>
          </cell>
          <cell r="AA188">
            <v>0</v>
          </cell>
          <cell r="AB188">
            <v>12</v>
          </cell>
          <cell r="AC188">
            <v>0</v>
          </cell>
          <cell r="AD188">
            <v>0</v>
          </cell>
          <cell r="AE188">
            <v>0</v>
          </cell>
          <cell r="AF188">
            <v>8</v>
          </cell>
          <cell r="AG188">
            <v>0</v>
          </cell>
          <cell r="AH188"/>
          <cell r="AI188">
            <v>37</v>
          </cell>
          <cell r="AJ188">
            <v>12</v>
          </cell>
          <cell r="AK188">
            <v>6</v>
          </cell>
        </row>
        <row r="189">
          <cell r="C189">
            <v>350602003</v>
          </cell>
          <cell r="D189">
            <v>0</v>
          </cell>
          <cell r="E189">
            <v>2</v>
          </cell>
          <cell r="F189">
            <v>0</v>
          </cell>
          <cell r="G189">
            <v>20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20</v>
          </cell>
          <cell r="O189">
            <v>0</v>
          </cell>
          <cell r="P189">
            <v>0</v>
          </cell>
          <cell r="Q189">
            <v>1</v>
          </cell>
          <cell r="R189">
            <v>32</v>
          </cell>
          <cell r="S189">
            <v>0</v>
          </cell>
          <cell r="T189">
            <v>62</v>
          </cell>
          <cell r="U189">
            <v>0</v>
          </cell>
          <cell r="V189">
            <v>4</v>
          </cell>
          <cell r="W189">
            <v>3</v>
          </cell>
          <cell r="X189">
            <v>9</v>
          </cell>
          <cell r="Y189">
            <v>16</v>
          </cell>
          <cell r="Z189">
            <v>0</v>
          </cell>
          <cell r="AA189">
            <v>0</v>
          </cell>
          <cell r="AB189">
            <v>18</v>
          </cell>
          <cell r="AC189">
            <v>0</v>
          </cell>
          <cell r="AD189">
            <v>0</v>
          </cell>
          <cell r="AE189">
            <v>0</v>
          </cell>
          <cell r="AF189">
            <v>5</v>
          </cell>
          <cell r="AG189">
            <v>0</v>
          </cell>
          <cell r="AH189"/>
          <cell r="AI189">
            <v>192</v>
          </cell>
          <cell r="AJ189">
            <v>62</v>
          </cell>
          <cell r="AK189">
            <v>12</v>
          </cell>
        </row>
        <row r="190">
          <cell r="C190">
            <v>350602004</v>
          </cell>
          <cell r="D190">
            <v>0</v>
          </cell>
          <cell r="E190">
            <v>0</v>
          </cell>
          <cell r="F190">
            <v>0</v>
          </cell>
          <cell r="G190">
            <v>5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8</v>
          </cell>
          <cell r="O190">
            <v>0</v>
          </cell>
          <cell r="P190">
            <v>0</v>
          </cell>
          <cell r="Q190">
            <v>0</v>
          </cell>
          <cell r="R190">
            <v>27</v>
          </cell>
          <cell r="S190">
            <v>0</v>
          </cell>
          <cell r="T190">
            <v>31</v>
          </cell>
          <cell r="U190">
            <v>0</v>
          </cell>
          <cell r="V190">
            <v>0</v>
          </cell>
          <cell r="W190">
            <v>5</v>
          </cell>
          <cell r="X190">
            <v>7</v>
          </cell>
          <cell r="Y190">
            <v>12</v>
          </cell>
          <cell r="Z190">
            <v>0</v>
          </cell>
          <cell r="AA190">
            <v>0</v>
          </cell>
          <cell r="AB190">
            <v>7</v>
          </cell>
          <cell r="AC190">
            <v>0</v>
          </cell>
          <cell r="AD190">
            <v>0</v>
          </cell>
          <cell r="AE190">
            <v>0</v>
          </cell>
          <cell r="AF190">
            <v>25</v>
          </cell>
          <cell r="AG190">
            <v>0</v>
          </cell>
          <cell r="AH190"/>
          <cell r="AI190">
            <v>127</v>
          </cell>
          <cell r="AJ190">
            <v>31</v>
          </cell>
          <cell r="AK190">
            <v>9</v>
          </cell>
        </row>
        <row r="191">
          <cell r="C191">
            <v>350602005</v>
          </cell>
          <cell r="D191">
            <v>0</v>
          </cell>
          <cell r="E191">
            <v>8</v>
          </cell>
          <cell r="F191">
            <v>40</v>
          </cell>
          <cell r="G191">
            <v>0</v>
          </cell>
          <cell r="H191">
            <v>0</v>
          </cell>
          <cell r="I191">
            <v>0</v>
          </cell>
          <cell r="J191">
            <v>1</v>
          </cell>
          <cell r="K191">
            <v>0</v>
          </cell>
          <cell r="L191">
            <v>2</v>
          </cell>
          <cell r="M191">
            <v>5</v>
          </cell>
          <cell r="N191">
            <v>9</v>
          </cell>
          <cell r="O191">
            <v>0</v>
          </cell>
          <cell r="P191">
            <v>2</v>
          </cell>
          <cell r="Q191">
            <v>3</v>
          </cell>
          <cell r="R191">
            <v>0</v>
          </cell>
          <cell r="S191">
            <v>4</v>
          </cell>
          <cell r="T191">
            <v>12</v>
          </cell>
          <cell r="U191">
            <v>24</v>
          </cell>
          <cell r="V191">
            <v>11</v>
          </cell>
          <cell r="W191">
            <v>16</v>
          </cell>
          <cell r="X191">
            <v>2</v>
          </cell>
          <cell r="Y191">
            <v>6</v>
          </cell>
          <cell r="Z191">
            <v>0</v>
          </cell>
          <cell r="AA191">
            <v>0</v>
          </cell>
          <cell r="AB191">
            <v>25</v>
          </cell>
          <cell r="AC191">
            <v>0</v>
          </cell>
          <cell r="AD191">
            <v>8</v>
          </cell>
          <cell r="AE191">
            <v>0</v>
          </cell>
          <cell r="AF191">
            <v>31</v>
          </cell>
          <cell r="AG191">
            <v>0</v>
          </cell>
          <cell r="AH191"/>
          <cell r="AI191">
            <v>209</v>
          </cell>
          <cell r="AJ191">
            <v>40</v>
          </cell>
          <cell r="AK191">
            <v>18</v>
          </cell>
        </row>
        <row r="192">
          <cell r="C192">
            <v>350602006</v>
          </cell>
          <cell r="D192">
            <v>0</v>
          </cell>
          <cell r="E192">
            <v>1</v>
          </cell>
          <cell r="F192">
            <v>2</v>
          </cell>
          <cell r="G192">
            <v>0</v>
          </cell>
          <cell r="H192">
            <v>0</v>
          </cell>
          <cell r="I192">
            <v>0</v>
          </cell>
          <cell r="J192">
            <v>1</v>
          </cell>
          <cell r="K192">
            <v>0</v>
          </cell>
          <cell r="L192">
            <v>0</v>
          </cell>
          <cell r="M192">
            <v>0</v>
          </cell>
          <cell r="N192">
            <v>32</v>
          </cell>
          <cell r="O192">
            <v>0</v>
          </cell>
          <cell r="P192">
            <v>0</v>
          </cell>
          <cell r="Q192">
            <v>23</v>
          </cell>
          <cell r="R192">
            <v>0</v>
          </cell>
          <cell r="S192">
            <v>5</v>
          </cell>
          <cell r="T192">
            <v>1</v>
          </cell>
          <cell r="U192">
            <v>47</v>
          </cell>
          <cell r="V192">
            <v>9</v>
          </cell>
          <cell r="W192">
            <v>52</v>
          </cell>
          <cell r="X192">
            <v>0</v>
          </cell>
          <cell r="Y192">
            <v>3</v>
          </cell>
          <cell r="Z192">
            <v>14</v>
          </cell>
          <cell r="AA192">
            <v>1</v>
          </cell>
          <cell r="AB192">
            <v>4</v>
          </cell>
          <cell r="AC192">
            <v>0</v>
          </cell>
          <cell r="AD192">
            <v>0</v>
          </cell>
          <cell r="AE192">
            <v>0</v>
          </cell>
          <cell r="AF192">
            <v>25</v>
          </cell>
          <cell r="AG192">
            <v>0</v>
          </cell>
          <cell r="AH192"/>
          <cell r="AI192">
            <v>220</v>
          </cell>
          <cell r="AJ192">
            <v>52</v>
          </cell>
          <cell r="AK192">
            <v>15</v>
          </cell>
        </row>
        <row r="193">
          <cell r="C193">
            <v>350602007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2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13</v>
          </cell>
          <cell r="V193">
            <v>0</v>
          </cell>
          <cell r="W193">
            <v>5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6</v>
          </cell>
          <cell r="AC193">
            <v>0</v>
          </cell>
          <cell r="AD193">
            <v>0</v>
          </cell>
          <cell r="AE193">
            <v>0</v>
          </cell>
          <cell r="AF193">
            <v>65</v>
          </cell>
          <cell r="AG193">
            <v>37</v>
          </cell>
          <cell r="AH193"/>
          <cell r="AI193">
            <v>128</v>
          </cell>
          <cell r="AJ193">
            <v>65</v>
          </cell>
          <cell r="AK193">
            <v>6</v>
          </cell>
        </row>
        <row r="194">
          <cell r="C194">
            <v>350602008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3</v>
          </cell>
          <cell r="O194">
            <v>0</v>
          </cell>
          <cell r="P194">
            <v>0</v>
          </cell>
          <cell r="Q194">
            <v>0</v>
          </cell>
          <cell r="R194">
            <v>1</v>
          </cell>
          <cell r="S194">
            <v>0</v>
          </cell>
          <cell r="T194">
            <v>0</v>
          </cell>
          <cell r="U194">
            <v>27</v>
          </cell>
          <cell r="V194">
            <v>0</v>
          </cell>
          <cell r="W194">
            <v>6</v>
          </cell>
          <cell r="X194">
            <v>2</v>
          </cell>
          <cell r="Y194">
            <v>6</v>
          </cell>
          <cell r="Z194">
            <v>0</v>
          </cell>
          <cell r="AA194">
            <v>0</v>
          </cell>
          <cell r="AB194">
            <v>1</v>
          </cell>
          <cell r="AC194">
            <v>0</v>
          </cell>
          <cell r="AD194">
            <v>0</v>
          </cell>
          <cell r="AE194">
            <v>0</v>
          </cell>
          <cell r="AF194">
            <v>52</v>
          </cell>
          <cell r="AG194">
            <v>17</v>
          </cell>
          <cell r="AH194"/>
          <cell r="AI194">
            <v>115</v>
          </cell>
          <cell r="AJ194">
            <v>52</v>
          </cell>
          <cell r="AK194">
            <v>9</v>
          </cell>
        </row>
        <row r="195">
          <cell r="C195">
            <v>350602009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2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1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49</v>
          </cell>
          <cell r="X195">
            <v>3</v>
          </cell>
          <cell r="Y195">
            <v>6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1</v>
          </cell>
          <cell r="AF195">
            <v>48</v>
          </cell>
          <cell r="AG195">
            <v>0</v>
          </cell>
          <cell r="AH195"/>
          <cell r="AI195">
            <v>110</v>
          </cell>
          <cell r="AJ195">
            <v>49</v>
          </cell>
          <cell r="AK195">
            <v>7</v>
          </cell>
        </row>
        <row r="196">
          <cell r="C196">
            <v>350602010</v>
          </cell>
          <cell r="D196">
            <v>0</v>
          </cell>
          <cell r="E196">
            <v>0</v>
          </cell>
          <cell r="F196">
            <v>0</v>
          </cell>
          <cell r="G196">
            <v>4</v>
          </cell>
          <cell r="H196">
            <v>9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50</v>
          </cell>
          <cell r="V196">
            <v>0</v>
          </cell>
          <cell r="W196">
            <v>7</v>
          </cell>
          <cell r="X196">
            <v>3</v>
          </cell>
          <cell r="Y196">
            <v>0</v>
          </cell>
          <cell r="Z196">
            <v>1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10</v>
          </cell>
          <cell r="AG196">
            <v>40</v>
          </cell>
          <cell r="AH196"/>
          <cell r="AI196">
            <v>124</v>
          </cell>
          <cell r="AJ196">
            <v>50</v>
          </cell>
          <cell r="AK196">
            <v>8</v>
          </cell>
        </row>
        <row r="197">
          <cell r="C197">
            <v>350602011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3</v>
          </cell>
          <cell r="I197">
            <v>0</v>
          </cell>
          <cell r="J197">
            <v>0</v>
          </cell>
          <cell r="K197">
            <v>2</v>
          </cell>
          <cell r="L197">
            <v>0</v>
          </cell>
          <cell r="M197">
            <v>2</v>
          </cell>
          <cell r="N197">
            <v>0</v>
          </cell>
          <cell r="O197">
            <v>3</v>
          </cell>
          <cell r="P197">
            <v>1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18</v>
          </cell>
          <cell r="V197">
            <v>21</v>
          </cell>
          <cell r="W197">
            <v>16</v>
          </cell>
          <cell r="X197">
            <v>23</v>
          </cell>
          <cell r="Y197">
            <v>2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/>
          <cell r="AI197">
            <v>91</v>
          </cell>
          <cell r="AJ197">
            <v>23</v>
          </cell>
          <cell r="AK197">
            <v>10</v>
          </cell>
        </row>
        <row r="198">
          <cell r="C198">
            <v>350602012</v>
          </cell>
          <cell r="D198">
            <v>0</v>
          </cell>
          <cell r="E198">
            <v>0</v>
          </cell>
          <cell r="F198">
            <v>29</v>
          </cell>
          <cell r="G198">
            <v>8</v>
          </cell>
          <cell r="H198">
            <v>0</v>
          </cell>
          <cell r="I198">
            <v>0</v>
          </cell>
          <cell r="J198">
            <v>2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44</v>
          </cell>
          <cell r="W198">
            <v>7</v>
          </cell>
          <cell r="X198">
            <v>1</v>
          </cell>
          <cell r="Y198">
            <v>6</v>
          </cell>
          <cell r="Z198">
            <v>0</v>
          </cell>
          <cell r="AA198">
            <v>0</v>
          </cell>
          <cell r="AB198">
            <v>1</v>
          </cell>
          <cell r="AC198">
            <v>4</v>
          </cell>
          <cell r="AD198">
            <v>0</v>
          </cell>
          <cell r="AE198">
            <v>0</v>
          </cell>
          <cell r="AF198">
            <v>11</v>
          </cell>
          <cell r="AG198">
            <v>14</v>
          </cell>
          <cell r="AH198"/>
          <cell r="AI198">
            <v>127</v>
          </cell>
          <cell r="AJ198">
            <v>44</v>
          </cell>
          <cell r="AK198">
            <v>11</v>
          </cell>
        </row>
        <row r="199">
          <cell r="C199">
            <v>350602013</v>
          </cell>
          <cell r="D199">
            <v>0</v>
          </cell>
          <cell r="E199">
            <v>0</v>
          </cell>
          <cell r="F199">
            <v>1</v>
          </cell>
          <cell r="G199">
            <v>0</v>
          </cell>
          <cell r="H199">
            <v>47</v>
          </cell>
          <cell r="I199">
            <v>0</v>
          </cell>
          <cell r="J199">
            <v>0</v>
          </cell>
          <cell r="K199">
            <v>0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1</v>
          </cell>
          <cell r="V199">
            <v>46</v>
          </cell>
          <cell r="W199">
            <v>36</v>
          </cell>
          <cell r="X199">
            <v>3</v>
          </cell>
          <cell r="Y199">
            <v>5</v>
          </cell>
          <cell r="Z199">
            <v>0</v>
          </cell>
          <cell r="AA199">
            <v>3</v>
          </cell>
          <cell r="AB199">
            <v>6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/>
          <cell r="AI199">
            <v>149</v>
          </cell>
          <cell r="AJ199">
            <v>47</v>
          </cell>
          <cell r="AK199">
            <v>10</v>
          </cell>
        </row>
        <row r="200">
          <cell r="C200">
            <v>350602014</v>
          </cell>
          <cell r="D200">
            <v>0</v>
          </cell>
          <cell r="E200">
            <v>0</v>
          </cell>
          <cell r="F200">
            <v>0</v>
          </cell>
          <cell r="G200">
            <v>19</v>
          </cell>
          <cell r="H200">
            <v>13</v>
          </cell>
          <cell r="I200">
            <v>1</v>
          </cell>
          <cell r="J200">
            <v>0</v>
          </cell>
          <cell r="K200">
            <v>1</v>
          </cell>
          <cell r="L200">
            <v>0</v>
          </cell>
          <cell r="M200">
            <v>58</v>
          </cell>
          <cell r="N200">
            <v>0</v>
          </cell>
          <cell r="O200">
            <v>0</v>
          </cell>
          <cell r="P200">
            <v>0</v>
          </cell>
          <cell r="Q200"/>
          <cell r="R200">
            <v>0</v>
          </cell>
          <cell r="S200">
            <v>0</v>
          </cell>
          <cell r="T200">
            <v>0</v>
          </cell>
          <cell r="U200">
            <v>2</v>
          </cell>
          <cell r="V200">
            <v>22</v>
          </cell>
          <cell r="W200">
            <v>19</v>
          </cell>
          <cell r="X200">
            <v>8</v>
          </cell>
          <cell r="Y200">
            <v>1</v>
          </cell>
          <cell r="Z200">
            <v>0</v>
          </cell>
          <cell r="AA200">
            <v>0</v>
          </cell>
          <cell r="AB200">
            <v>1</v>
          </cell>
          <cell r="AC200">
            <v>0</v>
          </cell>
          <cell r="AD200">
            <v>2</v>
          </cell>
          <cell r="AE200">
            <v>0</v>
          </cell>
          <cell r="AF200">
            <v>1</v>
          </cell>
          <cell r="AG200">
            <v>0</v>
          </cell>
          <cell r="AH200"/>
          <cell r="AI200">
            <v>148</v>
          </cell>
          <cell r="AJ200">
            <v>58</v>
          </cell>
          <cell r="AK200">
            <v>13</v>
          </cell>
        </row>
        <row r="201">
          <cell r="C201">
            <v>350602015</v>
          </cell>
          <cell r="D201">
            <v>0</v>
          </cell>
          <cell r="E201">
            <v>1</v>
          </cell>
          <cell r="F201">
            <v>0</v>
          </cell>
          <cell r="G201">
            <v>2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14</v>
          </cell>
          <cell r="S201">
            <v>0</v>
          </cell>
          <cell r="T201">
            <v>31</v>
          </cell>
          <cell r="U201">
            <v>0</v>
          </cell>
          <cell r="V201">
            <v>0</v>
          </cell>
          <cell r="W201">
            <v>4</v>
          </cell>
          <cell r="X201">
            <v>2</v>
          </cell>
          <cell r="Y201">
            <v>0</v>
          </cell>
          <cell r="Z201">
            <v>0</v>
          </cell>
          <cell r="AA201">
            <v>2</v>
          </cell>
          <cell r="AB201">
            <v>19</v>
          </cell>
          <cell r="AC201">
            <v>0</v>
          </cell>
          <cell r="AD201">
            <v>0</v>
          </cell>
          <cell r="AE201">
            <v>0</v>
          </cell>
          <cell r="AF201">
            <v>4</v>
          </cell>
          <cell r="AG201">
            <v>0</v>
          </cell>
          <cell r="AH201"/>
          <cell r="AI201">
            <v>90</v>
          </cell>
          <cell r="AJ201">
            <v>31</v>
          </cell>
          <cell r="AK201">
            <v>10</v>
          </cell>
        </row>
        <row r="202">
          <cell r="C202">
            <v>350602016</v>
          </cell>
          <cell r="D202">
            <v>0</v>
          </cell>
          <cell r="E202">
            <v>3</v>
          </cell>
          <cell r="F202">
            <v>0</v>
          </cell>
          <cell r="G202">
            <v>11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36</v>
          </cell>
          <cell r="N202">
            <v>9</v>
          </cell>
          <cell r="O202">
            <v>10</v>
          </cell>
          <cell r="P202">
            <v>0</v>
          </cell>
          <cell r="Q202">
            <v>4</v>
          </cell>
          <cell r="R202">
            <v>29</v>
          </cell>
          <cell r="S202">
            <v>0</v>
          </cell>
          <cell r="T202">
            <v>61</v>
          </cell>
          <cell r="U202">
            <v>0</v>
          </cell>
          <cell r="V202">
            <v>17</v>
          </cell>
          <cell r="W202">
            <v>32</v>
          </cell>
          <cell r="X202">
            <v>8</v>
          </cell>
          <cell r="Y202">
            <v>4</v>
          </cell>
          <cell r="Z202">
            <v>0</v>
          </cell>
          <cell r="AA202">
            <v>31</v>
          </cell>
          <cell r="AB202">
            <v>36</v>
          </cell>
          <cell r="AC202">
            <v>0</v>
          </cell>
          <cell r="AD202">
            <v>4</v>
          </cell>
          <cell r="AE202">
            <v>0</v>
          </cell>
          <cell r="AF202">
            <v>8</v>
          </cell>
          <cell r="AG202">
            <v>0</v>
          </cell>
          <cell r="AH202"/>
          <cell r="AI202">
            <v>303</v>
          </cell>
          <cell r="AJ202">
            <v>61</v>
          </cell>
          <cell r="AK202">
            <v>16</v>
          </cell>
        </row>
        <row r="203">
          <cell r="C203">
            <v>350602017</v>
          </cell>
          <cell r="D203">
            <v>0</v>
          </cell>
          <cell r="E203">
            <v>0</v>
          </cell>
          <cell r="F203">
            <v>0</v>
          </cell>
          <cell r="G203">
            <v>3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2</v>
          </cell>
          <cell r="O203">
            <v>0</v>
          </cell>
          <cell r="P203">
            <v>0</v>
          </cell>
          <cell r="Q203">
            <v>0</v>
          </cell>
          <cell r="R203">
            <v>4</v>
          </cell>
          <cell r="S203">
            <v>0</v>
          </cell>
          <cell r="T203">
            <v>4</v>
          </cell>
          <cell r="U203">
            <v>0</v>
          </cell>
          <cell r="V203">
            <v>14</v>
          </cell>
          <cell r="W203">
            <v>13</v>
          </cell>
          <cell r="X203">
            <v>54</v>
          </cell>
          <cell r="Y203">
            <v>13</v>
          </cell>
          <cell r="Z203">
            <v>0</v>
          </cell>
          <cell r="AA203">
            <v>0</v>
          </cell>
          <cell r="AB203">
            <v>68</v>
          </cell>
          <cell r="AC203">
            <v>0</v>
          </cell>
          <cell r="AD203">
            <v>1</v>
          </cell>
          <cell r="AE203">
            <v>3</v>
          </cell>
          <cell r="AF203">
            <v>12</v>
          </cell>
          <cell r="AG203">
            <v>0</v>
          </cell>
          <cell r="AH203"/>
          <cell r="AI203">
            <v>191</v>
          </cell>
          <cell r="AJ203">
            <v>68</v>
          </cell>
          <cell r="AK203">
            <v>12</v>
          </cell>
        </row>
        <row r="204">
          <cell r="C204">
            <v>350602018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13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8</v>
          </cell>
          <cell r="V204">
            <v>1</v>
          </cell>
          <cell r="W204">
            <v>11</v>
          </cell>
          <cell r="X204">
            <v>0</v>
          </cell>
          <cell r="Y204">
            <v>6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67</v>
          </cell>
          <cell r="AG204">
            <v>22</v>
          </cell>
          <cell r="AH204"/>
          <cell r="AI204">
            <v>128</v>
          </cell>
          <cell r="AJ204">
            <v>67</v>
          </cell>
          <cell r="AK204">
            <v>7</v>
          </cell>
        </row>
        <row r="205">
          <cell r="C205">
            <v>350602019</v>
          </cell>
          <cell r="D205">
            <v>0</v>
          </cell>
          <cell r="E205">
            <v>0</v>
          </cell>
          <cell r="F205">
            <v>4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32</v>
          </cell>
          <cell r="W205">
            <v>8</v>
          </cell>
          <cell r="X205">
            <v>1</v>
          </cell>
          <cell r="Y205">
            <v>29</v>
          </cell>
          <cell r="Z205">
            <v>0</v>
          </cell>
          <cell r="AA205">
            <v>0</v>
          </cell>
          <cell r="AB205">
            <v>0</v>
          </cell>
          <cell r="AC205">
            <v>54</v>
          </cell>
          <cell r="AD205">
            <v>0</v>
          </cell>
          <cell r="AE205">
            <v>0</v>
          </cell>
          <cell r="AF205">
            <v>12</v>
          </cell>
          <cell r="AG205">
            <v>47</v>
          </cell>
          <cell r="AH205"/>
          <cell r="AI205">
            <v>187</v>
          </cell>
          <cell r="AJ205">
            <v>54</v>
          </cell>
          <cell r="AK205">
            <v>8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28</v>
          </cell>
          <cell r="W206">
            <v>30</v>
          </cell>
          <cell r="X206">
            <v>2</v>
          </cell>
          <cell r="Y206">
            <v>0</v>
          </cell>
          <cell r="Z206">
            <v>0</v>
          </cell>
          <cell r="AA206">
            <v>9</v>
          </cell>
          <cell r="AB206">
            <v>6</v>
          </cell>
          <cell r="AC206">
            <v>0</v>
          </cell>
          <cell r="AD206">
            <v>0</v>
          </cell>
          <cell r="AE206">
            <v>9</v>
          </cell>
          <cell r="AF206">
            <v>0</v>
          </cell>
          <cell r="AG206">
            <v>0</v>
          </cell>
          <cell r="AH206"/>
          <cell r="AI206">
            <v>84</v>
          </cell>
          <cell r="AJ206">
            <v>30</v>
          </cell>
          <cell r="AK206">
            <v>6</v>
          </cell>
        </row>
        <row r="207">
          <cell r="C207">
            <v>350602021</v>
          </cell>
          <cell r="D207">
            <v>0</v>
          </cell>
          <cell r="E207">
            <v>0</v>
          </cell>
          <cell r="F207">
            <v>0</v>
          </cell>
          <cell r="G207">
            <v>17</v>
          </cell>
          <cell r="H207">
            <v>13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31</v>
          </cell>
          <cell r="W207">
            <v>23</v>
          </cell>
          <cell r="X207">
            <v>1</v>
          </cell>
          <cell r="Y207">
            <v>1</v>
          </cell>
          <cell r="Z207">
            <v>0</v>
          </cell>
          <cell r="AA207">
            <v>0</v>
          </cell>
          <cell r="AB207">
            <v>2</v>
          </cell>
          <cell r="AC207">
            <v>0</v>
          </cell>
          <cell r="AD207">
            <v>4</v>
          </cell>
          <cell r="AE207">
            <v>0</v>
          </cell>
          <cell r="AF207">
            <v>1</v>
          </cell>
          <cell r="AG207">
            <v>0</v>
          </cell>
          <cell r="AH207"/>
          <cell r="AI207">
            <v>93</v>
          </cell>
          <cell r="AJ207">
            <v>31</v>
          </cell>
          <cell r="AK207">
            <v>9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0</v>
          </cell>
          <cell r="G208">
            <v>4</v>
          </cell>
          <cell r="H208">
            <v>18</v>
          </cell>
          <cell r="I208">
            <v>0</v>
          </cell>
          <cell r="J208">
            <v>0</v>
          </cell>
          <cell r="K208">
            <v>3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12</v>
          </cell>
          <cell r="V208">
            <v>8</v>
          </cell>
          <cell r="W208">
            <v>19</v>
          </cell>
          <cell r="X208">
            <v>4</v>
          </cell>
          <cell r="Y208">
            <v>0</v>
          </cell>
          <cell r="Z208">
            <v>0</v>
          </cell>
          <cell r="AA208">
            <v>0</v>
          </cell>
          <cell r="AB208">
            <v>10</v>
          </cell>
          <cell r="AC208">
            <v>3</v>
          </cell>
          <cell r="AD208">
            <v>2</v>
          </cell>
          <cell r="AE208">
            <v>0</v>
          </cell>
          <cell r="AF208">
            <v>0</v>
          </cell>
          <cell r="AG208">
            <v>0</v>
          </cell>
          <cell r="AH208"/>
          <cell r="AI208">
            <v>83</v>
          </cell>
          <cell r="AJ208">
            <v>19</v>
          </cell>
          <cell r="AK208">
            <v>10</v>
          </cell>
        </row>
        <row r="209">
          <cell r="C209">
            <v>350602023</v>
          </cell>
          <cell r="D209">
            <v>0</v>
          </cell>
          <cell r="E209">
            <v>0</v>
          </cell>
          <cell r="F209">
            <v>5</v>
          </cell>
          <cell r="G209">
            <v>0</v>
          </cell>
          <cell r="H209">
            <v>11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5</v>
          </cell>
          <cell r="O209">
            <v>0</v>
          </cell>
          <cell r="P209">
            <v>0</v>
          </cell>
          <cell r="Q209">
            <v>0</v>
          </cell>
          <cell r="R209">
            <v>19</v>
          </cell>
          <cell r="S209">
            <v>12</v>
          </cell>
          <cell r="T209">
            <v>1</v>
          </cell>
          <cell r="U209">
            <v>3</v>
          </cell>
          <cell r="V209">
            <v>0</v>
          </cell>
          <cell r="W209">
            <v>28</v>
          </cell>
          <cell r="X209">
            <v>2</v>
          </cell>
          <cell r="Y209">
            <v>6</v>
          </cell>
          <cell r="Z209">
            <v>1</v>
          </cell>
          <cell r="AA209">
            <v>3</v>
          </cell>
          <cell r="AB209">
            <v>1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19</v>
          </cell>
          <cell r="AH209"/>
          <cell r="AI209">
            <v>116</v>
          </cell>
          <cell r="AJ209">
            <v>28</v>
          </cell>
          <cell r="AK209">
            <v>14</v>
          </cell>
        </row>
        <row r="210">
          <cell r="C210">
            <v>350601001</v>
          </cell>
          <cell r="D210">
            <v>0</v>
          </cell>
          <cell r="E210">
            <v>0</v>
          </cell>
          <cell r="F210">
            <v>0</v>
          </cell>
          <cell r="G210">
            <v>31</v>
          </cell>
          <cell r="H210">
            <v>24</v>
          </cell>
          <cell r="I210">
            <v>0</v>
          </cell>
          <cell r="J210">
            <v>20</v>
          </cell>
          <cell r="K210">
            <v>4</v>
          </cell>
          <cell r="L210">
            <v>0</v>
          </cell>
          <cell r="M210">
            <v>1</v>
          </cell>
          <cell r="N210">
            <v>16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1</v>
          </cell>
          <cell r="X210">
            <v>30</v>
          </cell>
          <cell r="Y210">
            <v>18</v>
          </cell>
          <cell r="Z210">
            <v>0</v>
          </cell>
          <cell r="AA210">
            <v>0</v>
          </cell>
          <cell r="AB210">
            <v>2</v>
          </cell>
          <cell r="AC210">
            <v>0</v>
          </cell>
          <cell r="AD210">
            <v>3</v>
          </cell>
          <cell r="AE210">
            <v>0</v>
          </cell>
          <cell r="AF210">
            <v>0</v>
          </cell>
          <cell r="AG210">
            <v>1</v>
          </cell>
          <cell r="AH210"/>
          <cell r="AI210">
            <v>151</v>
          </cell>
          <cell r="AJ210">
            <v>31</v>
          </cell>
          <cell r="AK210">
            <v>12</v>
          </cell>
        </row>
        <row r="211">
          <cell r="C211">
            <v>350601002</v>
          </cell>
          <cell r="D211">
            <v>0</v>
          </cell>
          <cell r="E211">
            <v>0</v>
          </cell>
          <cell r="F211">
            <v>0</v>
          </cell>
          <cell r="G211">
            <v>4</v>
          </cell>
          <cell r="H211">
            <v>3</v>
          </cell>
          <cell r="I211">
            <v>0</v>
          </cell>
          <cell r="J211">
            <v>8</v>
          </cell>
          <cell r="K211">
            <v>2</v>
          </cell>
          <cell r="L211">
            <v>0</v>
          </cell>
          <cell r="M211">
            <v>43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3</v>
          </cell>
          <cell r="V211">
            <v>6</v>
          </cell>
          <cell r="W211">
            <v>7</v>
          </cell>
          <cell r="X211">
            <v>4</v>
          </cell>
          <cell r="Y211">
            <v>7</v>
          </cell>
          <cell r="Z211">
            <v>0</v>
          </cell>
          <cell r="AA211">
            <v>0</v>
          </cell>
          <cell r="AB211">
            <v>4</v>
          </cell>
          <cell r="AC211">
            <v>0</v>
          </cell>
          <cell r="AD211">
            <v>20</v>
          </cell>
          <cell r="AE211">
            <v>1</v>
          </cell>
          <cell r="AF211">
            <v>0</v>
          </cell>
          <cell r="AG211">
            <v>3</v>
          </cell>
          <cell r="AH211"/>
          <cell r="AI211">
            <v>115</v>
          </cell>
          <cell r="AJ211">
            <v>43</v>
          </cell>
          <cell r="AK211">
            <v>14</v>
          </cell>
        </row>
        <row r="212">
          <cell r="C212">
            <v>350601003</v>
          </cell>
          <cell r="D212">
            <v>0</v>
          </cell>
          <cell r="E212">
            <v>0</v>
          </cell>
          <cell r="F212">
            <v>11</v>
          </cell>
          <cell r="G212">
            <v>0</v>
          </cell>
          <cell r="H212">
            <v>2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9</v>
          </cell>
          <cell r="O212">
            <v>0</v>
          </cell>
          <cell r="P212">
            <v>0</v>
          </cell>
          <cell r="Q212">
            <v>0</v>
          </cell>
          <cell r="R212">
            <v>7</v>
          </cell>
          <cell r="S212">
            <v>0</v>
          </cell>
          <cell r="T212">
            <v>0</v>
          </cell>
          <cell r="U212">
            <v>0</v>
          </cell>
          <cell r="V212">
            <v>1</v>
          </cell>
          <cell r="W212">
            <v>2</v>
          </cell>
          <cell r="X212">
            <v>18</v>
          </cell>
          <cell r="Y212">
            <v>23</v>
          </cell>
          <cell r="Z212">
            <v>0</v>
          </cell>
          <cell r="AA212">
            <v>0</v>
          </cell>
          <cell r="AB212">
            <v>30</v>
          </cell>
          <cell r="AC212">
            <v>0</v>
          </cell>
          <cell r="AD212">
            <v>0</v>
          </cell>
          <cell r="AE212">
            <v>4</v>
          </cell>
          <cell r="AF212">
            <v>5</v>
          </cell>
          <cell r="AG212">
            <v>1</v>
          </cell>
          <cell r="AH212"/>
          <cell r="AI212">
            <v>113</v>
          </cell>
          <cell r="AJ212">
            <v>30</v>
          </cell>
          <cell r="AK212">
            <v>12</v>
          </cell>
        </row>
        <row r="213">
          <cell r="C213">
            <v>350601004</v>
          </cell>
          <cell r="D213">
            <v>0</v>
          </cell>
          <cell r="E213">
            <v>1</v>
          </cell>
          <cell r="F213">
            <v>7</v>
          </cell>
          <cell r="G213">
            <v>0</v>
          </cell>
          <cell r="H213">
            <v>0</v>
          </cell>
          <cell r="I213">
            <v>1</v>
          </cell>
          <cell r="J213">
            <v>2</v>
          </cell>
          <cell r="K213">
            <v>1</v>
          </cell>
          <cell r="L213">
            <v>4</v>
          </cell>
          <cell r="M213">
            <v>2</v>
          </cell>
          <cell r="N213">
            <v>5</v>
          </cell>
          <cell r="O213">
            <v>0</v>
          </cell>
          <cell r="P213">
            <v>0</v>
          </cell>
          <cell r="Q213">
            <v>0</v>
          </cell>
          <cell r="R213">
            <v>2</v>
          </cell>
          <cell r="S213">
            <v>1</v>
          </cell>
          <cell r="T213">
            <v>1</v>
          </cell>
          <cell r="U213">
            <v>0</v>
          </cell>
          <cell r="V213">
            <v>2</v>
          </cell>
          <cell r="W213">
            <v>4</v>
          </cell>
          <cell r="X213">
            <v>1</v>
          </cell>
          <cell r="Y213">
            <v>2</v>
          </cell>
          <cell r="Z213">
            <v>0</v>
          </cell>
          <cell r="AA213">
            <v>1</v>
          </cell>
          <cell r="AB213">
            <v>17</v>
          </cell>
          <cell r="AC213">
            <v>4</v>
          </cell>
          <cell r="AD213">
            <v>0</v>
          </cell>
          <cell r="AE213">
            <v>0</v>
          </cell>
          <cell r="AF213">
            <v>6</v>
          </cell>
          <cell r="AG213">
            <v>1</v>
          </cell>
          <cell r="AH213"/>
          <cell r="AI213">
            <v>65</v>
          </cell>
          <cell r="AJ213">
            <v>17</v>
          </cell>
          <cell r="AK213">
            <v>20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12</v>
          </cell>
          <cell r="H214">
            <v>8</v>
          </cell>
          <cell r="I214">
            <v>0</v>
          </cell>
          <cell r="J214">
            <v>0</v>
          </cell>
          <cell r="K214">
            <v>5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0</v>
          </cell>
          <cell r="W214">
            <v>5</v>
          </cell>
          <cell r="X214">
            <v>7</v>
          </cell>
          <cell r="Y214">
            <v>0</v>
          </cell>
          <cell r="Z214">
            <v>6</v>
          </cell>
          <cell r="AA214">
            <v>0</v>
          </cell>
          <cell r="AB214">
            <v>37</v>
          </cell>
          <cell r="AC214">
            <v>0</v>
          </cell>
          <cell r="AD214">
            <v>23</v>
          </cell>
          <cell r="AE214">
            <v>0</v>
          </cell>
          <cell r="AF214">
            <v>0</v>
          </cell>
          <cell r="AG214">
            <v>0</v>
          </cell>
          <cell r="AH214"/>
          <cell r="AI214">
            <v>108</v>
          </cell>
          <cell r="AJ214">
            <v>37</v>
          </cell>
          <cell r="AK214">
            <v>9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0</v>
          </cell>
          <cell r="G215">
            <v>37</v>
          </cell>
          <cell r="H215">
            <v>8</v>
          </cell>
          <cell r="I215">
            <v>0</v>
          </cell>
          <cell r="J215">
            <v>2</v>
          </cell>
          <cell r="K215">
            <v>19</v>
          </cell>
          <cell r="L215">
            <v>0</v>
          </cell>
          <cell r="M215">
            <v>0</v>
          </cell>
          <cell r="N215">
            <v>6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4</v>
          </cell>
          <cell r="W215">
            <v>6</v>
          </cell>
          <cell r="X215">
            <v>5</v>
          </cell>
          <cell r="Y215">
            <v>1</v>
          </cell>
          <cell r="Z215">
            <v>0</v>
          </cell>
          <cell r="AA215">
            <v>0</v>
          </cell>
          <cell r="AB215">
            <v>2</v>
          </cell>
          <cell r="AC215">
            <v>0</v>
          </cell>
          <cell r="AD215">
            <v>20</v>
          </cell>
          <cell r="AE215">
            <v>0</v>
          </cell>
          <cell r="AF215">
            <v>0</v>
          </cell>
          <cell r="AG215">
            <v>4</v>
          </cell>
          <cell r="AH215"/>
          <cell r="AI215">
            <v>114</v>
          </cell>
          <cell r="AJ215">
            <v>37</v>
          </cell>
          <cell r="AK215">
            <v>12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10</v>
          </cell>
          <cell r="H216">
            <v>0</v>
          </cell>
          <cell r="I216">
            <v>0</v>
          </cell>
          <cell r="J216">
            <v>5</v>
          </cell>
          <cell r="K216">
            <v>10</v>
          </cell>
          <cell r="L216">
            <v>0</v>
          </cell>
          <cell r="M216">
            <v>0</v>
          </cell>
          <cell r="N216">
            <v>45</v>
          </cell>
          <cell r="O216">
            <v>0</v>
          </cell>
          <cell r="P216">
            <v>5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>
            <v>35</v>
          </cell>
          <cell r="W216">
            <v>20</v>
          </cell>
          <cell r="X216">
            <v>10</v>
          </cell>
          <cell r="Y216">
            <v>5</v>
          </cell>
          <cell r="Z216">
            <v>0</v>
          </cell>
          <cell r="AA216">
            <v>0</v>
          </cell>
          <cell r="AB216">
            <v>5</v>
          </cell>
          <cell r="AC216">
            <v>0</v>
          </cell>
          <cell r="AD216">
            <v>25</v>
          </cell>
          <cell r="AE216">
            <v>0</v>
          </cell>
          <cell r="AF216">
            <v>0</v>
          </cell>
          <cell r="AG216">
            <v>5</v>
          </cell>
          <cell r="AH216"/>
          <cell r="AI216">
            <v>185</v>
          </cell>
          <cell r="AJ216">
            <v>45</v>
          </cell>
          <cell r="AK216">
            <v>13</v>
          </cell>
        </row>
        <row r="217">
          <cell r="C217">
            <v>350601008</v>
          </cell>
          <cell r="D217">
            <v>0</v>
          </cell>
          <cell r="E217">
            <v>4</v>
          </cell>
          <cell r="F217">
            <v>0</v>
          </cell>
          <cell r="G217">
            <v>4</v>
          </cell>
          <cell r="H217">
            <v>44</v>
          </cell>
          <cell r="I217">
            <v>1</v>
          </cell>
          <cell r="J217">
            <v>4</v>
          </cell>
          <cell r="K217">
            <v>2</v>
          </cell>
          <cell r="L217">
            <v>0</v>
          </cell>
          <cell r="M217">
            <v>21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33</v>
          </cell>
          <cell r="S217">
            <v>12</v>
          </cell>
          <cell r="T217">
            <v>0</v>
          </cell>
          <cell r="U217">
            <v>0</v>
          </cell>
          <cell r="V217">
            <v>1</v>
          </cell>
          <cell r="W217">
            <v>7</v>
          </cell>
          <cell r="X217">
            <v>4</v>
          </cell>
          <cell r="Y217">
            <v>2</v>
          </cell>
          <cell r="Z217">
            <v>0</v>
          </cell>
          <cell r="AA217">
            <v>0</v>
          </cell>
          <cell r="AB217">
            <v>10</v>
          </cell>
          <cell r="AC217">
            <v>0</v>
          </cell>
          <cell r="AD217">
            <v>12</v>
          </cell>
          <cell r="AE217">
            <v>0</v>
          </cell>
          <cell r="AF217">
            <v>0</v>
          </cell>
          <cell r="AG217">
            <v>1</v>
          </cell>
          <cell r="AH217"/>
          <cell r="AI217">
            <v>162</v>
          </cell>
          <cell r="AJ217">
            <v>44</v>
          </cell>
          <cell r="AK217">
            <v>16</v>
          </cell>
        </row>
        <row r="218">
          <cell r="C218">
            <v>350601009</v>
          </cell>
          <cell r="D218">
            <v>0</v>
          </cell>
          <cell r="E218">
            <v>14</v>
          </cell>
          <cell r="F218">
            <v>0</v>
          </cell>
          <cell r="G218">
            <v>0</v>
          </cell>
          <cell r="H218">
            <v>19</v>
          </cell>
          <cell r="I218">
            <v>0</v>
          </cell>
          <cell r="J218">
            <v>26</v>
          </cell>
          <cell r="K218">
            <v>16</v>
          </cell>
          <cell r="L218">
            <v>1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3</v>
          </cell>
          <cell r="S218">
            <v>0</v>
          </cell>
          <cell r="T218">
            <v>0</v>
          </cell>
          <cell r="U218">
            <v>0</v>
          </cell>
          <cell r="V218">
            <v>6</v>
          </cell>
          <cell r="W218">
            <v>10</v>
          </cell>
          <cell r="X218">
            <v>4</v>
          </cell>
          <cell r="Y218">
            <v>2</v>
          </cell>
          <cell r="Z218">
            <v>0</v>
          </cell>
          <cell r="AA218">
            <v>0</v>
          </cell>
          <cell r="AB218">
            <v>27</v>
          </cell>
          <cell r="AC218">
            <v>0</v>
          </cell>
          <cell r="AD218">
            <v>8</v>
          </cell>
          <cell r="AE218">
            <v>0</v>
          </cell>
          <cell r="AF218">
            <v>0</v>
          </cell>
          <cell r="AG218">
            <v>1</v>
          </cell>
          <cell r="AH218"/>
          <cell r="AI218">
            <v>137</v>
          </cell>
          <cell r="AJ218">
            <v>27</v>
          </cell>
          <cell r="AK218">
            <v>13</v>
          </cell>
        </row>
        <row r="219">
          <cell r="C219">
            <v>350601010</v>
          </cell>
          <cell r="D219">
            <v>0</v>
          </cell>
          <cell r="E219">
            <v>8</v>
          </cell>
          <cell r="F219">
            <v>0</v>
          </cell>
          <cell r="G219">
            <v>0</v>
          </cell>
          <cell r="H219">
            <v>5</v>
          </cell>
          <cell r="I219">
            <v>0</v>
          </cell>
          <cell r="J219">
            <v>2</v>
          </cell>
          <cell r="K219">
            <v>4</v>
          </cell>
          <cell r="L219">
            <v>1</v>
          </cell>
          <cell r="M219">
            <v>3</v>
          </cell>
          <cell r="N219">
            <v>17</v>
          </cell>
          <cell r="O219">
            <v>0</v>
          </cell>
          <cell r="P219">
            <v>0</v>
          </cell>
          <cell r="Q219">
            <v>0</v>
          </cell>
          <cell r="R219">
            <v>3</v>
          </cell>
          <cell r="S219">
            <v>0</v>
          </cell>
          <cell r="T219">
            <v>0</v>
          </cell>
          <cell r="U219">
            <v>3</v>
          </cell>
          <cell r="V219">
            <v>2</v>
          </cell>
          <cell r="W219">
            <v>11</v>
          </cell>
          <cell r="X219">
            <v>5</v>
          </cell>
          <cell r="Y219">
            <v>17</v>
          </cell>
          <cell r="Z219">
            <v>0</v>
          </cell>
          <cell r="AA219">
            <v>2</v>
          </cell>
          <cell r="AB219">
            <v>25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3</v>
          </cell>
          <cell r="AH219"/>
          <cell r="AI219">
            <v>111</v>
          </cell>
          <cell r="AJ219">
            <v>25</v>
          </cell>
          <cell r="AK219">
            <v>16</v>
          </cell>
        </row>
        <row r="220">
          <cell r="C220">
            <v>350601011</v>
          </cell>
          <cell r="D220">
            <v>0</v>
          </cell>
          <cell r="E220">
            <v>0</v>
          </cell>
          <cell r="F220">
            <v>9</v>
          </cell>
          <cell r="G220">
            <v>18</v>
          </cell>
          <cell r="H220">
            <v>18</v>
          </cell>
          <cell r="I220">
            <v>0</v>
          </cell>
          <cell r="J220">
            <v>1</v>
          </cell>
          <cell r="K220">
            <v>0</v>
          </cell>
          <cell r="L220">
            <v>0</v>
          </cell>
          <cell r="M220">
            <v>0</v>
          </cell>
          <cell r="N220">
            <v>43</v>
          </cell>
          <cell r="O220">
            <v>14</v>
          </cell>
          <cell r="P220">
            <v>3</v>
          </cell>
          <cell r="Q220">
            <v>0</v>
          </cell>
          <cell r="R220">
            <v>0.1</v>
          </cell>
          <cell r="S220">
            <v>0</v>
          </cell>
          <cell r="T220">
            <v>2</v>
          </cell>
          <cell r="U220">
            <v>8</v>
          </cell>
          <cell r="V220">
            <v>3</v>
          </cell>
          <cell r="W220">
            <v>19</v>
          </cell>
          <cell r="X220">
            <v>8</v>
          </cell>
          <cell r="Y220">
            <v>4</v>
          </cell>
          <cell r="Z220">
            <v>0</v>
          </cell>
          <cell r="AA220">
            <v>14.5</v>
          </cell>
          <cell r="AB220">
            <v>23</v>
          </cell>
          <cell r="AC220">
            <v>0</v>
          </cell>
          <cell r="AD220">
            <v>11</v>
          </cell>
          <cell r="AE220">
            <v>0</v>
          </cell>
          <cell r="AF220">
            <v>6</v>
          </cell>
          <cell r="AG220">
            <v>2</v>
          </cell>
          <cell r="AH220"/>
          <cell r="AI220">
            <v>206.6</v>
          </cell>
          <cell r="AJ220">
            <v>43</v>
          </cell>
          <cell r="AK220">
            <v>19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7</v>
          </cell>
          <cell r="G221">
            <v>20</v>
          </cell>
          <cell r="H221">
            <v>6</v>
          </cell>
          <cell r="I221">
            <v>3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5</v>
          </cell>
          <cell r="P221">
            <v>0</v>
          </cell>
          <cell r="Q221">
            <v>6</v>
          </cell>
          <cell r="R221">
            <v>0</v>
          </cell>
          <cell r="S221">
            <v>0</v>
          </cell>
          <cell r="T221">
            <v>2</v>
          </cell>
          <cell r="U221">
            <v>13</v>
          </cell>
          <cell r="V221">
            <v>25</v>
          </cell>
          <cell r="W221">
            <v>16</v>
          </cell>
          <cell r="X221">
            <v>11</v>
          </cell>
          <cell r="Y221">
            <v>7</v>
          </cell>
          <cell r="Z221">
            <v>0</v>
          </cell>
          <cell r="AA221">
            <v>15</v>
          </cell>
          <cell r="AB221">
            <v>0</v>
          </cell>
          <cell r="AC221">
            <v>1</v>
          </cell>
          <cell r="AD221">
            <v>0</v>
          </cell>
          <cell r="AE221">
            <v>0</v>
          </cell>
          <cell r="AF221">
            <v>4</v>
          </cell>
          <cell r="AG221">
            <v>39</v>
          </cell>
          <cell r="AH221"/>
          <cell r="AI221">
            <v>180</v>
          </cell>
          <cell r="AJ221">
            <v>39</v>
          </cell>
          <cell r="AK221">
            <v>16</v>
          </cell>
        </row>
        <row r="222">
          <cell r="C222">
            <v>350601013</v>
          </cell>
          <cell r="D222">
            <v>18</v>
          </cell>
          <cell r="E222">
            <v>33</v>
          </cell>
          <cell r="F222">
            <v>23</v>
          </cell>
          <cell r="G222">
            <v>18</v>
          </cell>
          <cell r="H222">
            <v>6</v>
          </cell>
          <cell r="I222">
            <v>0</v>
          </cell>
          <cell r="J222">
            <v>2</v>
          </cell>
          <cell r="K222">
            <v>0</v>
          </cell>
          <cell r="L222">
            <v>0</v>
          </cell>
          <cell r="M222">
            <v>0</v>
          </cell>
          <cell r="N222">
            <v>7</v>
          </cell>
          <cell r="O222">
            <v>31</v>
          </cell>
          <cell r="P222">
            <v>0</v>
          </cell>
          <cell r="Q222">
            <v>15</v>
          </cell>
          <cell r="R222">
            <v>0</v>
          </cell>
          <cell r="S222">
            <v>1</v>
          </cell>
          <cell r="T222">
            <v>5</v>
          </cell>
          <cell r="U222">
            <v>2</v>
          </cell>
          <cell r="V222">
            <v>30</v>
          </cell>
          <cell r="W222">
            <v>61</v>
          </cell>
          <cell r="X222">
            <v>27</v>
          </cell>
          <cell r="Y222">
            <v>17</v>
          </cell>
          <cell r="Z222">
            <v>0</v>
          </cell>
          <cell r="AA222">
            <v>22</v>
          </cell>
          <cell r="AB222">
            <v>2</v>
          </cell>
          <cell r="AC222">
            <v>2</v>
          </cell>
          <cell r="AD222">
            <v>4</v>
          </cell>
          <cell r="AE222">
            <v>1</v>
          </cell>
          <cell r="AF222">
            <v>3</v>
          </cell>
          <cell r="AG222">
            <v>35</v>
          </cell>
          <cell r="AH222"/>
          <cell r="AI222">
            <v>365</v>
          </cell>
          <cell r="AJ222">
            <v>61</v>
          </cell>
          <cell r="AK222">
            <v>23</v>
          </cell>
        </row>
        <row r="223">
          <cell r="C223">
            <v>350601014</v>
          </cell>
          <cell r="D223">
            <v>0</v>
          </cell>
          <cell r="E223">
            <v>25</v>
          </cell>
          <cell r="F223">
            <v>22</v>
          </cell>
          <cell r="G223">
            <v>23</v>
          </cell>
          <cell r="H223">
            <v>7</v>
          </cell>
          <cell r="I223">
            <v>24</v>
          </cell>
          <cell r="J223">
            <v>0</v>
          </cell>
          <cell r="K223">
            <v>9</v>
          </cell>
          <cell r="L223">
            <v>5</v>
          </cell>
          <cell r="M223">
            <v>0</v>
          </cell>
          <cell r="N223">
            <v>13</v>
          </cell>
          <cell r="O223">
            <v>26</v>
          </cell>
          <cell r="P223">
            <v>3</v>
          </cell>
          <cell r="Q223">
            <v>17</v>
          </cell>
          <cell r="R223">
            <v>25</v>
          </cell>
          <cell r="S223">
            <v>2</v>
          </cell>
          <cell r="T223">
            <v>62</v>
          </cell>
          <cell r="U223">
            <v>0</v>
          </cell>
          <cell r="V223">
            <v>30</v>
          </cell>
          <cell r="W223">
            <v>15</v>
          </cell>
          <cell r="X223">
            <v>17</v>
          </cell>
          <cell r="Y223">
            <v>8</v>
          </cell>
          <cell r="Z223">
            <v>0</v>
          </cell>
          <cell r="AA223">
            <v>1</v>
          </cell>
          <cell r="AB223">
            <v>12</v>
          </cell>
          <cell r="AC223">
            <v>6</v>
          </cell>
          <cell r="AD223">
            <v>0</v>
          </cell>
          <cell r="AE223">
            <v>0</v>
          </cell>
          <cell r="AF223">
            <v>3</v>
          </cell>
          <cell r="AG223">
            <v>32</v>
          </cell>
          <cell r="AH223"/>
          <cell r="AI223">
            <v>387</v>
          </cell>
          <cell r="AJ223">
            <v>62</v>
          </cell>
          <cell r="AK223">
            <v>23</v>
          </cell>
        </row>
        <row r="224">
          <cell r="C224">
            <v>350601015</v>
          </cell>
          <cell r="D224">
            <v>1</v>
          </cell>
          <cell r="E224">
            <v>0</v>
          </cell>
          <cell r="F224">
            <v>16</v>
          </cell>
          <cell r="G224">
            <v>0</v>
          </cell>
          <cell r="H224">
            <v>6</v>
          </cell>
          <cell r="I224">
            <v>2</v>
          </cell>
          <cell r="J224">
            <v>4</v>
          </cell>
          <cell r="K224">
            <v>3</v>
          </cell>
          <cell r="L224">
            <v>0</v>
          </cell>
          <cell r="M224">
            <v>0</v>
          </cell>
          <cell r="N224">
            <v>5</v>
          </cell>
          <cell r="O224">
            <v>0</v>
          </cell>
          <cell r="P224">
            <v>0</v>
          </cell>
          <cell r="Q224">
            <v>0</v>
          </cell>
          <cell r="R224">
            <v>13</v>
          </cell>
          <cell r="S224">
            <v>0</v>
          </cell>
          <cell r="T224">
            <v>3</v>
          </cell>
          <cell r="U224">
            <v>0</v>
          </cell>
          <cell r="V224">
            <v>6</v>
          </cell>
          <cell r="W224">
            <v>9</v>
          </cell>
          <cell r="X224">
            <v>15</v>
          </cell>
          <cell r="Y224">
            <v>20</v>
          </cell>
          <cell r="Z224">
            <v>0</v>
          </cell>
          <cell r="AA224">
            <v>3</v>
          </cell>
          <cell r="AB224">
            <v>6</v>
          </cell>
          <cell r="AC224">
            <v>0</v>
          </cell>
          <cell r="AD224">
            <v>17</v>
          </cell>
          <cell r="AE224">
            <v>0</v>
          </cell>
          <cell r="AF224">
            <v>3</v>
          </cell>
          <cell r="AG224">
            <v>1</v>
          </cell>
          <cell r="AH224"/>
          <cell r="AI224">
            <v>133</v>
          </cell>
          <cell r="AJ224">
            <v>20</v>
          </cell>
          <cell r="AK224">
            <v>18</v>
          </cell>
        </row>
        <row r="225">
          <cell r="C225">
            <v>350125006</v>
          </cell>
          <cell r="D225">
            <v>0</v>
          </cell>
          <cell r="E225">
            <v>0</v>
          </cell>
          <cell r="F225">
            <v>15</v>
          </cell>
          <cell r="G225">
            <v>5</v>
          </cell>
          <cell r="H225">
            <v>46</v>
          </cell>
          <cell r="I225">
            <v>0</v>
          </cell>
          <cell r="J225">
            <v>2</v>
          </cell>
          <cell r="K225">
            <v>0</v>
          </cell>
          <cell r="L225">
            <v>0</v>
          </cell>
          <cell r="M225">
            <v>1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1</v>
          </cell>
          <cell r="U225">
            <v>5</v>
          </cell>
          <cell r="V225">
            <v>30</v>
          </cell>
          <cell r="W225">
            <v>98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25</v>
          </cell>
          <cell r="AD225">
            <v>12</v>
          </cell>
          <cell r="AE225">
            <v>0</v>
          </cell>
          <cell r="AF225">
            <v>34</v>
          </cell>
          <cell r="AG225">
            <v>0</v>
          </cell>
          <cell r="AH225"/>
          <cell r="AI225">
            <v>274</v>
          </cell>
          <cell r="AJ225">
            <v>98</v>
          </cell>
          <cell r="AK225">
            <v>12</v>
          </cell>
        </row>
        <row r="226">
          <cell r="C226">
            <v>350125007</v>
          </cell>
          <cell r="D226">
            <v>0</v>
          </cell>
          <cell r="E226">
            <v>0</v>
          </cell>
          <cell r="F226">
            <v>0</v>
          </cell>
          <cell r="G226">
            <v>25</v>
          </cell>
          <cell r="H226">
            <v>15</v>
          </cell>
          <cell r="I226">
            <v>5</v>
          </cell>
          <cell r="J226">
            <v>20</v>
          </cell>
          <cell r="K226">
            <v>10</v>
          </cell>
          <cell r="L226">
            <v>15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35</v>
          </cell>
          <cell r="X226">
            <v>0</v>
          </cell>
          <cell r="Y226">
            <v>0</v>
          </cell>
          <cell r="Z226">
            <v>23</v>
          </cell>
          <cell r="AA226">
            <v>0</v>
          </cell>
          <cell r="AB226">
            <v>0</v>
          </cell>
          <cell r="AC226">
            <v>0</v>
          </cell>
          <cell r="AD226">
            <v>10</v>
          </cell>
          <cell r="AE226">
            <v>0</v>
          </cell>
          <cell r="AF226">
            <v>55</v>
          </cell>
          <cell r="AG226">
            <v>0</v>
          </cell>
          <cell r="AH226"/>
          <cell r="AI226">
            <v>213</v>
          </cell>
          <cell r="AJ226">
            <v>55</v>
          </cell>
          <cell r="AK226">
            <v>10</v>
          </cell>
        </row>
        <row r="227">
          <cell r="C227">
            <v>350125008</v>
          </cell>
          <cell r="D227">
            <v>0</v>
          </cell>
          <cell r="E227">
            <v>0</v>
          </cell>
          <cell r="F227">
            <v>0</v>
          </cell>
          <cell r="G227">
            <v>3</v>
          </cell>
          <cell r="H227">
            <v>67</v>
          </cell>
          <cell r="I227">
            <v>0</v>
          </cell>
          <cell r="J227">
            <v>19</v>
          </cell>
          <cell r="K227">
            <v>0</v>
          </cell>
          <cell r="L227">
            <v>0</v>
          </cell>
          <cell r="M227">
            <v>14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3</v>
          </cell>
          <cell r="V227">
            <v>40</v>
          </cell>
          <cell r="W227">
            <v>74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4</v>
          </cell>
          <cell r="AD227">
            <v>0</v>
          </cell>
          <cell r="AE227">
            <v>5</v>
          </cell>
          <cell r="AF227">
            <v>30</v>
          </cell>
          <cell r="AG227">
            <v>0</v>
          </cell>
          <cell r="AH227"/>
          <cell r="AI227">
            <v>259</v>
          </cell>
          <cell r="AJ227">
            <v>74</v>
          </cell>
          <cell r="AK227">
            <v>10</v>
          </cell>
        </row>
        <row r="228">
          <cell r="C228">
            <v>350125009</v>
          </cell>
          <cell r="D228">
            <v>0</v>
          </cell>
          <cell r="E228">
            <v>0</v>
          </cell>
          <cell r="F228">
            <v>8</v>
          </cell>
          <cell r="G228">
            <v>0</v>
          </cell>
          <cell r="H228">
            <v>57</v>
          </cell>
          <cell r="I228">
            <v>0</v>
          </cell>
          <cell r="J228">
            <v>49</v>
          </cell>
          <cell r="K228">
            <v>0</v>
          </cell>
          <cell r="L228">
            <v>0</v>
          </cell>
          <cell r="M228">
            <v>17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11</v>
          </cell>
          <cell r="V228">
            <v>42</v>
          </cell>
          <cell r="W228">
            <v>53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46</v>
          </cell>
          <cell r="AD228">
            <v>19</v>
          </cell>
          <cell r="AE228">
            <v>3</v>
          </cell>
          <cell r="AF228">
            <v>53</v>
          </cell>
          <cell r="AG228">
            <v>0</v>
          </cell>
          <cell r="AH228"/>
          <cell r="AI228">
            <v>358</v>
          </cell>
          <cell r="AJ228">
            <v>57</v>
          </cell>
          <cell r="AK228">
            <v>11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14</v>
          </cell>
          <cell r="G229">
            <v>0</v>
          </cell>
          <cell r="H229">
            <v>0</v>
          </cell>
          <cell r="I229">
            <v>0</v>
          </cell>
          <cell r="J229">
            <v>10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27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28</v>
          </cell>
          <cell r="AG229">
            <v>0</v>
          </cell>
          <cell r="AH229"/>
          <cell r="AI229">
            <v>79</v>
          </cell>
          <cell r="AJ229">
            <v>28</v>
          </cell>
          <cell r="AK229">
            <v>4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14</v>
          </cell>
          <cell r="H230">
            <v>4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1</v>
          </cell>
          <cell r="Q230">
            <v>0</v>
          </cell>
          <cell r="R230">
            <v>0</v>
          </cell>
          <cell r="S230">
            <v>2</v>
          </cell>
          <cell r="T230">
            <v>0</v>
          </cell>
          <cell r="U230">
            <v>0</v>
          </cell>
          <cell r="V230">
            <v>8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5</v>
          </cell>
          <cell r="AF230">
            <v>28</v>
          </cell>
          <cell r="AG230">
            <v>0</v>
          </cell>
          <cell r="AH230"/>
          <cell r="AI230">
            <v>65</v>
          </cell>
          <cell r="AJ230">
            <v>28</v>
          </cell>
          <cell r="AK230">
            <v>8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0</v>
          </cell>
          <cell r="G231">
            <v>3</v>
          </cell>
          <cell r="H231">
            <v>13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14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12</v>
          </cell>
          <cell r="U231">
            <v>0</v>
          </cell>
          <cell r="V231">
            <v>8</v>
          </cell>
          <cell r="W231">
            <v>5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1.5</v>
          </cell>
          <cell r="AC231">
            <v>3</v>
          </cell>
          <cell r="AD231">
            <v>0</v>
          </cell>
          <cell r="AE231">
            <v>10.5</v>
          </cell>
          <cell r="AF231">
            <v>36</v>
          </cell>
          <cell r="AG231">
            <v>0</v>
          </cell>
          <cell r="AH231"/>
          <cell r="AI231">
            <v>106</v>
          </cell>
          <cell r="AJ231">
            <v>36</v>
          </cell>
          <cell r="AK231">
            <v>10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5</v>
          </cell>
          <cell r="G232">
            <v>0</v>
          </cell>
          <cell r="H232">
            <v>5</v>
          </cell>
          <cell r="I232">
            <v>8</v>
          </cell>
          <cell r="J232">
            <v>0</v>
          </cell>
          <cell r="K232">
            <v>0</v>
          </cell>
          <cell r="L232">
            <v>0</v>
          </cell>
          <cell r="M232">
            <v>10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5</v>
          </cell>
          <cell r="V232">
            <v>0</v>
          </cell>
          <cell r="W232">
            <v>25</v>
          </cell>
          <cell r="X232">
            <v>15</v>
          </cell>
          <cell r="Y232">
            <v>0</v>
          </cell>
          <cell r="Z232">
            <v>0</v>
          </cell>
          <cell r="AA232">
            <v>5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/>
          <cell r="AI232">
            <v>78</v>
          </cell>
          <cell r="AJ232">
            <v>25</v>
          </cell>
          <cell r="AK232">
            <v>8</v>
          </cell>
        </row>
        <row r="233">
          <cell r="C233">
            <v>350125014</v>
          </cell>
          <cell r="D233">
            <v>15</v>
          </cell>
          <cell r="E233">
            <v>2</v>
          </cell>
          <cell r="F233">
            <v>47</v>
          </cell>
          <cell r="G233">
            <v>3</v>
          </cell>
          <cell r="H233">
            <v>6</v>
          </cell>
          <cell r="I233">
            <v>0</v>
          </cell>
          <cell r="J233">
            <v>31</v>
          </cell>
          <cell r="K233">
            <v>47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3</v>
          </cell>
          <cell r="W233">
            <v>36</v>
          </cell>
          <cell r="X233">
            <v>5</v>
          </cell>
          <cell r="Y233">
            <v>14</v>
          </cell>
          <cell r="Z233">
            <v>0</v>
          </cell>
          <cell r="AA233">
            <v>9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21</v>
          </cell>
          <cell r="AG233">
            <v>2</v>
          </cell>
          <cell r="AH233"/>
          <cell r="AI233">
            <v>241</v>
          </cell>
          <cell r="AJ233">
            <v>47</v>
          </cell>
          <cell r="AK233">
            <v>14</v>
          </cell>
        </row>
        <row r="234">
          <cell r="C234">
            <v>350125015</v>
          </cell>
          <cell r="D234">
            <v>0</v>
          </cell>
          <cell r="E234">
            <v>16</v>
          </cell>
          <cell r="F234">
            <v>1</v>
          </cell>
          <cell r="G234">
            <v>35</v>
          </cell>
          <cell r="H234">
            <v>0</v>
          </cell>
          <cell r="I234">
            <v>2</v>
          </cell>
          <cell r="J234">
            <v>0</v>
          </cell>
          <cell r="K234">
            <v>0</v>
          </cell>
          <cell r="L234">
            <v>10</v>
          </cell>
          <cell r="M234">
            <v>0</v>
          </cell>
          <cell r="N234">
            <v>0</v>
          </cell>
          <cell r="O234">
            <v>22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18</v>
          </cell>
          <cell r="X234">
            <v>0</v>
          </cell>
          <cell r="Y234">
            <v>7</v>
          </cell>
          <cell r="Z234">
            <v>0</v>
          </cell>
          <cell r="AA234">
            <v>30</v>
          </cell>
          <cell r="AB234">
            <v>7</v>
          </cell>
          <cell r="AC234">
            <v>0</v>
          </cell>
          <cell r="AD234">
            <v>0</v>
          </cell>
          <cell r="AE234">
            <v>3</v>
          </cell>
          <cell r="AF234">
            <v>22</v>
          </cell>
          <cell r="AG234">
            <v>0</v>
          </cell>
          <cell r="AH234"/>
          <cell r="AI234">
            <v>173</v>
          </cell>
          <cell r="AJ234">
            <v>35</v>
          </cell>
          <cell r="AK234">
            <v>12</v>
          </cell>
        </row>
        <row r="235">
          <cell r="C235">
            <v>350122032</v>
          </cell>
          <cell r="D235">
            <v>0</v>
          </cell>
          <cell r="E235">
            <v>28</v>
          </cell>
          <cell r="F235">
            <v>3</v>
          </cell>
          <cell r="G235">
            <v>34</v>
          </cell>
          <cell r="H235">
            <v>6</v>
          </cell>
          <cell r="I235">
            <v>0</v>
          </cell>
          <cell r="J235">
            <v>0</v>
          </cell>
          <cell r="K235">
            <v>5</v>
          </cell>
          <cell r="L235">
            <v>17</v>
          </cell>
          <cell r="M235">
            <v>0</v>
          </cell>
          <cell r="N235">
            <v>0</v>
          </cell>
          <cell r="O235">
            <v>2</v>
          </cell>
          <cell r="P235">
            <v>13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7</v>
          </cell>
          <cell r="V235">
            <v>0</v>
          </cell>
          <cell r="W235">
            <v>11</v>
          </cell>
          <cell r="X235">
            <v>12</v>
          </cell>
          <cell r="Y235">
            <v>11</v>
          </cell>
          <cell r="Z235">
            <v>0</v>
          </cell>
          <cell r="AA235">
            <v>25</v>
          </cell>
          <cell r="AB235">
            <v>0</v>
          </cell>
          <cell r="AC235">
            <v>30</v>
          </cell>
          <cell r="AD235">
            <v>32</v>
          </cell>
          <cell r="AE235">
            <v>48</v>
          </cell>
          <cell r="AF235">
            <v>0</v>
          </cell>
          <cell r="AG235">
            <v>0</v>
          </cell>
          <cell r="AH235"/>
          <cell r="AI235">
            <v>284</v>
          </cell>
          <cell r="AJ235">
            <v>48</v>
          </cell>
          <cell r="AK235">
            <v>16</v>
          </cell>
        </row>
      </sheetData>
      <sheetData sheetId="6">
        <row r="8">
          <cell r="C8">
            <v>350125005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0</v>
          </cell>
          <cell r="J8">
            <v>15</v>
          </cell>
          <cell r="K8">
            <v>16</v>
          </cell>
          <cell r="L8">
            <v>49</v>
          </cell>
          <cell r="M8">
            <v>0</v>
          </cell>
          <cell r="N8">
            <v>26</v>
          </cell>
          <cell r="O8">
            <v>0</v>
          </cell>
          <cell r="P8">
            <v>25</v>
          </cell>
          <cell r="Q8">
            <v>0</v>
          </cell>
          <cell r="R8">
            <v>4</v>
          </cell>
          <cell r="S8">
            <v>0</v>
          </cell>
          <cell r="T8">
            <v>12</v>
          </cell>
          <cell r="U8">
            <v>0</v>
          </cell>
          <cell r="V8">
            <v>8</v>
          </cell>
          <cell r="W8">
            <v>23</v>
          </cell>
          <cell r="X8">
            <v>27</v>
          </cell>
          <cell r="Y8">
            <v>0</v>
          </cell>
          <cell r="Z8">
            <v>4</v>
          </cell>
          <cell r="AA8">
            <v>18</v>
          </cell>
          <cell r="AB8">
            <v>48</v>
          </cell>
          <cell r="AC8">
            <v>0</v>
          </cell>
          <cell r="AD8">
            <v>51</v>
          </cell>
          <cell r="AE8">
            <v>0</v>
          </cell>
          <cell r="AF8">
            <v>0</v>
          </cell>
          <cell r="AG8">
            <v>6</v>
          </cell>
          <cell r="AH8">
            <v>0</v>
          </cell>
          <cell r="AI8">
            <v>337</v>
          </cell>
          <cell r="AJ8">
            <v>51</v>
          </cell>
          <cell r="AK8">
            <v>16</v>
          </cell>
        </row>
        <row r="9">
          <cell r="C9">
            <v>350125004</v>
          </cell>
          <cell r="D9">
            <v>5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2</v>
          </cell>
          <cell r="X9">
            <v>25</v>
          </cell>
          <cell r="Y9">
            <v>0</v>
          </cell>
          <cell r="Z9">
            <v>0</v>
          </cell>
          <cell r="AA9">
            <v>0</v>
          </cell>
          <cell r="AB9">
            <v>1</v>
          </cell>
          <cell r="AC9">
            <v>0</v>
          </cell>
          <cell r="AD9">
            <v>44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85</v>
          </cell>
          <cell r="AJ9">
            <v>44</v>
          </cell>
          <cell r="AK9">
            <v>8</v>
          </cell>
        </row>
        <row r="10">
          <cell r="C10">
            <v>350125003</v>
          </cell>
          <cell r="D10">
            <v>1.5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4</v>
          </cell>
          <cell r="M10">
            <v>0</v>
          </cell>
          <cell r="N10">
            <v>6.5</v>
          </cell>
          <cell r="O10">
            <v>1</v>
          </cell>
          <cell r="P10">
            <v>1</v>
          </cell>
          <cell r="Q10">
            <v>25</v>
          </cell>
          <cell r="R10">
            <v>0</v>
          </cell>
          <cell r="S10">
            <v>0</v>
          </cell>
          <cell r="T10">
            <v>24.5</v>
          </cell>
          <cell r="U10">
            <v>17</v>
          </cell>
          <cell r="V10">
            <v>1</v>
          </cell>
          <cell r="W10">
            <v>1</v>
          </cell>
          <cell r="X10">
            <v>1.5</v>
          </cell>
          <cell r="Y10">
            <v>0</v>
          </cell>
          <cell r="Z10">
            <v>0</v>
          </cell>
          <cell r="AA10">
            <v>0</v>
          </cell>
          <cell r="AB10">
            <v>5</v>
          </cell>
          <cell r="AC10">
            <v>1</v>
          </cell>
          <cell r="AD10">
            <v>18.5</v>
          </cell>
          <cell r="AE10">
            <v>0</v>
          </cell>
          <cell r="AF10">
            <v>0</v>
          </cell>
          <cell r="AG10">
            <v>6.5</v>
          </cell>
          <cell r="AH10">
            <v>0</v>
          </cell>
          <cell r="AI10">
            <v>116</v>
          </cell>
          <cell r="AJ10">
            <v>25</v>
          </cell>
          <cell r="AK10">
            <v>16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5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3</v>
          </cell>
          <cell r="W11">
            <v>6</v>
          </cell>
          <cell r="X11">
            <v>2</v>
          </cell>
          <cell r="Y11">
            <v>0</v>
          </cell>
          <cell r="Z11">
            <v>0</v>
          </cell>
          <cell r="AA11">
            <v>0</v>
          </cell>
          <cell r="AB11">
            <v>12</v>
          </cell>
          <cell r="AC11">
            <v>2</v>
          </cell>
          <cell r="AD11">
            <v>70</v>
          </cell>
          <cell r="AE11">
            <v>3</v>
          </cell>
          <cell r="AF11">
            <v>17</v>
          </cell>
          <cell r="AG11">
            <v>1</v>
          </cell>
          <cell r="AH11">
            <v>0</v>
          </cell>
          <cell r="AI11">
            <v>126</v>
          </cell>
          <cell r="AJ11">
            <v>70</v>
          </cell>
          <cell r="AK11">
            <v>12</v>
          </cell>
        </row>
        <row r="12">
          <cell r="C12">
            <v>350125001</v>
          </cell>
          <cell r="D12">
            <v>9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34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37</v>
          </cell>
          <cell r="U12">
            <v>7</v>
          </cell>
          <cell r="V12">
            <v>5</v>
          </cell>
          <cell r="W12">
            <v>4</v>
          </cell>
          <cell r="X12">
            <v>20</v>
          </cell>
          <cell r="Y12">
            <v>8</v>
          </cell>
          <cell r="Z12">
            <v>0</v>
          </cell>
          <cell r="AA12">
            <v>32</v>
          </cell>
          <cell r="AB12">
            <v>0</v>
          </cell>
          <cell r="AC12">
            <v>0</v>
          </cell>
          <cell r="AD12">
            <v>10</v>
          </cell>
          <cell r="AE12">
            <v>0</v>
          </cell>
          <cell r="AF12">
            <v>0</v>
          </cell>
          <cell r="AG12">
            <v>7</v>
          </cell>
          <cell r="AH12">
            <v>0</v>
          </cell>
          <cell r="AI12">
            <v>173</v>
          </cell>
          <cell r="AJ12">
            <v>37</v>
          </cell>
          <cell r="AK12">
            <v>11</v>
          </cell>
        </row>
        <row r="13">
          <cell r="C13">
            <v>350124024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9</v>
          </cell>
          <cell r="K13">
            <v>0</v>
          </cell>
          <cell r="L13">
            <v>22</v>
          </cell>
          <cell r="M13">
            <v>2</v>
          </cell>
          <cell r="N13">
            <v>5</v>
          </cell>
          <cell r="O13">
            <v>1</v>
          </cell>
          <cell r="P13">
            <v>18</v>
          </cell>
          <cell r="Q13">
            <v>1</v>
          </cell>
          <cell r="R13">
            <v>0</v>
          </cell>
          <cell r="S13">
            <v>0</v>
          </cell>
          <cell r="T13">
            <v>2</v>
          </cell>
          <cell r="U13">
            <v>15</v>
          </cell>
          <cell r="V13">
            <v>17</v>
          </cell>
          <cell r="W13">
            <v>3</v>
          </cell>
          <cell r="X13">
            <v>2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42</v>
          </cell>
          <cell r="AE13">
            <v>1</v>
          </cell>
          <cell r="AF13">
            <v>0</v>
          </cell>
          <cell r="AG13">
            <v>16</v>
          </cell>
          <cell r="AH13">
            <v>0</v>
          </cell>
          <cell r="AI13">
            <v>157</v>
          </cell>
          <cell r="AJ13">
            <v>42</v>
          </cell>
          <cell r="AK13">
            <v>16</v>
          </cell>
        </row>
        <row r="14">
          <cell r="C14">
            <v>350124023</v>
          </cell>
          <cell r="D14">
            <v>12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6</v>
          </cell>
          <cell r="L14">
            <v>23</v>
          </cell>
          <cell r="M14">
            <v>0</v>
          </cell>
          <cell r="N14">
            <v>0</v>
          </cell>
          <cell r="O14">
            <v>0</v>
          </cell>
          <cell r="P14">
            <v>34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9</v>
          </cell>
          <cell r="Y14">
            <v>17</v>
          </cell>
          <cell r="Z14">
            <v>4</v>
          </cell>
          <cell r="AA14">
            <v>0</v>
          </cell>
          <cell r="AB14">
            <v>0</v>
          </cell>
          <cell r="AC14">
            <v>10</v>
          </cell>
          <cell r="AD14">
            <v>7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124</v>
          </cell>
          <cell r="AJ14">
            <v>34</v>
          </cell>
          <cell r="AK14">
            <v>10</v>
          </cell>
        </row>
        <row r="15">
          <cell r="C15">
            <v>350124022</v>
          </cell>
          <cell r="D15">
            <v>26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16</v>
          </cell>
          <cell r="L15">
            <v>39</v>
          </cell>
          <cell r="M15">
            <v>0</v>
          </cell>
          <cell r="N15">
            <v>0</v>
          </cell>
          <cell r="O15">
            <v>0</v>
          </cell>
          <cell r="P15">
            <v>44</v>
          </cell>
          <cell r="Q15">
            <v>5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3</v>
          </cell>
          <cell r="X15">
            <v>55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27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216</v>
          </cell>
          <cell r="AJ15">
            <v>55</v>
          </cell>
          <cell r="AK15">
            <v>9</v>
          </cell>
        </row>
        <row r="16">
          <cell r="C16">
            <v>350124021</v>
          </cell>
          <cell r="D16">
            <v>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6</v>
          </cell>
          <cell r="K16">
            <v>0</v>
          </cell>
          <cell r="L16">
            <v>24</v>
          </cell>
          <cell r="M16">
            <v>0</v>
          </cell>
          <cell r="N16">
            <v>0</v>
          </cell>
          <cell r="O16">
            <v>0</v>
          </cell>
          <cell r="P16">
            <v>2</v>
          </cell>
          <cell r="Q16">
            <v>4</v>
          </cell>
          <cell r="R16">
            <v>0</v>
          </cell>
          <cell r="S16">
            <v>0</v>
          </cell>
          <cell r="T16">
            <v>0</v>
          </cell>
          <cell r="U16">
            <v>9</v>
          </cell>
          <cell r="V16">
            <v>6</v>
          </cell>
          <cell r="W16">
            <v>1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60</v>
          </cell>
          <cell r="AE16">
            <v>0</v>
          </cell>
          <cell r="AF16">
            <v>0</v>
          </cell>
          <cell r="AG16">
            <v>26</v>
          </cell>
          <cell r="AH16">
            <v>0</v>
          </cell>
          <cell r="AI16">
            <v>143</v>
          </cell>
          <cell r="AJ16">
            <v>60</v>
          </cell>
          <cell r="AK16">
            <v>11</v>
          </cell>
        </row>
        <row r="17">
          <cell r="C17">
            <v>350124020</v>
          </cell>
          <cell r="D17">
            <v>71</v>
          </cell>
          <cell r="E17">
            <v>0</v>
          </cell>
          <cell r="F17">
            <v>7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113</v>
          </cell>
          <cell r="M17">
            <v>0</v>
          </cell>
          <cell r="N17">
            <v>1</v>
          </cell>
          <cell r="O17">
            <v>0</v>
          </cell>
          <cell r="P17">
            <v>23</v>
          </cell>
          <cell r="Q17">
            <v>9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</v>
          </cell>
          <cell r="X17">
            <v>12</v>
          </cell>
          <cell r="Y17">
            <v>13</v>
          </cell>
          <cell r="Z17">
            <v>0</v>
          </cell>
          <cell r="AA17">
            <v>0</v>
          </cell>
          <cell r="AB17">
            <v>0</v>
          </cell>
          <cell r="AC17">
            <v>26</v>
          </cell>
          <cell r="AD17">
            <v>0</v>
          </cell>
          <cell r="AE17">
            <v>0</v>
          </cell>
          <cell r="AF17">
            <v>0</v>
          </cell>
          <cell r="AG17">
            <v>11</v>
          </cell>
          <cell r="AH17">
            <v>0</v>
          </cell>
          <cell r="AI17">
            <v>287</v>
          </cell>
          <cell r="AJ17">
            <v>113</v>
          </cell>
          <cell r="AK17">
            <v>11</v>
          </cell>
        </row>
        <row r="18">
          <cell r="C18">
            <v>350124019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14</v>
          </cell>
          <cell r="J18">
            <v>0</v>
          </cell>
          <cell r="K18">
            <v>15</v>
          </cell>
          <cell r="L18">
            <v>14</v>
          </cell>
          <cell r="M18">
            <v>0</v>
          </cell>
          <cell r="N18">
            <v>0</v>
          </cell>
          <cell r="O18">
            <v>0</v>
          </cell>
          <cell r="P18">
            <v>26</v>
          </cell>
          <cell r="Q18">
            <v>15</v>
          </cell>
          <cell r="R18">
            <v>10</v>
          </cell>
          <cell r="S18">
            <v>0</v>
          </cell>
          <cell r="T18">
            <v>0</v>
          </cell>
          <cell r="U18">
            <v>5</v>
          </cell>
          <cell r="V18">
            <v>4</v>
          </cell>
          <cell r="W18">
            <v>0</v>
          </cell>
          <cell r="X18">
            <v>25</v>
          </cell>
          <cell r="Y18">
            <v>0</v>
          </cell>
          <cell r="Z18">
            <v>0</v>
          </cell>
          <cell r="AA18">
            <v>0</v>
          </cell>
          <cell r="AB18">
            <v>4</v>
          </cell>
          <cell r="AC18">
            <v>10</v>
          </cell>
          <cell r="AD18">
            <v>22</v>
          </cell>
          <cell r="AE18">
            <v>15</v>
          </cell>
          <cell r="AF18">
            <v>0</v>
          </cell>
          <cell r="AG18">
            <v>0</v>
          </cell>
          <cell r="AH18">
            <v>0</v>
          </cell>
          <cell r="AI18">
            <v>179</v>
          </cell>
          <cell r="AJ18">
            <v>26</v>
          </cell>
          <cell r="AK18">
            <v>13</v>
          </cell>
        </row>
        <row r="19">
          <cell r="C19">
            <v>350124018</v>
          </cell>
          <cell r="D19">
            <v>37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16</v>
          </cell>
          <cell r="K19">
            <v>1</v>
          </cell>
          <cell r="L19">
            <v>20</v>
          </cell>
          <cell r="M19">
            <v>0</v>
          </cell>
          <cell r="N19">
            <v>0</v>
          </cell>
          <cell r="O19">
            <v>0</v>
          </cell>
          <cell r="P19">
            <v>24</v>
          </cell>
          <cell r="Q19">
            <v>27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9</v>
          </cell>
          <cell r="X19">
            <v>42</v>
          </cell>
          <cell r="Y19">
            <v>1</v>
          </cell>
          <cell r="Z19">
            <v>0</v>
          </cell>
          <cell r="AA19">
            <v>0</v>
          </cell>
          <cell r="AB19">
            <v>3</v>
          </cell>
          <cell r="AC19">
            <v>17</v>
          </cell>
          <cell r="AD19">
            <v>24</v>
          </cell>
          <cell r="AE19">
            <v>0</v>
          </cell>
          <cell r="AF19">
            <v>0</v>
          </cell>
          <cell r="AG19">
            <v>5</v>
          </cell>
          <cell r="AH19">
            <v>1</v>
          </cell>
          <cell r="AI19">
            <v>228</v>
          </cell>
          <cell r="AJ19">
            <v>42</v>
          </cell>
          <cell r="AK19">
            <v>15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11</v>
          </cell>
          <cell r="M20">
            <v>0</v>
          </cell>
          <cell r="N20">
            <v>0</v>
          </cell>
          <cell r="O20">
            <v>0</v>
          </cell>
          <cell r="P20">
            <v>10</v>
          </cell>
          <cell r="Q20">
            <v>7</v>
          </cell>
          <cell r="R20">
            <v>16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1</v>
          </cell>
          <cell r="X20">
            <v>36</v>
          </cell>
          <cell r="Y20">
            <v>0</v>
          </cell>
          <cell r="Z20">
            <v>8</v>
          </cell>
          <cell r="AA20">
            <v>0</v>
          </cell>
          <cell r="AB20">
            <v>1</v>
          </cell>
          <cell r="AC20">
            <v>24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114</v>
          </cell>
          <cell r="AJ20">
            <v>36</v>
          </cell>
          <cell r="AK20">
            <v>9</v>
          </cell>
        </row>
        <row r="21">
          <cell r="C21">
            <v>350124016</v>
          </cell>
          <cell r="D21">
            <v>19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4</v>
          </cell>
          <cell r="K21">
            <v>17</v>
          </cell>
          <cell r="L21">
            <v>9</v>
          </cell>
          <cell r="M21">
            <v>0</v>
          </cell>
          <cell r="N21">
            <v>10</v>
          </cell>
          <cell r="O21">
            <v>0</v>
          </cell>
          <cell r="P21">
            <v>3</v>
          </cell>
          <cell r="Q21">
            <v>19</v>
          </cell>
          <cell r="R21">
            <v>42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38</v>
          </cell>
          <cell r="Y21">
            <v>0</v>
          </cell>
          <cell r="Z21">
            <v>0</v>
          </cell>
          <cell r="AA21">
            <v>0</v>
          </cell>
          <cell r="AB21">
            <v>4</v>
          </cell>
          <cell r="AC21">
            <v>3</v>
          </cell>
          <cell r="AD21">
            <v>13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181</v>
          </cell>
          <cell r="AJ21">
            <v>42</v>
          </cell>
          <cell r="AK21">
            <v>12</v>
          </cell>
        </row>
        <row r="22">
          <cell r="C22">
            <v>350124015</v>
          </cell>
          <cell r="D22">
            <v>21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8</v>
          </cell>
          <cell r="M22">
            <v>0</v>
          </cell>
          <cell r="N22">
            <v>5</v>
          </cell>
          <cell r="O22">
            <v>0</v>
          </cell>
          <cell r="P22">
            <v>2</v>
          </cell>
          <cell r="Q22">
            <v>5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5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10</v>
          </cell>
          <cell r="AE22">
            <v>0</v>
          </cell>
          <cell r="AF22">
            <v>0</v>
          </cell>
          <cell r="AG22">
            <v>9</v>
          </cell>
          <cell r="AH22">
            <v>0</v>
          </cell>
          <cell r="AI22">
            <v>65</v>
          </cell>
          <cell r="AJ22">
            <v>21</v>
          </cell>
          <cell r="AK22">
            <v>8</v>
          </cell>
        </row>
        <row r="23">
          <cell r="C23">
            <v>350124014</v>
          </cell>
          <cell r="D23">
            <v>2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</v>
          </cell>
          <cell r="L23">
            <v>35</v>
          </cell>
          <cell r="M23">
            <v>0</v>
          </cell>
          <cell r="N23">
            <v>0</v>
          </cell>
          <cell r="O23">
            <v>4</v>
          </cell>
          <cell r="P23">
            <v>17</v>
          </cell>
          <cell r="Q23">
            <v>25</v>
          </cell>
          <cell r="R23">
            <v>0</v>
          </cell>
          <cell r="S23">
            <v>0</v>
          </cell>
          <cell r="T23">
            <v>0</v>
          </cell>
          <cell r="U23">
            <v>44</v>
          </cell>
          <cell r="V23">
            <v>32</v>
          </cell>
          <cell r="W23">
            <v>49</v>
          </cell>
          <cell r="X23">
            <v>2</v>
          </cell>
          <cell r="Y23">
            <v>5</v>
          </cell>
          <cell r="Z23">
            <v>2</v>
          </cell>
          <cell r="AA23">
            <v>6</v>
          </cell>
          <cell r="AB23">
            <v>0</v>
          </cell>
          <cell r="AC23">
            <v>0</v>
          </cell>
          <cell r="AD23">
            <v>4</v>
          </cell>
          <cell r="AE23">
            <v>0</v>
          </cell>
          <cell r="AF23">
            <v>0</v>
          </cell>
          <cell r="AG23">
            <v>1</v>
          </cell>
          <cell r="AH23">
            <v>0</v>
          </cell>
          <cell r="AI23">
            <v>232</v>
          </cell>
          <cell r="AJ23">
            <v>49</v>
          </cell>
          <cell r="AK23">
            <v>16</v>
          </cell>
        </row>
        <row r="24">
          <cell r="C24">
            <v>350124013</v>
          </cell>
          <cell r="D24">
            <v>2</v>
          </cell>
          <cell r="E24">
            <v>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4</v>
          </cell>
          <cell r="M24">
            <v>0</v>
          </cell>
          <cell r="N24">
            <v>0</v>
          </cell>
          <cell r="O24">
            <v>10</v>
          </cell>
          <cell r="P24">
            <v>23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4</v>
          </cell>
          <cell r="V24">
            <v>0</v>
          </cell>
          <cell r="W24">
            <v>3</v>
          </cell>
          <cell r="X24">
            <v>23</v>
          </cell>
          <cell r="Y24">
            <v>0</v>
          </cell>
          <cell r="Z24">
            <v>27</v>
          </cell>
          <cell r="AA24">
            <v>17</v>
          </cell>
          <cell r="AB24">
            <v>2</v>
          </cell>
          <cell r="AC24">
            <v>2</v>
          </cell>
          <cell r="AD24">
            <v>0</v>
          </cell>
          <cell r="AE24">
            <v>0</v>
          </cell>
          <cell r="AF24">
            <v>0</v>
          </cell>
          <cell r="AG24">
            <v>10</v>
          </cell>
          <cell r="AH24">
            <v>0</v>
          </cell>
          <cell r="AI24">
            <v>132</v>
          </cell>
          <cell r="AJ24">
            <v>27</v>
          </cell>
          <cell r="AK24">
            <v>13</v>
          </cell>
        </row>
        <row r="25">
          <cell r="C25">
            <v>350124012</v>
          </cell>
          <cell r="D25">
            <v>48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</v>
          </cell>
          <cell r="K25">
            <v>0</v>
          </cell>
          <cell r="L25">
            <v>79</v>
          </cell>
          <cell r="M25">
            <v>0</v>
          </cell>
          <cell r="N25">
            <v>2</v>
          </cell>
          <cell r="O25">
            <v>0</v>
          </cell>
          <cell r="P25">
            <v>23</v>
          </cell>
          <cell r="Q25">
            <v>5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</v>
          </cell>
          <cell r="W25">
            <v>17</v>
          </cell>
          <cell r="X25">
            <v>0</v>
          </cell>
          <cell r="Y25">
            <v>11</v>
          </cell>
          <cell r="Z25">
            <v>0</v>
          </cell>
          <cell r="AA25">
            <v>0</v>
          </cell>
          <cell r="AB25">
            <v>0</v>
          </cell>
          <cell r="AC25">
            <v>2</v>
          </cell>
          <cell r="AD25">
            <v>48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241</v>
          </cell>
          <cell r="AJ25">
            <v>79</v>
          </cell>
          <cell r="AK25">
            <v>11</v>
          </cell>
        </row>
        <row r="26">
          <cell r="C26">
            <v>350124011</v>
          </cell>
          <cell r="D26">
            <v>54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22</v>
          </cell>
          <cell r="K26">
            <v>5</v>
          </cell>
          <cell r="L26">
            <v>11</v>
          </cell>
          <cell r="M26">
            <v>0</v>
          </cell>
          <cell r="N26">
            <v>0</v>
          </cell>
          <cell r="O26">
            <v>0</v>
          </cell>
          <cell r="P26">
            <v>32</v>
          </cell>
          <cell r="Q26">
            <v>9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5</v>
          </cell>
          <cell r="X26">
            <v>19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15</v>
          </cell>
          <cell r="AD26">
            <v>14</v>
          </cell>
          <cell r="AE26">
            <v>0</v>
          </cell>
          <cell r="AF26">
            <v>0</v>
          </cell>
          <cell r="AG26">
            <v>4</v>
          </cell>
          <cell r="AH26">
            <v>0</v>
          </cell>
          <cell r="AI26">
            <v>190</v>
          </cell>
          <cell r="AJ26">
            <v>54</v>
          </cell>
          <cell r="AK26">
            <v>11</v>
          </cell>
        </row>
        <row r="27">
          <cell r="C27">
            <v>350124010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48</v>
          </cell>
          <cell r="K27">
            <v>0</v>
          </cell>
          <cell r="L27">
            <v>38</v>
          </cell>
          <cell r="M27">
            <v>0</v>
          </cell>
          <cell r="N27">
            <v>0</v>
          </cell>
          <cell r="O27">
            <v>0</v>
          </cell>
          <cell r="P27">
            <v>3</v>
          </cell>
          <cell r="Q27">
            <v>2</v>
          </cell>
          <cell r="R27">
            <v>3</v>
          </cell>
          <cell r="S27">
            <v>1</v>
          </cell>
          <cell r="T27">
            <v>0</v>
          </cell>
          <cell r="U27">
            <v>0</v>
          </cell>
          <cell r="V27">
            <v>5</v>
          </cell>
          <cell r="W27">
            <v>2</v>
          </cell>
          <cell r="X27">
            <v>5</v>
          </cell>
          <cell r="Y27">
            <v>2</v>
          </cell>
          <cell r="Z27">
            <v>22</v>
          </cell>
          <cell r="AA27">
            <v>16</v>
          </cell>
          <cell r="AB27">
            <v>5</v>
          </cell>
          <cell r="AC27">
            <v>16</v>
          </cell>
          <cell r="AD27">
            <v>0</v>
          </cell>
          <cell r="AE27">
            <v>0</v>
          </cell>
          <cell r="AF27">
            <v>0</v>
          </cell>
          <cell r="AG27">
            <v>4</v>
          </cell>
          <cell r="AH27">
            <v>0</v>
          </cell>
          <cell r="AI27">
            <v>172</v>
          </cell>
          <cell r="AJ27">
            <v>48</v>
          </cell>
          <cell r="AK27">
            <v>15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0</v>
          </cell>
          <cell r="G28">
            <v>13</v>
          </cell>
          <cell r="H28">
            <v>0</v>
          </cell>
          <cell r="I28">
            <v>0</v>
          </cell>
          <cell r="J28">
            <v>0</v>
          </cell>
          <cell r="K28">
            <v>2</v>
          </cell>
          <cell r="L28">
            <v>52</v>
          </cell>
          <cell r="M28">
            <v>0</v>
          </cell>
          <cell r="N28">
            <v>0</v>
          </cell>
          <cell r="O28">
            <v>0</v>
          </cell>
          <cell r="P28">
            <v>18</v>
          </cell>
          <cell r="Q28">
            <v>10</v>
          </cell>
          <cell r="R28">
            <v>12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9</v>
          </cell>
          <cell r="X28">
            <v>16</v>
          </cell>
          <cell r="Y28">
            <v>0</v>
          </cell>
          <cell r="Z28">
            <v>6</v>
          </cell>
          <cell r="AA28">
            <v>0</v>
          </cell>
          <cell r="AB28">
            <v>0</v>
          </cell>
          <cell r="AC28">
            <v>44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182</v>
          </cell>
          <cell r="AJ28">
            <v>52</v>
          </cell>
          <cell r="AK28">
            <v>10</v>
          </cell>
        </row>
        <row r="29">
          <cell r="C29">
            <v>350124008</v>
          </cell>
          <cell r="D29">
            <v>25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22</v>
          </cell>
          <cell r="K29">
            <v>0</v>
          </cell>
          <cell r="L29">
            <v>26</v>
          </cell>
          <cell r="M29">
            <v>0</v>
          </cell>
          <cell r="N29">
            <v>0</v>
          </cell>
          <cell r="O29">
            <v>0</v>
          </cell>
          <cell r="P29">
            <v>16</v>
          </cell>
          <cell r="Q29">
            <v>4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</v>
          </cell>
          <cell r="X29">
            <v>4</v>
          </cell>
          <cell r="Y29">
            <v>0</v>
          </cell>
          <cell r="Z29">
            <v>0</v>
          </cell>
          <cell r="AA29">
            <v>0</v>
          </cell>
          <cell r="AB29">
            <v>1</v>
          </cell>
          <cell r="AC29">
            <v>1</v>
          </cell>
          <cell r="AD29">
            <v>28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131</v>
          </cell>
          <cell r="AJ29">
            <v>28</v>
          </cell>
          <cell r="AK29">
            <v>10</v>
          </cell>
        </row>
        <row r="30">
          <cell r="C30">
            <v>350124007</v>
          </cell>
          <cell r="D30">
            <v>8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37</v>
          </cell>
          <cell r="K30">
            <v>8</v>
          </cell>
          <cell r="L30">
            <v>4</v>
          </cell>
          <cell r="M30">
            <v>0</v>
          </cell>
          <cell r="N30">
            <v>0</v>
          </cell>
          <cell r="O30">
            <v>0</v>
          </cell>
          <cell r="P30">
            <v>18</v>
          </cell>
          <cell r="Q30">
            <v>28</v>
          </cell>
          <cell r="R30">
            <v>5</v>
          </cell>
          <cell r="S30">
            <v>4</v>
          </cell>
          <cell r="T30">
            <v>0</v>
          </cell>
          <cell r="U30">
            <v>0</v>
          </cell>
          <cell r="V30">
            <v>0</v>
          </cell>
          <cell r="W30">
            <v>11</v>
          </cell>
          <cell r="X30">
            <v>23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55</v>
          </cell>
          <cell r="AD30">
            <v>13</v>
          </cell>
          <cell r="AE30">
            <v>0</v>
          </cell>
          <cell r="AF30">
            <v>0</v>
          </cell>
          <cell r="AG30">
            <v>4</v>
          </cell>
          <cell r="AH30">
            <v>0</v>
          </cell>
          <cell r="AI30">
            <v>218</v>
          </cell>
          <cell r="AJ30">
            <v>55</v>
          </cell>
          <cell r="AK30">
            <v>13</v>
          </cell>
        </row>
        <row r="31">
          <cell r="C31">
            <v>350124006</v>
          </cell>
          <cell r="D31">
            <v>22</v>
          </cell>
          <cell r="E31">
            <v>0</v>
          </cell>
          <cell r="F31">
            <v>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98</v>
          </cell>
          <cell r="M31">
            <v>0</v>
          </cell>
          <cell r="N31">
            <v>0</v>
          </cell>
          <cell r="O31">
            <v>0</v>
          </cell>
          <cell r="P31">
            <v>11</v>
          </cell>
          <cell r="Q31">
            <v>10</v>
          </cell>
          <cell r="R31">
            <v>0</v>
          </cell>
          <cell r="S31">
            <v>2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10</v>
          </cell>
          <cell r="Y31">
            <v>13</v>
          </cell>
          <cell r="Z31">
            <v>0</v>
          </cell>
          <cell r="AA31">
            <v>0</v>
          </cell>
          <cell r="AB31">
            <v>0</v>
          </cell>
          <cell r="AC31">
            <v>29</v>
          </cell>
          <cell r="AD31">
            <v>1</v>
          </cell>
          <cell r="AE31">
            <v>0</v>
          </cell>
          <cell r="AF31">
            <v>0</v>
          </cell>
          <cell r="AG31">
            <v>9</v>
          </cell>
          <cell r="AH31">
            <v>0</v>
          </cell>
          <cell r="AI31">
            <v>213</v>
          </cell>
          <cell r="AJ31">
            <v>98</v>
          </cell>
          <cell r="AK31">
            <v>11</v>
          </cell>
        </row>
        <row r="32">
          <cell r="C32">
            <v>350124005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5</v>
          </cell>
          <cell r="L32">
            <v>48</v>
          </cell>
          <cell r="M32">
            <v>0</v>
          </cell>
          <cell r="N32">
            <v>0</v>
          </cell>
          <cell r="O32">
            <v>0</v>
          </cell>
          <cell r="P32">
            <v>8</v>
          </cell>
          <cell r="Q32">
            <v>15</v>
          </cell>
          <cell r="R32">
            <v>10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24</v>
          </cell>
          <cell r="Y32">
            <v>0</v>
          </cell>
          <cell r="Z32">
            <v>5</v>
          </cell>
          <cell r="AA32">
            <v>0</v>
          </cell>
          <cell r="AB32">
            <v>0</v>
          </cell>
          <cell r="AC32">
            <v>30</v>
          </cell>
          <cell r="AD32">
            <v>7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152</v>
          </cell>
          <cell r="AJ32">
            <v>48</v>
          </cell>
          <cell r="AK32">
            <v>9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36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2</v>
          </cell>
          <cell r="X33">
            <v>35</v>
          </cell>
          <cell r="Y33">
            <v>0</v>
          </cell>
          <cell r="Z33">
            <v>28</v>
          </cell>
          <cell r="AA33">
            <v>25</v>
          </cell>
          <cell r="AB33">
            <v>16</v>
          </cell>
          <cell r="AC33">
            <v>13</v>
          </cell>
          <cell r="AD33">
            <v>0</v>
          </cell>
          <cell r="AE33">
            <v>12</v>
          </cell>
          <cell r="AF33">
            <v>0</v>
          </cell>
          <cell r="AG33">
            <v>0</v>
          </cell>
          <cell r="AH33">
            <v>0</v>
          </cell>
          <cell r="AI33">
            <v>167</v>
          </cell>
          <cell r="AJ33">
            <v>36</v>
          </cell>
          <cell r="AK33">
            <v>8</v>
          </cell>
        </row>
        <row r="34">
          <cell r="C34">
            <v>350124003</v>
          </cell>
          <cell r="D34">
            <v>16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12</v>
          </cell>
          <cell r="J34">
            <v>23</v>
          </cell>
          <cell r="K34">
            <v>9</v>
          </cell>
          <cell r="L34">
            <v>6</v>
          </cell>
          <cell r="M34">
            <v>0</v>
          </cell>
          <cell r="N34">
            <v>0</v>
          </cell>
          <cell r="O34">
            <v>0</v>
          </cell>
          <cell r="P34">
            <v>12</v>
          </cell>
          <cell r="Q34">
            <v>6</v>
          </cell>
          <cell r="R34">
            <v>9</v>
          </cell>
          <cell r="S34">
            <v>12</v>
          </cell>
          <cell r="T34">
            <v>0</v>
          </cell>
          <cell r="U34">
            <v>2</v>
          </cell>
          <cell r="V34">
            <v>0</v>
          </cell>
          <cell r="W34">
            <v>5</v>
          </cell>
          <cell r="X34">
            <v>15</v>
          </cell>
          <cell r="Y34">
            <v>0</v>
          </cell>
          <cell r="Z34">
            <v>0</v>
          </cell>
          <cell r="AA34">
            <v>0</v>
          </cell>
          <cell r="AB34">
            <v>2</v>
          </cell>
          <cell r="AC34">
            <v>20</v>
          </cell>
          <cell r="AD34">
            <v>9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158</v>
          </cell>
          <cell r="AJ34">
            <v>23</v>
          </cell>
          <cell r="AK34">
            <v>15</v>
          </cell>
        </row>
        <row r="35">
          <cell r="C35">
            <v>350124002</v>
          </cell>
          <cell r="D35">
            <v>1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</v>
          </cell>
          <cell r="M35">
            <v>0</v>
          </cell>
          <cell r="N35">
            <v>0</v>
          </cell>
          <cell r="O35">
            <v>0</v>
          </cell>
          <cell r="P35">
            <v>8</v>
          </cell>
          <cell r="Q35">
            <v>16</v>
          </cell>
          <cell r="R35">
            <v>3</v>
          </cell>
          <cell r="S35">
            <v>0</v>
          </cell>
          <cell r="T35">
            <v>0</v>
          </cell>
          <cell r="U35">
            <v>0</v>
          </cell>
          <cell r="V35">
            <v>30</v>
          </cell>
          <cell r="W35">
            <v>11</v>
          </cell>
          <cell r="X35">
            <v>13</v>
          </cell>
          <cell r="Y35">
            <v>8</v>
          </cell>
          <cell r="Z35">
            <v>15</v>
          </cell>
          <cell r="AA35">
            <v>1</v>
          </cell>
          <cell r="AB35">
            <v>0</v>
          </cell>
          <cell r="AC35">
            <v>11</v>
          </cell>
          <cell r="AD35">
            <v>1</v>
          </cell>
          <cell r="AE35">
            <v>0</v>
          </cell>
          <cell r="AF35">
            <v>0</v>
          </cell>
          <cell r="AG35">
            <v>9</v>
          </cell>
          <cell r="AH35">
            <v>0</v>
          </cell>
          <cell r="AI35">
            <v>136</v>
          </cell>
          <cell r="AJ35">
            <v>30</v>
          </cell>
          <cell r="AK35">
            <v>14</v>
          </cell>
        </row>
        <row r="36">
          <cell r="C36">
            <v>350124001</v>
          </cell>
          <cell r="D36">
            <v>0</v>
          </cell>
          <cell r="E36">
            <v>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</v>
          </cell>
          <cell r="K36">
            <v>1</v>
          </cell>
          <cell r="L36">
            <v>30</v>
          </cell>
          <cell r="M36">
            <v>0</v>
          </cell>
          <cell r="N36">
            <v>1</v>
          </cell>
          <cell r="O36">
            <v>0</v>
          </cell>
          <cell r="P36">
            <v>2</v>
          </cell>
          <cell r="Q36">
            <v>31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5</v>
          </cell>
          <cell r="X36">
            <v>27</v>
          </cell>
          <cell r="Y36">
            <v>3</v>
          </cell>
          <cell r="Z36">
            <v>0</v>
          </cell>
          <cell r="AA36">
            <v>0</v>
          </cell>
          <cell r="AB36">
            <v>0</v>
          </cell>
          <cell r="AC36">
            <v>14</v>
          </cell>
          <cell r="AD36">
            <v>53</v>
          </cell>
          <cell r="AE36">
            <v>0</v>
          </cell>
          <cell r="AF36">
            <v>0</v>
          </cell>
          <cell r="AG36">
            <v>15</v>
          </cell>
          <cell r="AH36">
            <v>0</v>
          </cell>
          <cell r="AI36">
            <v>185</v>
          </cell>
          <cell r="AJ36">
            <v>53</v>
          </cell>
          <cell r="AK36">
            <v>13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27</v>
          </cell>
          <cell r="M37">
            <v>0</v>
          </cell>
          <cell r="N37">
            <v>0</v>
          </cell>
          <cell r="O37">
            <v>0</v>
          </cell>
          <cell r="P37">
            <v>1</v>
          </cell>
          <cell r="Q37">
            <v>15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</v>
          </cell>
          <cell r="X37">
            <v>21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43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110</v>
          </cell>
          <cell r="AJ37">
            <v>43</v>
          </cell>
          <cell r="AK37">
            <v>7</v>
          </cell>
        </row>
        <row r="38">
          <cell r="C38">
            <v>350123036</v>
          </cell>
          <cell r="D38">
            <v>2</v>
          </cell>
          <cell r="E38">
            <v>0</v>
          </cell>
          <cell r="F38">
            <v>0</v>
          </cell>
          <cell r="G38">
            <v>2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31</v>
          </cell>
          <cell r="M38">
            <v>0</v>
          </cell>
          <cell r="N38">
            <v>0</v>
          </cell>
          <cell r="O38">
            <v>0</v>
          </cell>
          <cell r="P38">
            <v>2</v>
          </cell>
          <cell r="Q38">
            <v>3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6</v>
          </cell>
          <cell r="W38">
            <v>15</v>
          </cell>
          <cell r="X38">
            <v>93</v>
          </cell>
          <cell r="Y38">
            <v>4</v>
          </cell>
          <cell r="Z38">
            <v>17</v>
          </cell>
          <cell r="AA38">
            <v>0</v>
          </cell>
          <cell r="AB38">
            <v>0</v>
          </cell>
          <cell r="AC38">
            <v>9</v>
          </cell>
          <cell r="AD38">
            <v>2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186</v>
          </cell>
          <cell r="AJ38">
            <v>93</v>
          </cell>
          <cell r="AK38">
            <v>12</v>
          </cell>
        </row>
        <row r="39">
          <cell r="C39">
            <v>350123035</v>
          </cell>
          <cell r="D39">
            <v>0</v>
          </cell>
          <cell r="E39">
            <v>0</v>
          </cell>
          <cell r="F39">
            <v>2</v>
          </cell>
          <cell r="G39">
            <v>0</v>
          </cell>
          <cell r="H39">
            <v>69</v>
          </cell>
          <cell r="I39">
            <v>55</v>
          </cell>
          <cell r="J39">
            <v>73</v>
          </cell>
          <cell r="K39">
            <v>0</v>
          </cell>
          <cell r="L39">
            <v>115</v>
          </cell>
          <cell r="M39">
            <v>0</v>
          </cell>
          <cell r="N39">
            <v>0</v>
          </cell>
          <cell r="O39">
            <v>143</v>
          </cell>
          <cell r="P39">
            <v>0</v>
          </cell>
          <cell r="Q39">
            <v>29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44</v>
          </cell>
          <cell r="X39">
            <v>21</v>
          </cell>
          <cell r="Y39">
            <v>0</v>
          </cell>
          <cell r="Z39">
            <v>4</v>
          </cell>
          <cell r="AA39">
            <v>0</v>
          </cell>
          <cell r="AB39">
            <v>36</v>
          </cell>
          <cell r="AC39">
            <v>67</v>
          </cell>
          <cell r="AD39">
            <v>2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660</v>
          </cell>
          <cell r="AJ39">
            <v>143</v>
          </cell>
          <cell r="AK39">
            <v>13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0</v>
          </cell>
          <cell r="J40">
            <v>9</v>
          </cell>
          <cell r="K40">
            <v>0</v>
          </cell>
          <cell r="L40">
            <v>25</v>
          </cell>
          <cell r="M40">
            <v>0</v>
          </cell>
          <cell r="N40">
            <v>0</v>
          </cell>
          <cell r="O40">
            <v>0</v>
          </cell>
          <cell r="P40">
            <v>5</v>
          </cell>
          <cell r="Q40">
            <v>36</v>
          </cell>
          <cell r="R40">
            <v>3</v>
          </cell>
          <cell r="S40">
            <v>0</v>
          </cell>
          <cell r="T40">
            <v>0</v>
          </cell>
          <cell r="U40">
            <v>0</v>
          </cell>
          <cell r="V40">
            <v>5</v>
          </cell>
          <cell r="W40">
            <v>15</v>
          </cell>
          <cell r="X40">
            <v>42</v>
          </cell>
          <cell r="Y40">
            <v>1</v>
          </cell>
          <cell r="Z40">
            <v>0</v>
          </cell>
          <cell r="AA40">
            <v>15</v>
          </cell>
          <cell r="AB40">
            <v>0</v>
          </cell>
          <cell r="AC40">
            <v>82</v>
          </cell>
          <cell r="AD40">
            <v>1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241</v>
          </cell>
          <cell r="AJ40">
            <v>82</v>
          </cell>
          <cell r="AK40">
            <v>13</v>
          </cell>
        </row>
        <row r="41">
          <cell r="C41">
            <v>350123033</v>
          </cell>
          <cell r="D41">
            <v>0</v>
          </cell>
          <cell r="E41">
            <v>0</v>
          </cell>
          <cell r="F41">
            <v>11.5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8</v>
          </cell>
          <cell r="Q41">
            <v>10.5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44</v>
          </cell>
          <cell r="X41">
            <v>20.5</v>
          </cell>
          <cell r="Y41">
            <v>3</v>
          </cell>
          <cell r="Z41">
            <v>0</v>
          </cell>
          <cell r="AA41">
            <v>0</v>
          </cell>
          <cell r="AB41">
            <v>0</v>
          </cell>
          <cell r="AC41">
            <v>14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111.5</v>
          </cell>
          <cell r="AJ41">
            <v>44</v>
          </cell>
          <cell r="AK41">
            <v>7</v>
          </cell>
        </row>
        <row r="42">
          <cell r="C42">
            <v>350123032</v>
          </cell>
          <cell r="D42">
            <v>5</v>
          </cell>
          <cell r="E42">
            <v>4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145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47</v>
          </cell>
          <cell r="R42">
            <v>0</v>
          </cell>
          <cell r="S42">
            <v>0</v>
          </cell>
          <cell r="T42">
            <v>0</v>
          </cell>
          <cell r="U42">
            <v>7</v>
          </cell>
          <cell r="V42">
            <v>0</v>
          </cell>
          <cell r="W42">
            <v>12</v>
          </cell>
          <cell r="X42">
            <v>45</v>
          </cell>
          <cell r="Y42">
            <v>0</v>
          </cell>
          <cell r="Z42">
            <v>0</v>
          </cell>
          <cell r="AA42">
            <v>0</v>
          </cell>
          <cell r="AB42">
            <v>24</v>
          </cell>
          <cell r="AC42">
            <v>74</v>
          </cell>
          <cell r="AD42">
            <v>0</v>
          </cell>
          <cell r="AE42">
            <v>0</v>
          </cell>
          <cell r="AF42">
            <v>3</v>
          </cell>
          <cell r="AG42">
            <v>0</v>
          </cell>
          <cell r="AH42">
            <v>0</v>
          </cell>
          <cell r="AI42">
            <v>366</v>
          </cell>
          <cell r="AJ42">
            <v>145</v>
          </cell>
          <cell r="AK42">
            <v>10</v>
          </cell>
        </row>
        <row r="43">
          <cell r="C43">
            <v>350123031</v>
          </cell>
          <cell r="D43">
            <v>0</v>
          </cell>
          <cell r="E43">
            <v>0</v>
          </cell>
          <cell r="F43">
            <v>20</v>
          </cell>
          <cell r="G43">
            <v>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32</v>
          </cell>
          <cell r="M43">
            <v>0</v>
          </cell>
          <cell r="N43">
            <v>0</v>
          </cell>
          <cell r="O43">
            <v>0</v>
          </cell>
          <cell r="P43">
            <v>4</v>
          </cell>
          <cell r="Q43">
            <v>15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23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13</v>
          </cell>
          <cell r="AD43">
            <v>40</v>
          </cell>
          <cell r="AE43">
            <v>0</v>
          </cell>
          <cell r="AF43">
            <v>0</v>
          </cell>
          <cell r="AG43">
            <v>20</v>
          </cell>
          <cell r="AH43">
            <v>0</v>
          </cell>
          <cell r="AI43">
            <v>175</v>
          </cell>
          <cell r="AJ43">
            <v>40</v>
          </cell>
          <cell r="AK43">
            <v>9</v>
          </cell>
        </row>
        <row r="44">
          <cell r="C44">
            <v>350123030</v>
          </cell>
          <cell r="D44">
            <v>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6</v>
          </cell>
          <cell r="J44">
            <v>12</v>
          </cell>
          <cell r="K44">
            <v>15</v>
          </cell>
          <cell r="L44">
            <v>17</v>
          </cell>
          <cell r="M44">
            <v>0</v>
          </cell>
          <cell r="N44">
            <v>0</v>
          </cell>
          <cell r="O44">
            <v>5</v>
          </cell>
          <cell r="P44">
            <v>0</v>
          </cell>
          <cell r="Q44">
            <v>0</v>
          </cell>
          <cell r="R44">
            <v>0</v>
          </cell>
          <cell r="S44">
            <v>11</v>
          </cell>
          <cell r="T44">
            <v>0</v>
          </cell>
          <cell r="U44">
            <v>0</v>
          </cell>
          <cell r="V44">
            <v>0</v>
          </cell>
          <cell r="W44">
            <v>27</v>
          </cell>
          <cell r="X44">
            <v>57</v>
          </cell>
          <cell r="Y44">
            <v>4</v>
          </cell>
          <cell r="Z44">
            <v>23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184</v>
          </cell>
          <cell r="AJ44">
            <v>57</v>
          </cell>
          <cell r="AK44">
            <v>11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17</v>
          </cell>
          <cell r="M45">
            <v>0</v>
          </cell>
          <cell r="N45">
            <v>0</v>
          </cell>
          <cell r="O45">
            <v>0</v>
          </cell>
          <cell r="P45">
            <v>1</v>
          </cell>
          <cell r="Q45">
            <v>7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25</v>
          </cell>
          <cell r="X45">
            <v>91</v>
          </cell>
          <cell r="Y45">
            <v>0</v>
          </cell>
          <cell r="Z45">
            <v>21</v>
          </cell>
          <cell r="AA45">
            <v>0</v>
          </cell>
          <cell r="AB45">
            <v>0</v>
          </cell>
          <cell r="AC45">
            <v>8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170</v>
          </cell>
          <cell r="AJ45">
            <v>91</v>
          </cell>
          <cell r="AK45">
            <v>7</v>
          </cell>
        </row>
        <row r="46">
          <cell r="C46">
            <v>350123028</v>
          </cell>
          <cell r="D46">
            <v>9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3</v>
          </cell>
          <cell r="L46">
            <v>24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7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8</v>
          </cell>
          <cell r="X46">
            <v>80</v>
          </cell>
          <cell r="Y46">
            <v>2</v>
          </cell>
          <cell r="Z46">
            <v>29</v>
          </cell>
          <cell r="AA46">
            <v>0</v>
          </cell>
          <cell r="AB46">
            <v>0</v>
          </cell>
          <cell r="AC46">
            <v>15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177</v>
          </cell>
          <cell r="AJ46">
            <v>80</v>
          </cell>
          <cell r="AK46">
            <v>9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7</v>
          </cell>
          <cell r="G47">
            <v>0</v>
          </cell>
          <cell r="H47">
            <v>16</v>
          </cell>
          <cell r="I47">
            <v>0</v>
          </cell>
          <cell r="J47">
            <v>0</v>
          </cell>
          <cell r="K47">
            <v>0</v>
          </cell>
          <cell r="L47">
            <v>47</v>
          </cell>
          <cell r="M47">
            <v>33</v>
          </cell>
          <cell r="N47">
            <v>0</v>
          </cell>
          <cell r="O47">
            <v>0</v>
          </cell>
          <cell r="P47">
            <v>0</v>
          </cell>
          <cell r="Q47">
            <v>29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27</v>
          </cell>
          <cell r="X47">
            <v>9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21</v>
          </cell>
          <cell r="AD47">
            <v>6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195</v>
          </cell>
          <cell r="AJ47">
            <v>47</v>
          </cell>
          <cell r="AK47">
            <v>9</v>
          </cell>
        </row>
        <row r="48">
          <cell r="C48">
            <v>350123026</v>
          </cell>
          <cell r="D48">
            <v>0</v>
          </cell>
          <cell r="E48">
            <v>5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35</v>
          </cell>
          <cell r="M48">
            <v>0</v>
          </cell>
          <cell r="N48">
            <v>6</v>
          </cell>
          <cell r="O48">
            <v>0</v>
          </cell>
          <cell r="P48">
            <v>1</v>
          </cell>
          <cell r="Q48">
            <v>11</v>
          </cell>
          <cell r="R48">
            <v>0</v>
          </cell>
          <cell r="S48">
            <v>8</v>
          </cell>
          <cell r="T48">
            <v>0</v>
          </cell>
          <cell r="U48">
            <v>0</v>
          </cell>
          <cell r="V48">
            <v>0</v>
          </cell>
          <cell r="W48">
            <v>8</v>
          </cell>
          <cell r="X48">
            <v>3</v>
          </cell>
          <cell r="Y48">
            <v>0</v>
          </cell>
          <cell r="Z48">
            <v>0</v>
          </cell>
          <cell r="AA48">
            <v>11</v>
          </cell>
          <cell r="AB48">
            <v>14</v>
          </cell>
          <cell r="AC48">
            <v>8</v>
          </cell>
          <cell r="AD48">
            <v>18</v>
          </cell>
          <cell r="AE48">
            <v>0</v>
          </cell>
          <cell r="AF48">
            <v>2</v>
          </cell>
          <cell r="AG48">
            <v>0</v>
          </cell>
          <cell r="AH48">
            <v>0</v>
          </cell>
          <cell r="AI48">
            <v>130</v>
          </cell>
          <cell r="AJ48">
            <v>35</v>
          </cell>
          <cell r="AK48">
            <v>13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22</v>
          </cell>
          <cell r="S49">
            <v>12</v>
          </cell>
          <cell r="T49">
            <v>0</v>
          </cell>
          <cell r="U49">
            <v>0</v>
          </cell>
          <cell r="V49">
            <v>0</v>
          </cell>
          <cell r="W49">
            <v>50</v>
          </cell>
          <cell r="X49">
            <v>80</v>
          </cell>
          <cell r="Y49">
            <v>5</v>
          </cell>
          <cell r="Z49">
            <v>0</v>
          </cell>
          <cell r="AA49">
            <v>0</v>
          </cell>
          <cell r="AB49">
            <v>0</v>
          </cell>
          <cell r="AC49">
            <v>16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223</v>
          </cell>
          <cell r="AJ49">
            <v>80</v>
          </cell>
          <cell r="AK49">
            <v>7</v>
          </cell>
        </row>
        <row r="50">
          <cell r="C50">
            <v>350123024</v>
          </cell>
          <cell r="D50">
            <v>0</v>
          </cell>
          <cell r="E50">
            <v>2</v>
          </cell>
          <cell r="F50">
            <v>0</v>
          </cell>
          <cell r="G50">
            <v>2</v>
          </cell>
          <cell r="H50">
            <v>0</v>
          </cell>
          <cell r="I50">
            <v>0</v>
          </cell>
          <cell r="J50">
            <v>32.5</v>
          </cell>
          <cell r="K50">
            <v>2.5</v>
          </cell>
          <cell r="L50">
            <v>110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29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10.5</v>
          </cell>
          <cell r="X50">
            <v>8</v>
          </cell>
          <cell r="Y50">
            <v>0</v>
          </cell>
          <cell r="Z50">
            <v>9</v>
          </cell>
          <cell r="AA50">
            <v>0</v>
          </cell>
          <cell r="AB50">
            <v>2.5</v>
          </cell>
          <cell r="AC50">
            <v>7</v>
          </cell>
          <cell r="AD50">
            <v>16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233</v>
          </cell>
          <cell r="AJ50">
            <v>110</v>
          </cell>
          <cell r="AK50">
            <v>13</v>
          </cell>
        </row>
        <row r="51">
          <cell r="C51">
            <v>350123023</v>
          </cell>
          <cell r="D51">
            <v>4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10</v>
          </cell>
          <cell r="K51">
            <v>12</v>
          </cell>
          <cell r="L51">
            <v>3</v>
          </cell>
          <cell r="M51">
            <v>9</v>
          </cell>
          <cell r="N51">
            <v>0</v>
          </cell>
          <cell r="O51">
            <v>11</v>
          </cell>
          <cell r="P51">
            <v>0</v>
          </cell>
          <cell r="Q51">
            <v>0</v>
          </cell>
          <cell r="R51">
            <v>0</v>
          </cell>
          <cell r="S51">
            <v>23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45</v>
          </cell>
          <cell r="Y51">
            <v>0</v>
          </cell>
          <cell r="Z51">
            <v>6</v>
          </cell>
          <cell r="AA51">
            <v>0</v>
          </cell>
          <cell r="AB51">
            <v>0</v>
          </cell>
          <cell r="AC51">
            <v>4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127</v>
          </cell>
          <cell r="AJ51">
            <v>45</v>
          </cell>
          <cell r="AK51">
            <v>10</v>
          </cell>
        </row>
        <row r="52">
          <cell r="C52">
            <v>350123022</v>
          </cell>
          <cell r="D52">
            <v>0</v>
          </cell>
          <cell r="E52">
            <v>13</v>
          </cell>
          <cell r="F52">
            <v>0</v>
          </cell>
          <cell r="G52">
            <v>1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6</v>
          </cell>
          <cell r="M52">
            <v>0</v>
          </cell>
          <cell r="N52">
            <v>0</v>
          </cell>
          <cell r="O52">
            <v>0</v>
          </cell>
          <cell r="P52">
            <v>17</v>
          </cell>
          <cell r="Q52">
            <v>4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25</v>
          </cell>
          <cell r="X52">
            <v>14</v>
          </cell>
          <cell r="Y52">
            <v>12</v>
          </cell>
          <cell r="Z52">
            <v>0</v>
          </cell>
          <cell r="AA52">
            <v>0</v>
          </cell>
          <cell r="AB52">
            <v>7</v>
          </cell>
          <cell r="AC52">
            <v>4</v>
          </cell>
          <cell r="AD52">
            <v>5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108</v>
          </cell>
          <cell r="AJ52">
            <v>25</v>
          </cell>
          <cell r="AK52">
            <v>11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28</v>
          </cell>
          <cell r="I53">
            <v>0</v>
          </cell>
          <cell r="J53">
            <v>14</v>
          </cell>
          <cell r="K53">
            <v>0</v>
          </cell>
          <cell r="L53">
            <v>72</v>
          </cell>
          <cell r="M53">
            <v>0</v>
          </cell>
          <cell r="N53">
            <v>0</v>
          </cell>
          <cell r="O53">
            <v>2</v>
          </cell>
          <cell r="P53">
            <v>0</v>
          </cell>
          <cell r="Q53">
            <v>18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2</v>
          </cell>
          <cell r="X53">
            <v>5</v>
          </cell>
          <cell r="Y53">
            <v>9</v>
          </cell>
          <cell r="Z53">
            <v>0</v>
          </cell>
          <cell r="AA53">
            <v>0</v>
          </cell>
          <cell r="AB53">
            <v>0</v>
          </cell>
          <cell r="AC53">
            <v>12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162</v>
          </cell>
          <cell r="AJ53">
            <v>72</v>
          </cell>
          <cell r="AK53">
            <v>9</v>
          </cell>
        </row>
        <row r="54">
          <cell r="C54">
            <v>350123020</v>
          </cell>
          <cell r="D54">
            <v>1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2</v>
          </cell>
          <cell r="L54">
            <v>4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25</v>
          </cell>
          <cell r="S54">
            <v>26</v>
          </cell>
          <cell r="T54">
            <v>0</v>
          </cell>
          <cell r="U54">
            <v>0</v>
          </cell>
          <cell r="V54">
            <v>0</v>
          </cell>
          <cell r="W54">
            <v>23</v>
          </cell>
          <cell r="X54">
            <v>52</v>
          </cell>
          <cell r="Y54">
            <v>12</v>
          </cell>
          <cell r="Z54">
            <v>4</v>
          </cell>
          <cell r="AA54">
            <v>0</v>
          </cell>
          <cell r="AB54">
            <v>0</v>
          </cell>
          <cell r="AC54">
            <v>3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152</v>
          </cell>
          <cell r="AJ54">
            <v>52</v>
          </cell>
          <cell r="AK54">
            <v>10</v>
          </cell>
        </row>
        <row r="55">
          <cell r="C55">
            <v>350123019</v>
          </cell>
          <cell r="D55">
            <v>0</v>
          </cell>
          <cell r="E55">
            <v>9.5</v>
          </cell>
          <cell r="F55">
            <v>5.5</v>
          </cell>
          <cell r="G55">
            <v>0</v>
          </cell>
          <cell r="H55">
            <v>3.5</v>
          </cell>
          <cell r="I55">
            <v>2.5</v>
          </cell>
          <cell r="J55">
            <v>26</v>
          </cell>
          <cell r="K55">
            <v>0</v>
          </cell>
          <cell r="L55">
            <v>21</v>
          </cell>
          <cell r="M55">
            <v>0</v>
          </cell>
          <cell r="N55">
            <v>0</v>
          </cell>
          <cell r="O55">
            <v>3</v>
          </cell>
          <cell r="P55">
            <v>0</v>
          </cell>
          <cell r="Q55">
            <v>14.5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5</v>
          </cell>
          <cell r="X55">
            <v>17</v>
          </cell>
          <cell r="Y55">
            <v>0</v>
          </cell>
          <cell r="Z55">
            <v>3</v>
          </cell>
          <cell r="AA55">
            <v>1.5</v>
          </cell>
          <cell r="AB55">
            <v>0</v>
          </cell>
          <cell r="AC55">
            <v>24</v>
          </cell>
          <cell r="AD55">
            <v>3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139</v>
          </cell>
          <cell r="AJ55">
            <v>26</v>
          </cell>
          <cell r="AK55">
            <v>14</v>
          </cell>
        </row>
        <row r="56">
          <cell r="C56">
            <v>350123018</v>
          </cell>
          <cell r="D56">
            <v>0</v>
          </cell>
          <cell r="E56">
            <v>1</v>
          </cell>
          <cell r="F56">
            <v>0</v>
          </cell>
          <cell r="G56">
            <v>0</v>
          </cell>
          <cell r="H56">
            <v>0</v>
          </cell>
          <cell r="I56">
            <v>29</v>
          </cell>
          <cell r="J56">
            <v>0</v>
          </cell>
          <cell r="K56">
            <v>12</v>
          </cell>
          <cell r="L56">
            <v>13</v>
          </cell>
          <cell r="M56">
            <v>4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26</v>
          </cell>
          <cell r="X56">
            <v>17</v>
          </cell>
          <cell r="Y56">
            <v>5</v>
          </cell>
          <cell r="Z56">
            <v>6</v>
          </cell>
          <cell r="AA56">
            <v>0</v>
          </cell>
          <cell r="AB56">
            <v>0</v>
          </cell>
          <cell r="AC56">
            <v>7</v>
          </cell>
          <cell r="AD56">
            <v>8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128</v>
          </cell>
          <cell r="AJ56">
            <v>29</v>
          </cell>
          <cell r="AK56">
            <v>11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2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5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9</v>
          </cell>
          <cell r="R57">
            <v>0</v>
          </cell>
          <cell r="S57">
            <v>2</v>
          </cell>
          <cell r="T57">
            <v>0</v>
          </cell>
          <cell r="U57">
            <v>0</v>
          </cell>
          <cell r="V57">
            <v>21</v>
          </cell>
          <cell r="W57">
            <v>38</v>
          </cell>
          <cell r="X57">
            <v>23</v>
          </cell>
          <cell r="Y57">
            <v>1</v>
          </cell>
          <cell r="Z57">
            <v>18</v>
          </cell>
          <cell r="AA57">
            <v>0</v>
          </cell>
          <cell r="AB57">
            <v>0</v>
          </cell>
          <cell r="AC57">
            <v>7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126</v>
          </cell>
          <cell r="AJ57">
            <v>38</v>
          </cell>
          <cell r="AK57">
            <v>10</v>
          </cell>
        </row>
        <row r="58">
          <cell r="C58">
            <v>350123016</v>
          </cell>
          <cell r="D58">
            <v>0</v>
          </cell>
          <cell r="E58">
            <v>7</v>
          </cell>
          <cell r="F58">
            <v>1</v>
          </cell>
          <cell r="G58">
            <v>2</v>
          </cell>
          <cell r="H58">
            <v>1.5</v>
          </cell>
          <cell r="I58">
            <v>0</v>
          </cell>
          <cell r="J58">
            <v>0</v>
          </cell>
          <cell r="K58">
            <v>0</v>
          </cell>
          <cell r="L58">
            <v>23</v>
          </cell>
          <cell r="M58">
            <v>0</v>
          </cell>
          <cell r="N58">
            <v>0</v>
          </cell>
          <cell r="O58">
            <v>0</v>
          </cell>
          <cell r="P58">
            <v>0.5</v>
          </cell>
          <cell r="Q58">
            <v>17</v>
          </cell>
          <cell r="R58">
            <v>0</v>
          </cell>
          <cell r="S58">
            <v>2</v>
          </cell>
          <cell r="T58">
            <v>0</v>
          </cell>
          <cell r="U58">
            <v>0</v>
          </cell>
          <cell r="V58">
            <v>0</v>
          </cell>
          <cell r="W58">
            <v>23</v>
          </cell>
          <cell r="X58">
            <v>6</v>
          </cell>
          <cell r="Y58">
            <v>1</v>
          </cell>
          <cell r="Z58">
            <v>2</v>
          </cell>
          <cell r="AA58">
            <v>4</v>
          </cell>
          <cell r="AB58">
            <v>7</v>
          </cell>
          <cell r="AC58">
            <v>55</v>
          </cell>
          <cell r="AD58">
            <v>27</v>
          </cell>
          <cell r="AE58">
            <v>0</v>
          </cell>
          <cell r="AF58">
            <v>3</v>
          </cell>
          <cell r="AG58">
            <v>0</v>
          </cell>
          <cell r="AH58">
            <v>0</v>
          </cell>
          <cell r="AI58">
            <v>182</v>
          </cell>
          <cell r="AJ58">
            <v>55</v>
          </cell>
          <cell r="AK58">
            <v>17</v>
          </cell>
        </row>
        <row r="59">
          <cell r="C59">
            <v>350123015</v>
          </cell>
          <cell r="D59">
            <v>3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2</v>
          </cell>
          <cell r="K59">
            <v>11</v>
          </cell>
          <cell r="L59">
            <v>4</v>
          </cell>
          <cell r="M59">
            <v>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22</v>
          </cell>
          <cell r="X59">
            <v>32</v>
          </cell>
          <cell r="Y59">
            <v>12</v>
          </cell>
          <cell r="Z59">
            <v>3</v>
          </cell>
          <cell r="AA59">
            <v>0</v>
          </cell>
          <cell r="AB59">
            <v>0</v>
          </cell>
          <cell r="AC59">
            <v>17</v>
          </cell>
          <cell r="AD59">
            <v>5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114</v>
          </cell>
          <cell r="AJ59">
            <v>32</v>
          </cell>
          <cell r="AK59">
            <v>11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8</v>
          </cell>
          <cell r="L60">
            <v>26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6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18</v>
          </cell>
          <cell r="X60">
            <v>38</v>
          </cell>
          <cell r="Y60">
            <v>4</v>
          </cell>
          <cell r="Z60">
            <v>22</v>
          </cell>
          <cell r="AA60">
            <v>0</v>
          </cell>
          <cell r="AB60">
            <v>0</v>
          </cell>
          <cell r="AC60">
            <v>12</v>
          </cell>
          <cell r="AD60">
            <v>6</v>
          </cell>
          <cell r="AE60">
            <v>18</v>
          </cell>
          <cell r="AF60">
            <v>0</v>
          </cell>
          <cell r="AG60">
            <v>0</v>
          </cell>
          <cell r="AH60">
            <v>0</v>
          </cell>
          <cell r="AI60">
            <v>158</v>
          </cell>
          <cell r="AJ60">
            <v>38</v>
          </cell>
          <cell r="AK60">
            <v>10</v>
          </cell>
        </row>
        <row r="61">
          <cell r="C61">
            <v>350123013</v>
          </cell>
          <cell r="D61">
            <v>0</v>
          </cell>
          <cell r="E61">
            <v>0</v>
          </cell>
          <cell r="F61">
            <v>5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0</v>
          </cell>
          <cell r="N61">
            <v>0</v>
          </cell>
          <cell r="O61">
            <v>0</v>
          </cell>
          <cell r="P61">
            <v>2</v>
          </cell>
          <cell r="Q61">
            <v>23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32</v>
          </cell>
          <cell r="Y61">
            <v>3</v>
          </cell>
          <cell r="Z61">
            <v>0</v>
          </cell>
          <cell r="AA61">
            <v>0</v>
          </cell>
          <cell r="AB61">
            <v>0</v>
          </cell>
          <cell r="AC61">
            <v>9</v>
          </cell>
          <cell r="AD61">
            <v>10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91</v>
          </cell>
          <cell r="AJ61">
            <v>32</v>
          </cell>
          <cell r="AK61">
            <v>8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2</v>
          </cell>
          <cell r="H62">
            <v>0</v>
          </cell>
          <cell r="I62">
            <v>0</v>
          </cell>
          <cell r="J62">
            <v>0</v>
          </cell>
          <cell r="K62">
            <v>3</v>
          </cell>
          <cell r="L62">
            <v>50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4</v>
          </cell>
          <cell r="R62">
            <v>0</v>
          </cell>
          <cell r="S62">
            <v>3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138</v>
          </cell>
          <cell r="Y62">
            <v>0</v>
          </cell>
          <cell r="Z62">
            <v>57</v>
          </cell>
          <cell r="AA62">
            <v>0</v>
          </cell>
          <cell r="AB62">
            <v>0</v>
          </cell>
          <cell r="AC62">
            <v>4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261</v>
          </cell>
          <cell r="AJ62">
            <v>138</v>
          </cell>
          <cell r="AK62">
            <v>8</v>
          </cell>
        </row>
        <row r="63">
          <cell r="C63">
            <v>350123011</v>
          </cell>
          <cell r="D63">
            <v>0</v>
          </cell>
          <cell r="E63">
            <v>8</v>
          </cell>
          <cell r="F63">
            <v>0</v>
          </cell>
          <cell r="G63">
            <v>2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7</v>
          </cell>
          <cell r="M63">
            <v>0</v>
          </cell>
          <cell r="N63">
            <v>0</v>
          </cell>
          <cell r="O63">
            <v>0</v>
          </cell>
          <cell r="P63">
            <v>3</v>
          </cell>
          <cell r="Q63">
            <v>25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</v>
          </cell>
          <cell r="W63">
            <v>28</v>
          </cell>
          <cell r="X63">
            <v>18</v>
          </cell>
          <cell r="Y63">
            <v>2</v>
          </cell>
          <cell r="Z63">
            <v>0</v>
          </cell>
          <cell r="AA63">
            <v>25</v>
          </cell>
          <cell r="AB63">
            <v>0</v>
          </cell>
          <cell r="AC63">
            <v>13</v>
          </cell>
          <cell r="AD63">
            <v>5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139</v>
          </cell>
          <cell r="AJ63">
            <v>28</v>
          </cell>
          <cell r="AK63">
            <v>12</v>
          </cell>
        </row>
        <row r="64">
          <cell r="C64">
            <v>350123010</v>
          </cell>
          <cell r="D64">
            <v>5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21</v>
          </cell>
          <cell r="M64">
            <v>7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22</v>
          </cell>
          <cell r="X64">
            <v>16</v>
          </cell>
          <cell r="Y64">
            <v>0</v>
          </cell>
          <cell r="Z64">
            <v>3</v>
          </cell>
          <cell r="AA64">
            <v>0</v>
          </cell>
          <cell r="AB64">
            <v>0</v>
          </cell>
          <cell r="AC64">
            <v>3</v>
          </cell>
          <cell r="AD64">
            <v>2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79</v>
          </cell>
          <cell r="AJ64">
            <v>22</v>
          </cell>
          <cell r="AK64">
            <v>8</v>
          </cell>
        </row>
        <row r="65">
          <cell r="C65">
            <v>350123009</v>
          </cell>
          <cell r="D65">
            <v>6.5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4</v>
          </cell>
          <cell r="K65">
            <v>5.5</v>
          </cell>
          <cell r="L65">
            <v>10</v>
          </cell>
          <cell r="M65">
            <v>0</v>
          </cell>
          <cell r="N65">
            <v>0</v>
          </cell>
          <cell r="O65">
            <v>14.5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13</v>
          </cell>
          <cell r="W65">
            <v>16</v>
          </cell>
          <cell r="X65">
            <v>41.5</v>
          </cell>
          <cell r="Y65">
            <v>2</v>
          </cell>
          <cell r="Z65">
            <v>2</v>
          </cell>
          <cell r="AA65">
            <v>0</v>
          </cell>
          <cell r="AB65">
            <v>0</v>
          </cell>
          <cell r="AC65">
            <v>14</v>
          </cell>
          <cell r="AD65">
            <v>18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147</v>
          </cell>
          <cell r="AJ65">
            <v>41.5</v>
          </cell>
          <cell r="AK65">
            <v>12</v>
          </cell>
        </row>
        <row r="66">
          <cell r="C66">
            <v>350123008</v>
          </cell>
          <cell r="D66">
            <v>0</v>
          </cell>
          <cell r="E66">
            <v>5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10</v>
          </cell>
          <cell r="K66">
            <v>0</v>
          </cell>
          <cell r="L66">
            <v>9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5</v>
          </cell>
          <cell r="W66">
            <v>25</v>
          </cell>
          <cell r="X66">
            <v>40</v>
          </cell>
          <cell r="Y66">
            <v>0</v>
          </cell>
          <cell r="Z66">
            <v>3</v>
          </cell>
          <cell r="AA66">
            <v>0</v>
          </cell>
          <cell r="AB66">
            <v>0</v>
          </cell>
          <cell r="AC66">
            <v>3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108</v>
          </cell>
          <cell r="AJ66">
            <v>40</v>
          </cell>
          <cell r="AK66">
            <v>9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19</v>
          </cell>
          <cell r="S67">
            <v>23</v>
          </cell>
          <cell r="T67">
            <v>0</v>
          </cell>
          <cell r="U67">
            <v>0</v>
          </cell>
          <cell r="V67">
            <v>0</v>
          </cell>
          <cell r="W67">
            <v>35</v>
          </cell>
          <cell r="X67">
            <v>60</v>
          </cell>
          <cell r="Y67">
            <v>3</v>
          </cell>
          <cell r="Z67">
            <v>2</v>
          </cell>
          <cell r="AA67">
            <v>0</v>
          </cell>
          <cell r="AB67">
            <v>0</v>
          </cell>
          <cell r="AC67">
            <v>6</v>
          </cell>
          <cell r="AD67">
            <v>1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159</v>
          </cell>
          <cell r="AJ67">
            <v>60</v>
          </cell>
          <cell r="AK67">
            <v>9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3</v>
          </cell>
          <cell r="G68">
            <v>0</v>
          </cell>
          <cell r="H68">
            <v>0</v>
          </cell>
          <cell r="I68">
            <v>19</v>
          </cell>
          <cell r="J68">
            <v>15</v>
          </cell>
          <cell r="K68">
            <v>0</v>
          </cell>
          <cell r="L68">
            <v>31</v>
          </cell>
          <cell r="M68">
            <v>0</v>
          </cell>
          <cell r="N68">
            <v>0</v>
          </cell>
          <cell r="O68">
            <v>4</v>
          </cell>
          <cell r="P68">
            <v>0</v>
          </cell>
          <cell r="Q68">
            <v>8</v>
          </cell>
          <cell r="R68">
            <v>2</v>
          </cell>
          <cell r="S68">
            <v>2</v>
          </cell>
          <cell r="T68">
            <v>0</v>
          </cell>
          <cell r="U68">
            <v>0</v>
          </cell>
          <cell r="V68">
            <v>0</v>
          </cell>
          <cell r="W68">
            <v>7</v>
          </cell>
          <cell r="X68">
            <v>17</v>
          </cell>
          <cell r="Y68">
            <v>2</v>
          </cell>
          <cell r="Z68">
            <v>7</v>
          </cell>
          <cell r="AA68">
            <v>2</v>
          </cell>
          <cell r="AB68">
            <v>0</v>
          </cell>
          <cell r="AC68">
            <v>58</v>
          </cell>
          <cell r="AD68">
            <v>3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180</v>
          </cell>
          <cell r="AJ68">
            <v>58</v>
          </cell>
          <cell r="AK68">
            <v>15</v>
          </cell>
        </row>
        <row r="69">
          <cell r="C69">
            <v>350123005</v>
          </cell>
          <cell r="D69">
            <v>0</v>
          </cell>
          <cell r="E69">
            <v>4</v>
          </cell>
          <cell r="F69">
            <v>11</v>
          </cell>
          <cell r="G69">
            <v>1</v>
          </cell>
          <cell r="H69">
            <v>0</v>
          </cell>
          <cell r="I69">
            <v>0</v>
          </cell>
          <cell r="J69">
            <v>14</v>
          </cell>
          <cell r="K69">
            <v>0</v>
          </cell>
          <cell r="L69">
            <v>20</v>
          </cell>
          <cell r="M69">
            <v>0</v>
          </cell>
          <cell r="N69">
            <v>0</v>
          </cell>
          <cell r="O69">
            <v>0</v>
          </cell>
          <cell r="P69">
            <v>6</v>
          </cell>
          <cell r="Q69">
            <v>25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46</v>
          </cell>
          <cell r="X69">
            <v>17</v>
          </cell>
          <cell r="Y69">
            <v>1</v>
          </cell>
          <cell r="Z69">
            <v>1</v>
          </cell>
          <cell r="AA69">
            <v>0</v>
          </cell>
          <cell r="AB69">
            <v>19</v>
          </cell>
          <cell r="AC69">
            <v>23</v>
          </cell>
          <cell r="AD69">
            <v>8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196</v>
          </cell>
          <cell r="AJ69">
            <v>46</v>
          </cell>
          <cell r="AK69">
            <v>14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50</v>
          </cell>
          <cell r="M70">
            <v>0</v>
          </cell>
          <cell r="N70">
            <v>0</v>
          </cell>
          <cell r="O70">
            <v>0</v>
          </cell>
          <cell r="P70">
            <v>3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37</v>
          </cell>
          <cell r="X70">
            <v>28</v>
          </cell>
          <cell r="Y70">
            <v>13</v>
          </cell>
          <cell r="Z70">
            <v>0</v>
          </cell>
          <cell r="AA70">
            <v>0</v>
          </cell>
          <cell r="AB70">
            <v>0</v>
          </cell>
          <cell r="AC70">
            <v>7</v>
          </cell>
          <cell r="AD70">
            <v>2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140</v>
          </cell>
          <cell r="AJ70">
            <v>50</v>
          </cell>
          <cell r="AK70">
            <v>7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15</v>
          </cell>
          <cell r="M71">
            <v>0</v>
          </cell>
          <cell r="N71">
            <v>0</v>
          </cell>
          <cell r="O71">
            <v>7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44</v>
          </cell>
          <cell r="X71">
            <v>74</v>
          </cell>
          <cell r="Y71">
            <v>0</v>
          </cell>
          <cell r="Z71">
            <v>7</v>
          </cell>
          <cell r="AA71">
            <v>0</v>
          </cell>
          <cell r="AB71">
            <v>0</v>
          </cell>
          <cell r="AC71">
            <v>8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155</v>
          </cell>
          <cell r="AJ71">
            <v>74</v>
          </cell>
          <cell r="AK71">
            <v>6</v>
          </cell>
        </row>
        <row r="72">
          <cell r="C72">
            <v>350123002</v>
          </cell>
          <cell r="D72">
            <v>4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15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8</v>
          </cell>
          <cell r="T72">
            <v>0</v>
          </cell>
          <cell r="U72">
            <v>0</v>
          </cell>
          <cell r="V72">
            <v>0</v>
          </cell>
          <cell r="W72">
            <v>7</v>
          </cell>
          <cell r="X72">
            <v>45</v>
          </cell>
          <cell r="Y72">
            <v>0</v>
          </cell>
          <cell r="Z72">
            <v>5</v>
          </cell>
          <cell r="AA72">
            <v>0</v>
          </cell>
          <cell r="AB72">
            <v>0</v>
          </cell>
          <cell r="AC72">
            <v>3</v>
          </cell>
          <cell r="AD72">
            <v>6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93</v>
          </cell>
          <cell r="AJ72">
            <v>45</v>
          </cell>
          <cell r="AK72">
            <v>8</v>
          </cell>
        </row>
        <row r="73">
          <cell r="C73">
            <v>350123001</v>
          </cell>
          <cell r="D73">
            <v>0</v>
          </cell>
          <cell r="E73">
            <v>8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23</v>
          </cell>
          <cell r="L73">
            <v>37</v>
          </cell>
          <cell r="M73">
            <v>9</v>
          </cell>
          <cell r="N73">
            <v>0</v>
          </cell>
          <cell r="O73">
            <v>18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10</v>
          </cell>
          <cell r="W73">
            <v>85</v>
          </cell>
          <cell r="X73">
            <v>32</v>
          </cell>
          <cell r="Y73">
            <v>3</v>
          </cell>
          <cell r="Z73">
            <v>1</v>
          </cell>
          <cell r="AA73">
            <v>0</v>
          </cell>
          <cell r="AB73">
            <v>0</v>
          </cell>
          <cell r="AC73">
            <v>48</v>
          </cell>
          <cell r="AD73">
            <v>12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286</v>
          </cell>
          <cell r="AJ73">
            <v>85</v>
          </cell>
          <cell r="AK73">
            <v>12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65</v>
          </cell>
          <cell r="M74">
            <v>9</v>
          </cell>
          <cell r="N74">
            <v>0</v>
          </cell>
          <cell r="O74">
            <v>2</v>
          </cell>
          <cell r="P74">
            <v>0</v>
          </cell>
          <cell r="Q74">
            <v>4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2</v>
          </cell>
          <cell r="X74">
            <v>4</v>
          </cell>
          <cell r="Y74">
            <v>12</v>
          </cell>
          <cell r="Z74">
            <v>0</v>
          </cell>
          <cell r="AA74">
            <v>0</v>
          </cell>
          <cell r="AB74">
            <v>7</v>
          </cell>
          <cell r="AC74">
            <v>4</v>
          </cell>
          <cell r="AD74">
            <v>9</v>
          </cell>
          <cell r="AE74">
            <v>2</v>
          </cell>
          <cell r="AF74">
            <v>4</v>
          </cell>
          <cell r="AG74">
            <v>0</v>
          </cell>
          <cell r="AH74">
            <v>0</v>
          </cell>
          <cell r="AI74">
            <v>124</v>
          </cell>
          <cell r="AJ74">
            <v>65</v>
          </cell>
          <cell r="AK74">
            <v>12</v>
          </cell>
        </row>
        <row r="75">
          <cell r="C75">
            <v>350122030</v>
          </cell>
          <cell r="D75">
            <v>0</v>
          </cell>
          <cell r="E75">
            <v>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</v>
          </cell>
          <cell r="K75">
            <v>21</v>
          </cell>
          <cell r="L75">
            <v>40</v>
          </cell>
          <cell r="M75">
            <v>0</v>
          </cell>
          <cell r="N75">
            <v>2</v>
          </cell>
          <cell r="O75">
            <v>0</v>
          </cell>
          <cell r="P75">
            <v>0</v>
          </cell>
          <cell r="Q75">
            <v>48</v>
          </cell>
          <cell r="R75">
            <v>3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112</v>
          </cell>
          <cell r="Y75">
            <v>0</v>
          </cell>
          <cell r="Z75">
            <v>6</v>
          </cell>
          <cell r="AA75">
            <v>0</v>
          </cell>
          <cell r="AB75">
            <v>23</v>
          </cell>
          <cell r="AC75">
            <v>16</v>
          </cell>
          <cell r="AD75">
            <v>5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301</v>
          </cell>
          <cell r="AJ75">
            <v>112</v>
          </cell>
          <cell r="AK75">
            <v>12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34</v>
          </cell>
          <cell r="L76">
            <v>23</v>
          </cell>
          <cell r="M76">
            <v>0</v>
          </cell>
          <cell r="N76">
            <v>12</v>
          </cell>
          <cell r="O76">
            <v>0</v>
          </cell>
          <cell r="P76">
            <v>4</v>
          </cell>
          <cell r="Q76">
            <v>6</v>
          </cell>
          <cell r="R76">
            <v>1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39</v>
          </cell>
          <cell r="Y76">
            <v>0</v>
          </cell>
          <cell r="Z76">
            <v>0</v>
          </cell>
          <cell r="AA76">
            <v>0</v>
          </cell>
          <cell r="AB76">
            <v>10</v>
          </cell>
          <cell r="AC76">
            <v>5</v>
          </cell>
          <cell r="AD76">
            <v>27</v>
          </cell>
          <cell r="AE76">
            <v>5</v>
          </cell>
          <cell r="AF76">
            <v>0</v>
          </cell>
          <cell r="AG76">
            <v>0</v>
          </cell>
          <cell r="AH76">
            <v>0</v>
          </cell>
          <cell r="AI76">
            <v>166</v>
          </cell>
          <cell r="AJ76">
            <v>39</v>
          </cell>
          <cell r="AK76">
            <v>11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22</v>
          </cell>
          <cell r="L77">
            <v>10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72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9</v>
          </cell>
          <cell r="X77">
            <v>12</v>
          </cell>
          <cell r="Y77">
            <v>0</v>
          </cell>
          <cell r="Z77">
            <v>0</v>
          </cell>
          <cell r="AA77">
            <v>0</v>
          </cell>
          <cell r="AB77">
            <v>27</v>
          </cell>
          <cell r="AC77">
            <v>37</v>
          </cell>
          <cell r="AD77">
            <v>5</v>
          </cell>
          <cell r="AE77">
            <v>0</v>
          </cell>
          <cell r="AF77">
            <v>0</v>
          </cell>
          <cell r="AG77">
            <v>5</v>
          </cell>
          <cell r="AH77">
            <v>0</v>
          </cell>
          <cell r="AI77">
            <v>199</v>
          </cell>
          <cell r="AJ77">
            <v>72</v>
          </cell>
          <cell r="AK77">
            <v>9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1</v>
          </cell>
          <cell r="L78">
            <v>61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43.5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</v>
          </cell>
          <cell r="W78">
            <v>11</v>
          </cell>
          <cell r="X78">
            <v>2</v>
          </cell>
          <cell r="Y78">
            <v>0</v>
          </cell>
          <cell r="Z78">
            <v>0</v>
          </cell>
          <cell r="AA78">
            <v>0</v>
          </cell>
          <cell r="AB78">
            <v>3.5</v>
          </cell>
          <cell r="AC78">
            <v>30.5</v>
          </cell>
          <cell r="AD78"/>
          <cell r="AE78">
            <v>0</v>
          </cell>
          <cell r="AF78">
            <v>5</v>
          </cell>
          <cell r="AG78">
            <v>0</v>
          </cell>
          <cell r="AH78">
            <v>0</v>
          </cell>
          <cell r="AI78">
            <v>158.5</v>
          </cell>
          <cell r="AJ78">
            <v>61</v>
          </cell>
          <cell r="AK78">
            <v>9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8</v>
          </cell>
          <cell r="K79">
            <v>17.5</v>
          </cell>
          <cell r="L79">
            <v>10.5</v>
          </cell>
          <cell r="M79">
            <v>3.5</v>
          </cell>
          <cell r="N79">
            <v>13.5</v>
          </cell>
          <cell r="O79">
            <v>0</v>
          </cell>
          <cell r="P79">
            <v>1</v>
          </cell>
          <cell r="Q79">
            <v>0.5</v>
          </cell>
          <cell r="R79">
            <v>3.5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1.5</v>
          </cell>
          <cell r="X79">
            <v>58</v>
          </cell>
          <cell r="Y79">
            <v>11</v>
          </cell>
          <cell r="Z79">
            <v>0</v>
          </cell>
          <cell r="AA79">
            <v>0</v>
          </cell>
          <cell r="AB79">
            <v>15</v>
          </cell>
          <cell r="AC79">
            <v>4</v>
          </cell>
          <cell r="AD79">
            <v>6.5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154</v>
          </cell>
          <cell r="AJ79">
            <v>58</v>
          </cell>
          <cell r="AK79">
            <v>14</v>
          </cell>
        </row>
        <row r="80">
          <cell r="C80">
            <v>350122025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9</v>
          </cell>
          <cell r="M80">
            <v>0</v>
          </cell>
          <cell r="N80">
            <v>16</v>
          </cell>
          <cell r="O80">
            <v>0</v>
          </cell>
          <cell r="P80">
            <v>0</v>
          </cell>
          <cell r="Q80">
            <v>14</v>
          </cell>
          <cell r="R80">
            <v>15</v>
          </cell>
          <cell r="S80">
            <v>0</v>
          </cell>
          <cell r="T80">
            <v>0</v>
          </cell>
          <cell r="U80">
            <v>0</v>
          </cell>
          <cell r="V80">
            <v>9</v>
          </cell>
          <cell r="W80">
            <v>0</v>
          </cell>
          <cell r="X80">
            <v>32</v>
          </cell>
          <cell r="Y80">
            <v>30</v>
          </cell>
          <cell r="Z80">
            <v>0</v>
          </cell>
          <cell r="AA80">
            <v>0</v>
          </cell>
          <cell r="AB80">
            <v>5</v>
          </cell>
          <cell r="AC80">
            <v>0</v>
          </cell>
          <cell r="AD80">
            <v>7</v>
          </cell>
          <cell r="AE80">
            <v>37</v>
          </cell>
          <cell r="AF80">
            <v>0</v>
          </cell>
          <cell r="AG80">
            <v>7</v>
          </cell>
          <cell r="AH80">
            <v>0</v>
          </cell>
          <cell r="AI80">
            <v>181</v>
          </cell>
          <cell r="AJ80">
            <v>37</v>
          </cell>
          <cell r="AK80">
            <v>11</v>
          </cell>
        </row>
        <row r="81">
          <cell r="C81">
            <v>350122024</v>
          </cell>
          <cell r="D81">
            <v>0</v>
          </cell>
          <cell r="E81">
            <v>0</v>
          </cell>
          <cell r="F81">
            <v>5</v>
          </cell>
          <cell r="G81">
            <v>0</v>
          </cell>
          <cell r="H81">
            <v>3</v>
          </cell>
          <cell r="I81">
            <v>0</v>
          </cell>
          <cell r="J81">
            <v>0</v>
          </cell>
          <cell r="K81">
            <v>0</v>
          </cell>
          <cell r="L81">
            <v>40</v>
          </cell>
          <cell r="M81">
            <v>15</v>
          </cell>
          <cell r="N81">
            <v>0</v>
          </cell>
          <cell r="O81">
            <v>0</v>
          </cell>
          <cell r="P81">
            <v>0</v>
          </cell>
          <cell r="Q81">
            <v>10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14</v>
          </cell>
          <cell r="X81">
            <v>21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13</v>
          </cell>
          <cell r="AD81">
            <v>5</v>
          </cell>
          <cell r="AE81">
            <v>0</v>
          </cell>
          <cell r="AF81">
            <v>2</v>
          </cell>
          <cell r="AG81">
            <v>0</v>
          </cell>
          <cell r="AH81">
            <v>0</v>
          </cell>
          <cell r="AI81">
            <v>128</v>
          </cell>
          <cell r="AJ81">
            <v>40</v>
          </cell>
          <cell r="AK81">
            <v>10</v>
          </cell>
        </row>
        <row r="82">
          <cell r="C82">
            <v>350122023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8.5</v>
          </cell>
          <cell r="O82">
            <v>0</v>
          </cell>
          <cell r="P82">
            <v>0</v>
          </cell>
          <cell r="Q82">
            <v>5</v>
          </cell>
          <cell r="R82">
            <v>21</v>
          </cell>
          <cell r="S82">
            <v>0</v>
          </cell>
          <cell r="T82">
            <v>0</v>
          </cell>
          <cell r="U82">
            <v>0</v>
          </cell>
          <cell r="V82">
            <v>4</v>
          </cell>
          <cell r="W82">
            <v>17</v>
          </cell>
          <cell r="X82">
            <v>84</v>
          </cell>
          <cell r="Y82">
            <v>22</v>
          </cell>
          <cell r="Z82">
            <v>0</v>
          </cell>
          <cell r="AA82">
            <v>0</v>
          </cell>
          <cell r="AB82">
            <v>22</v>
          </cell>
          <cell r="AC82">
            <v>8</v>
          </cell>
          <cell r="AD82">
            <v>3</v>
          </cell>
          <cell r="AE82">
            <v>0</v>
          </cell>
          <cell r="AF82">
            <v>4</v>
          </cell>
          <cell r="AG82">
            <v>0</v>
          </cell>
          <cell r="AH82">
            <v>0</v>
          </cell>
          <cell r="AI82">
            <v>198.5</v>
          </cell>
          <cell r="AJ82">
            <v>84</v>
          </cell>
          <cell r="AK82">
            <v>11</v>
          </cell>
        </row>
        <row r="83">
          <cell r="C83">
            <v>350122022</v>
          </cell>
          <cell r="D83">
            <v>0.4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4.4000000000000004</v>
          </cell>
          <cell r="K83">
            <v>4</v>
          </cell>
          <cell r="L83">
            <v>4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11</v>
          </cell>
          <cell r="R83">
            <v>0</v>
          </cell>
          <cell r="S83">
            <v>8</v>
          </cell>
          <cell r="T83">
            <v>0</v>
          </cell>
          <cell r="U83">
            <v>0</v>
          </cell>
          <cell r="V83">
            <v>0</v>
          </cell>
          <cell r="W83">
            <v>1</v>
          </cell>
          <cell r="X83">
            <v>18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10</v>
          </cell>
          <cell r="AD83">
            <v>18</v>
          </cell>
          <cell r="AE83">
            <v>0</v>
          </cell>
          <cell r="AF83">
            <v>39</v>
          </cell>
          <cell r="AG83">
            <v>0</v>
          </cell>
          <cell r="AH83">
            <v>0</v>
          </cell>
          <cell r="AI83">
            <v>117.8</v>
          </cell>
          <cell r="AJ83">
            <v>39</v>
          </cell>
          <cell r="AK83">
            <v>11</v>
          </cell>
        </row>
        <row r="84">
          <cell r="C84">
            <v>350122021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4</v>
          </cell>
          <cell r="K84">
            <v>0</v>
          </cell>
          <cell r="L84">
            <v>26</v>
          </cell>
          <cell r="M84">
            <v>0</v>
          </cell>
          <cell r="N84">
            <v>3</v>
          </cell>
          <cell r="O84">
            <v>0</v>
          </cell>
          <cell r="P84">
            <v>8</v>
          </cell>
          <cell r="Q84">
            <v>0</v>
          </cell>
          <cell r="R84">
            <v>12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</v>
          </cell>
          <cell r="X84">
            <v>62</v>
          </cell>
          <cell r="Y84">
            <v>16</v>
          </cell>
          <cell r="Z84">
            <v>0</v>
          </cell>
          <cell r="AA84">
            <v>0</v>
          </cell>
          <cell r="AB84">
            <v>21</v>
          </cell>
          <cell r="AC84">
            <v>5</v>
          </cell>
          <cell r="AD84">
            <v>4</v>
          </cell>
          <cell r="AE84"/>
          <cell r="AF84">
            <v>0</v>
          </cell>
          <cell r="AG84">
            <v>0</v>
          </cell>
          <cell r="AH84">
            <v>0</v>
          </cell>
          <cell r="AI84">
            <v>163</v>
          </cell>
          <cell r="AJ84">
            <v>62</v>
          </cell>
          <cell r="AK84">
            <v>11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12</v>
          </cell>
          <cell r="M85">
            <v>2</v>
          </cell>
          <cell r="N85">
            <v>11</v>
          </cell>
          <cell r="O85">
            <v>0</v>
          </cell>
          <cell r="P85">
            <v>0</v>
          </cell>
          <cell r="Q85">
            <v>9</v>
          </cell>
          <cell r="R85">
            <v>13</v>
          </cell>
          <cell r="S85">
            <v>0</v>
          </cell>
          <cell r="T85">
            <v>0</v>
          </cell>
          <cell r="U85">
            <v>0</v>
          </cell>
          <cell r="V85">
            <v>9</v>
          </cell>
          <cell r="W85">
            <v>6</v>
          </cell>
          <cell r="X85">
            <v>68</v>
          </cell>
          <cell r="Y85">
            <v>31</v>
          </cell>
          <cell r="Z85">
            <v>0</v>
          </cell>
          <cell r="AA85">
            <v>0</v>
          </cell>
          <cell r="AB85">
            <v>4</v>
          </cell>
          <cell r="AC85">
            <v>12</v>
          </cell>
          <cell r="AD85">
            <v>7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184</v>
          </cell>
          <cell r="AJ85">
            <v>68</v>
          </cell>
          <cell r="AK85">
            <v>12</v>
          </cell>
        </row>
        <row r="86">
          <cell r="C86">
            <v>350122019</v>
          </cell>
          <cell r="D86">
            <v>0</v>
          </cell>
          <cell r="E86">
            <v>5.5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13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20.5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47</v>
          </cell>
          <cell r="Y86">
            <v>0</v>
          </cell>
          <cell r="Z86">
            <v>0</v>
          </cell>
          <cell r="AA86">
            <v>0</v>
          </cell>
          <cell r="AB86">
            <v>7</v>
          </cell>
          <cell r="AC86">
            <v>33</v>
          </cell>
          <cell r="AD86">
            <v>6</v>
          </cell>
          <cell r="AE86">
            <v>0</v>
          </cell>
          <cell r="AF86">
            <v>1</v>
          </cell>
          <cell r="AG86">
            <v>0</v>
          </cell>
          <cell r="AH86">
            <v>0</v>
          </cell>
          <cell r="AI86">
            <v>134</v>
          </cell>
          <cell r="AJ86">
            <v>47</v>
          </cell>
          <cell r="AK86">
            <v>9</v>
          </cell>
        </row>
        <row r="87">
          <cell r="C87">
            <v>350122018</v>
          </cell>
          <cell r="D87">
            <v>22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13</v>
          </cell>
          <cell r="L87">
            <v>0</v>
          </cell>
          <cell r="M87">
            <v>0</v>
          </cell>
          <cell r="N87">
            <v>25</v>
          </cell>
          <cell r="O87">
            <v>0</v>
          </cell>
          <cell r="P87">
            <v>17</v>
          </cell>
          <cell r="Q87">
            <v>6</v>
          </cell>
          <cell r="R87">
            <v>19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25</v>
          </cell>
          <cell r="Y87">
            <v>0</v>
          </cell>
          <cell r="Z87">
            <v>0</v>
          </cell>
          <cell r="AA87">
            <v>0</v>
          </cell>
          <cell r="AB87">
            <v>5</v>
          </cell>
          <cell r="AC87">
            <v>36</v>
          </cell>
          <cell r="AD87">
            <v>9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177</v>
          </cell>
          <cell r="AJ87">
            <v>36</v>
          </cell>
          <cell r="AK87">
            <v>10</v>
          </cell>
        </row>
        <row r="88">
          <cell r="C88">
            <v>350122017</v>
          </cell>
          <cell r="D88">
            <v>22</v>
          </cell>
          <cell r="E88">
            <v>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5</v>
          </cell>
          <cell r="K88">
            <v>27</v>
          </cell>
          <cell r="L88">
            <v>6</v>
          </cell>
          <cell r="M88">
            <v>0</v>
          </cell>
          <cell r="N88">
            <v>14</v>
          </cell>
          <cell r="O88">
            <v>0</v>
          </cell>
          <cell r="P88">
            <v>0</v>
          </cell>
          <cell r="Q88">
            <v>41</v>
          </cell>
          <cell r="R88">
            <v>13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27</v>
          </cell>
          <cell r="X88">
            <v>69</v>
          </cell>
          <cell r="Y88">
            <v>25</v>
          </cell>
          <cell r="Z88">
            <v>0</v>
          </cell>
          <cell r="AA88">
            <v>0</v>
          </cell>
          <cell r="AB88">
            <v>34</v>
          </cell>
          <cell r="AC88">
            <v>15</v>
          </cell>
          <cell r="AD88">
            <v>4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307</v>
          </cell>
          <cell r="AJ88">
            <v>69</v>
          </cell>
          <cell r="AK88">
            <v>14</v>
          </cell>
        </row>
        <row r="89">
          <cell r="C89">
            <v>350122016</v>
          </cell>
          <cell r="D89">
            <v>1</v>
          </cell>
          <cell r="E89">
            <v>6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6</v>
          </cell>
          <cell r="M89">
            <v>0</v>
          </cell>
          <cell r="N89">
            <v>1</v>
          </cell>
          <cell r="O89">
            <v>0</v>
          </cell>
          <cell r="P89">
            <v>1.5</v>
          </cell>
          <cell r="Q89">
            <v>3</v>
          </cell>
          <cell r="R89">
            <v>0</v>
          </cell>
          <cell r="S89">
            <v>7</v>
          </cell>
          <cell r="T89">
            <v>0</v>
          </cell>
          <cell r="U89">
            <v>0</v>
          </cell>
          <cell r="V89">
            <v>6</v>
          </cell>
          <cell r="W89">
            <v>10</v>
          </cell>
          <cell r="X89">
            <v>34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11</v>
          </cell>
          <cell r="AD89">
            <v>17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103.5</v>
          </cell>
          <cell r="AJ89">
            <v>34</v>
          </cell>
          <cell r="AK89">
            <v>12</v>
          </cell>
        </row>
        <row r="90">
          <cell r="C90">
            <v>350122015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15</v>
          </cell>
          <cell r="K90">
            <v>4</v>
          </cell>
          <cell r="L90">
            <v>74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39</v>
          </cell>
          <cell r="R90">
            <v>0</v>
          </cell>
          <cell r="S90">
            <v>0</v>
          </cell>
          <cell r="T90">
            <v>0</v>
          </cell>
          <cell r="U90">
            <v>12</v>
          </cell>
          <cell r="V90">
            <v>4</v>
          </cell>
          <cell r="W90">
            <v>5</v>
          </cell>
          <cell r="X90">
            <v>52</v>
          </cell>
          <cell r="Y90">
            <v>0</v>
          </cell>
          <cell r="Z90">
            <v>0</v>
          </cell>
          <cell r="AA90">
            <v>0</v>
          </cell>
          <cell r="AB90">
            <v>7</v>
          </cell>
          <cell r="AC90">
            <v>59</v>
          </cell>
          <cell r="AD90">
            <v>32</v>
          </cell>
          <cell r="AE90">
            <v>1</v>
          </cell>
          <cell r="AF90">
            <v>49</v>
          </cell>
          <cell r="AG90">
            <v>0</v>
          </cell>
          <cell r="AH90">
            <v>0</v>
          </cell>
          <cell r="AI90">
            <v>354</v>
          </cell>
          <cell r="AJ90">
            <v>74</v>
          </cell>
          <cell r="AK90">
            <v>14</v>
          </cell>
        </row>
        <row r="91">
          <cell r="C91">
            <v>350122014</v>
          </cell>
          <cell r="D91">
            <v>0</v>
          </cell>
          <cell r="E91">
            <v>12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14</v>
          </cell>
          <cell r="M91">
            <v>4</v>
          </cell>
          <cell r="N91">
            <v>0</v>
          </cell>
          <cell r="O91">
            <v>0</v>
          </cell>
          <cell r="P91">
            <v>0</v>
          </cell>
          <cell r="Q91">
            <v>35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28</v>
          </cell>
          <cell r="W91">
            <v>13</v>
          </cell>
          <cell r="X91">
            <v>27</v>
          </cell>
          <cell r="Y91">
            <v>0</v>
          </cell>
          <cell r="Z91">
            <v>0</v>
          </cell>
          <cell r="AA91">
            <v>0</v>
          </cell>
          <cell r="AB91">
            <v>6</v>
          </cell>
          <cell r="AC91">
            <v>23</v>
          </cell>
          <cell r="AD91">
            <v>7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169</v>
          </cell>
          <cell r="AJ91">
            <v>35</v>
          </cell>
          <cell r="AK91">
            <v>10</v>
          </cell>
        </row>
        <row r="92">
          <cell r="C92">
            <v>350122013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21</v>
          </cell>
          <cell r="K92">
            <v>18</v>
          </cell>
          <cell r="L92">
            <v>6</v>
          </cell>
          <cell r="M92">
            <v>0</v>
          </cell>
          <cell r="N92">
            <v>0</v>
          </cell>
          <cell r="O92">
            <v>0</v>
          </cell>
          <cell r="P92">
            <v>4</v>
          </cell>
          <cell r="Q92">
            <v>17</v>
          </cell>
          <cell r="R92">
            <v>0</v>
          </cell>
          <cell r="S92">
            <v>46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38</v>
          </cell>
          <cell r="Y92">
            <v>5</v>
          </cell>
          <cell r="Z92">
            <v>0</v>
          </cell>
          <cell r="AA92">
            <v>0</v>
          </cell>
          <cell r="AB92">
            <v>0</v>
          </cell>
          <cell r="AC92">
            <v>29</v>
          </cell>
          <cell r="AD92">
            <v>42</v>
          </cell>
          <cell r="AE92">
            <v>0</v>
          </cell>
          <cell r="AF92">
            <v>4</v>
          </cell>
          <cell r="AG92">
            <v>0</v>
          </cell>
          <cell r="AH92">
            <v>0</v>
          </cell>
          <cell r="AI92">
            <v>230</v>
          </cell>
          <cell r="AJ92">
            <v>46</v>
          </cell>
          <cell r="AK92">
            <v>11</v>
          </cell>
        </row>
        <row r="93">
          <cell r="C93">
            <v>350122012</v>
          </cell>
          <cell r="D93">
            <v>36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57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26</v>
          </cell>
          <cell r="Q93">
            <v>0</v>
          </cell>
          <cell r="R93">
            <v>17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59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51</v>
          </cell>
          <cell r="AD93">
            <v>11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257</v>
          </cell>
          <cell r="AJ93">
            <v>59</v>
          </cell>
          <cell r="AK93">
            <v>7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0</v>
          </cell>
          <cell r="G94">
            <v>2</v>
          </cell>
          <cell r="H94">
            <v>0</v>
          </cell>
          <cell r="I94">
            <v>0</v>
          </cell>
          <cell r="J94">
            <v>1</v>
          </cell>
          <cell r="K94">
            <v>0</v>
          </cell>
          <cell r="L94">
            <v>6</v>
          </cell>
          <cell r="M94">
            <v>0</v>
          </cell>
          <cell r="N94">
            <v>5.5</v>
          </cell>
          <cell r="O94">
            <v>0</v>
          </cell>
          <cell r="P94">
            <v>0</v>
          </cell>
          <cell r="Q94">
            <v>4.5</v>
          </cell>
          <cell r="R94">
            <v>10.5</v>
          </cell>
          <cell r="S94">
            <v>0</v>
          </cell>
          <cell r="T94">
            <v>0</v>
          </cell>
          <cell r="U94">
            <v>0</v>
          </cell>
          <cell r="V94">
            <v>4</v>
          </cell>
          <cell r="W94">
            <v>0</v>
          </cell>
          <cell r="X94">
            <v>46</v>
          </cell>
          <cell r="Y94">
            <v>0</v>
          </cell>
          <cell r="Z94">
            <v>0</v>
          </cell>
          <cell r="AA94">
            <v>0</v>
          </cell>
          <cell r="AB94">
            <v>12.5</v>
          </cell>
          <cell r="AC94">
            <v>0</v>
          </cell>
          <cell r="AD94">
            <v>2</v>
          </cell>
          <cell r="AE94">
            <v>11</v>
          </cell>
          <cell r="AF94">
            <v>0</v>
          </cell>
          <cell r="AG94">
            <v>7.5</v>
          </cell>
          <cell r="AH94">
            <v>0</v>
          </cell>
          <cell r="AI94">
            <v>112.5</v>
          </cell>
          <cell r="AJ94">
            <v>46</v>
          </cell>
          <cell r="AK94">
            <v>12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24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34</v>
          </cell>
          <cell r="R95">
            <v>2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1</v>
          </cell>
          <cell r="X95">
            <v>31</v>
          </cell>
          <cell r="Y95">
            <v>0</v>
          </cell>
          <cell r="Z95">
            <v>0</v>
          </cell>
          <cell r="AA95">
            <v>0</v>
          </cell>
          <cell r="AB95">
            <v>3</v>
          </cell>
          <cell r="AC95">
            <v>54</v>
          </cell>
          <cell r="AD95">
            <v>15</v>
          </cell>
          <cell r="AE95">
            <v>0</v>
          </cell>
          <cell r="AF95">
            <v>15</v>
          </cell>
          <cell r="AG95">
            <v>0</v>
          </cell>
          <cell r="AH95">
            <v>0</v>
          </cell>
          <cell r="AI95">
            <v>179</v>
          </cell>
          <cell r="AJ95">
            <v>54</v>
          </cell>
          <cell r="AK95">
            <v>9</v>
          </cell>
        </row>
        <row r="96">
          <cell r="C96">
            <v>350122009</v>
          </cell>
          <cell r="D96">
            <v>6</v>
          </cell>
          <cell r="E96">
            <v>0</v>
          </cell>
          <cell r="F96">
            <v>5</v>
          </cell>
          <cell r="G96">
            <v>0</v>
          </cell>
          <cell r="H96">
            <v>5</v>
          </cell>
          <cell r="I96">
            <v>0</v>
          </cell>
          <cell r="J96">
            <v>0</v>
          </cell>
          <cell r="K96">
            <v>6</v>
          </cell>
          <cell r="L96">
            <v>7</v>
          </cell>
          <cell r="M96">
            <v>0</v>
          </cell>
          <cell r="N96">
            <v>0</v>
          </cell>
          <cell r="O96">
            <v>0</v>
          </cell>
          <cell r="P96">
            <v>3</v>
          </cell>
          <cell r="Q96">
            <v>7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9</v>
          </cell>
          <cell r="Y96">
            <v>3</v>
          </cell>
          <cell r="Z96">
            <v>0</v>
          </cell>
          <cell r="AA96">
            <v>3</v>
          </cell>
          <cell r="AB96">
            <v>5</v>
          </cell>
          <cell r="AC96">
            <v>10</v>
          </cell>
          <cell r="AD96">
            <v>9</v>
          </cell>
          <cell r="AE96">
            <v>0</v>
          </cell>
          <cell r="AF96">
            <v>7</v>
          </cell>
          <cell r="AG96">
            <v>0</v>
          </cell>
          <cell r="AH96">
            <v>0</v>
          </cell>
          <cell r="AI96">
            <v>85</v>
          </cell>
          <cell r="AJ96">
            <v>10</v>
          </cell>
          <cell r="AK96">
            <v>14</v>
          </cell>
        </row>
        <row r="97"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33</v>
          </cell>
          <cell r="M97">
            <v>10</v>
          </cell>
          <cell r="N97">
            <v>0</v>
          </cell>
          <cell r="O97">
            <v>0</v>
          </cell>
          <cell r="P97">
            <v>0</v>
          </cell>
          <cell r="Q97">
            <v>33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2.5</v>
          </cell>
          <cell r="W97">
            <v>12</v>
          </cell>
          <cell r="X97">
            <v>42</v>
          </cell>
          <cell r="Y97">
            <v>0</v>
          </cell>
          <cell r="Z97">
            <v>0</v>
          </cell>
          <cell r="AA97">
            <v>0</v>
          </cell>
          <cell r="AB97">
            <v>11</v>
          </cell>
          <cell r="AC97">
            <v>0</v>
          </cell>
          <cell r="AD97">
            <v>7</v>
          </cell>
          <cell r="AE97">
            <v>0</v>
          </cell>
          <cell r="AF97">
            <v>12</v>
          </cell>
          <cell r="AG97">
            <v>0</v>
          </cell>
          <cell r="AH97"/>
          <cell r="AI97">
            <v>162.5</v>
          </cell>
          <cell r="AJ97">
            <v>42</v>
          </cell>
          <cell r="AK97">
            <v>9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6</v>
          </cell>
          <cell r="M98">
            <v>0</v>
          </cell>
          <cell r="N98">
            <v>22</v>
          </cell>
          <cell r="O98">
            <v>0</v>
          </cell>
          <cell r="P98">
            <v>4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5</v>
          </cell>
          <cell r="X98">
            <v>70</v>
          </cell>
          <cell r="Y98">
            <v>25</v>
          </cell>
          <cell r="Z98">
            <v>0</v>
          </cell>
          <cell r="AA98">
            <v>0</v>
          </cell>
          <cell r="AB98">
            <v>25</v>
          </cell>
          <cell r="AC98">
            <v>7</v>
          </cell>
          <cell r="AD98">
            <v>11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175</v>
          </cell>
          <cell r="AJ98">
            <v>70</v>
          </cell>
          <cell r="AK98">
            <v>9</v>
          </cell>
        </row>
        <row r="99">
          <cell r="C99">
            <v>350122006</v>
          </cell>
          <cell r="D99">
            <v>0</v>
          </cell>
          <cell r="E99">
            <v>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14</v>
          </cell>
          <cell r="M99">
            <v>0</v>
          </cell>
          <cell r="N99">
            <v>9</v>
          </cell>
          <cell r="O99">
            <v>0</v>
          </cell>
          <cell r="P99">
            <v>0</v>
          </cell>
          <cell r="Q99">
            <v>3</v>
          </cell>
          <cell r="R99">
            <v>5</v>
          </cell>
          <cell r="S99">
            <v>0</v>
          </cell>
          <cell r="T99">
            <v>2</v>
          </cell>
          <cell r="U99">
            <v>0</v>
          </cell>
          <cell r="V99">
            <v>1</v>
          </cell>
          <cell r="W99">
            <v>3</v>
          </cell>
          <cell r="X99">
            <v>55</v>
          </cell>
          <cell r="Y99">
            <v>10</v>
          </cell>
          <cell r="Z99">
            <v>0</v>
          </cell>
          <cell r="AA99">
            <v>0</v>
          </cell>
          <cell r="AB99">
            <v>32</v>
          </cell>
          <cell r="AC99">
            <v>27</v>
          </cell>
          <cell r="AD99">
            <v>6</v>
          </cell>
          <cell r="AE99">
            <v>0</v>
          </cell>
          <cell r="AF99">
            <v>15</v>
          </cell>
          <cell r="AG99">
            <v>0</v>
          </cell>
          <cell r="AH99">
            <v>0</v>
          </cell>
          <cell r="AI99">
            <v>186</v>
          </cell>
          <cell r="AJ99">
            <v>55</v>
          </cell>
          <cell r="AK99">
            <v>14</v>
          </cell>
        </row>
        <row r="100">
          <cell r="C100">
            <v>350122005</v>
          </cell>
          <cell r="D100">
            <v>0</v>
          </cell>
          <cell r="E100">
            <v>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13</v>
          </cell>
          <cell r="K100">
            <v>1</v>
          </cell>
          <cell r="L100">
            <v>44</v>
          </cell>
          <cell r="M100">
            <v>1</v>
          </cell>
          <cell r="N100">
            <v>0</v>
          </cell>
          <cell r="O100">
            <v>0</v>
          </cell>
          <cell r="P100">
            <v>0</v>
          </cell>
          <cell r="Q100">
            <v>39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12</v>
          </cell>
          <cell r="X100">
            <v>34</v>
          </cell>
          <cell r="Y100">
            <v>0</v>
          </cell>
          <cell r="Z100">
            <v>0</v>
          </cell>
          <cell r="AA100">
            <v>0</v>
          </cell>
          <cell r="AB100">
            <v>5</v>
          </cell>
          <cell r="AC100">
            <v>40</v>
          </cell>
          <cell r="AD100">
            <v>14</v>
          </cell>
          <cell r="AE100">
            <v>0</v>
          </cell>
          <cell r="AF100">
            <v>10</v>
          </cell>
          <cell r="AG100">
            <v>0</v>
          </cell>
          <cell r="AH100">
            <v>0</v>
          </cell>
          <cell r="AI100">
            <v>214</v>
          </cell>
          <cell r="AJ100">
            <v>44</v>
          </cell>
          <cell r="AK100">
            <v>12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18</v>
          </cell>
          <cell r="K101">
            <v>21</v>
          </cell>
          <cell r="L101">
            <v>0</v>
          </cell>
          <cell r="M101">
            <v>0</v>
          </cell>
          <cell r="N101">
            <v>3</v>
          </cell>
          <cell r="O101">
            <v>0</v>
          </cell>
          <cell r="P101">
            <v>2</v>
          </cell>
          <cell r="Q101">
            <v>0</v>
          </cell>
          <cell r="R101">
            <v>0</v>
          </cell>
          <cell r="S101">
            <v>59</v>
          </cell>
          <cell r="T101">
            <v>0</v>
          </cell>
          <cell r="U101">
            <v>0</v>
          </cell>
          <cell r="V101">
            <v>0</v>
          </cell>
          <cell r="W101">
            <v>14</v>
          </cell>
          <cell r="X101">
            <v>51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25</v>
          </cell>
          <cell r="AD101">
            <v>17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210</v>
          </cell>
          <cell r="AJ101">
            <v>59</v>
          </cell>
          <cell r="AK101">
            <v>9</v>
          </cell>
        </row>
        <row r="102">
          <cell r="C102">
            <v>350122003</v>
          </cell>
          <cell r="D102">
            <v>0</v>
          </cell>
          <cell r="E102">
            <v>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84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25</v>
          </cell>
          <cell r="R102">
            <v>0</v>
          </cell>
          <cell r="S102">
            <v>1</v>
          </cell>
          <cell r="T102">
            <v>0</v>
          </cell>
          <cell r="U102">
            <v>37</v>
          </cell>
          <cell r="V102">
            <v>12</v>
          </cell>
          <cell r="W102">
            <v>0</v>
          </cell>
          <cell r="X102">
            <v>27</v>
          </cell>
          <cell r="Y102">
            <v>0</v>
          </cell>
          <cell r="Z102">
            <v>0</v>
          </cell>
          <cell r="AA102">
            <v>0</v>
          </cell>
          <cell r="AB102">
            <v>5</v>
          </cell>
          <cell r="AC102">
            <v>46</v>
          </cell>
          <cell r="AD102">
            <v>23</v>
          </cell>
          <cell r="AE102">
            <v>2</v>
          </cell>
          <cell r="AF102">
            <v>12</v>
          </cell>
          <cell r="AG102">
            <v>0</v>
          </cell>
          <cell r="AH102">
            <v>0</v>
          </cell>
          <cell r="AI102">
            <v>276</v>
          </cell>
          <cell r="AJ102">
            <v>84</v>
          </cell>
          <cell r="AK102">
            <v>12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0</v>
          </cell>
          <cell r="G103">
            <v>9</v>
          </cell>
          <cell r="H103">
            <v>0</v>
          </cell>
          <cell r="I103">
            <v>0</v>
          </cell>
          <cell r="J103">
            <v>0</v>
          </cell>
          <cell r="K103">
            <v>15</v>
          </cell>
          <cell r="L103">
            <v>7</v>
          </cell>
          <cell r="M103">
            <v>0</v>
          </cell>
          <cell r="N103">
            <v>0</v>
          </cell>
          <cell r="O103">
            <v>0</v>
          </cell>
          <cell r="P103">
            <v>2</v>
          </cell>
          <cell r="Q103">
            <v>77</v>
          </cell>
          <cell r="R103">
            <v>0</v>
          </cell>
          <cell r="S103">
            <v>1</v>
          </cell>
          <cell r="T103">
            <v>0</v>
          </cell>
          <cell r="U103">
            <v>0</v>
          </cell>
          <cell r="V103">
            <v>0</v>
          </cell>
          <cell r="W103">
            <v>1</v>
          </cell>
          <cell r="X103">
            <v>16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2</v>
          </cell>
          <cell r="AD103">
            <v>15</v>
          </cell>
          <cell r="AE103">
            <v>0</v>
          </cell>
          <cell r="AF103">
            <v>0</v>
          </cell>
          <cell r="AG103">
            <v>20</v>
          </cell>
          <cell r="AH103">
            <v>0</v>
          </cell>
          <cell r="AI103">
            <v>165</v>
          </cell>
          <cell r="AJ103">
            <v>77</v>
          </cell>
          <cell r="AK103">
            <v>11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19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19</v>
          </cell>
          <cell r="R104">
            <v>1</v>
          </cell>
          <cell r="S104">
            <v>5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42</v>
          </cell>
          <cell r="Y104">
            <v>0</v>
          </cell>
          <cell r="Z104">
            <v>0</v>
          </cell>
          <cell r="AA104">
            <v>0</v>
          </cell>
          <cell r="AB104">
            <v>3</v>
          </cell>
          <cell r="AC104">
            <v>39</v>
          </cell>
          <cell r="AD104">
            <v>26</v>
          </cell>
          <cell r="AE104">
            <v>0</v>
          </cell>
          <cell r="AF104">
            <v>16</v>
          </cell>
          <cell r="AG104">
            <v>0</v>
          </cell>
          <cell r="AH104">
            <v>0</v>
          </cell>
          <cell r="AI104">
            <v>170</v>
          </cell>
          <cell r="AJ104">
            <v>42</v>
          </cell>
          <cell r="AK104">
            <v>9</v>
          </cell>
        </row>
        <row r="105">
          <cell r="C105">
            <v>350619001</v>
          </cell>
          <cell r="D105">
            <v>0</v>
          </cell>
          <cell r="E105">
            <v>0</v>
          </cell>
          <cell r="F105">
            <v>0</v>
          </cell>
          <cell r="G105">
            <v>10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2.5</v>
          </cell>
          <cell r="M105">
            <v>10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29</v>
          </cell>
          <cell r="Y105">
            <v>9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12.5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73</v>
          </cell>
          <cell r="AJ105">
            <v>29</v>
          </cell>
          <cell r="AK105">
            <v>6</v>
          </cell>
        </row>
        <row r="106">
          <cell r="C106">
            <v>350619002</v>
          </cell>
          <cell r="D106">
            <v>19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57</v>
          </cell>
          <cell r="K106">
            <v>0</v>
          </cell>
          <cell r="L106">
            <v>0</v>
          </cell>
          <cell r="M106">
            <v>6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46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7</v>
          </cell>
          <cell r="X106">
            <v>22</v>
          </cell>
          <cell r="Y106">
            <v>19</v>
          </cell>
          <cell r="Z106">
            <v>0</v>
          </cell>
          <cell r="AA106">
            <v>0</v>
          </cell>
          <cell r="AB106">
            <v>16</v>
          </cell>
          <cell r="AC106">
            <v>48</v>
          </cell>
          <cell r="AD106">
            <v>17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257</v>
          </cell>
          <cell r="AJ106">
            <v>57</v>
          </cell>
          <cell r="AK106">
            <v>10</v>
          </cell>
        </row>
        <row r="107">
          <cell r="C107">
            <v>350619003</v>
          </cell>
          <cell r="D107">
            <v>12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6</v>
          </cell>
          <cell r="O107">
            <v>0</v>
          </cell>
          <cell r="P107">
            <v>0</v>
          </cell>
          <cell r="Q107">
            <v>0</v>
          </cell>
          <cell r="R107">
            <v>12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30</v>
          </cell>
          <cell r="Y107">
            <v>12</v>
          </cell>
          <cell r="Z107">
            <v>0</v>
          </cell>
          <cell r="AA107">
            <v>0</v>
          </cell>
          <cell r="AB107">
            <v>0</v>
          </cell>
          <cell r="AC107">
            <v>12</v>
          </cell>
          <cell r="AD107">
            <v>8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92</v>
          </cell>
          <cell r="AJ107">
            <v>30</v>
          </cell>
          <cell r="AK107">
            <v>7</v>
          </cell>
        </row>
        <row r="108">
          <cell r="C108">
            <v>350619004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10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17</v>
          </cell>
          <cell r="W108">
            <v>5</v>
          </cell>
          <cell r="X108">
            <v>10</v>
          </cell>
          <cell r="Y108">
            <v>26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68</v>
          </cell>
          <cell r="AJ108">
            <v>26</v>
          </cell>
          <cell r="AK108">
            <v>5</v>
          </cell>
        </row>
        <row r="109">
          <cell r="C109">
            <v>350619005</v>
          </cell>
          <cell r="D109">
            <v>15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11</v>
          </cell>
          <cell r="K109">
            <v>0</v>
          </cell>
          <cell r="L109">
            <v>0</v>
          </cell>
          <cell r="M109">
            <v>12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17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13</v>
          </cell>
          <cell r="X109">
            <v>29</v>
          </cell>
          <cell r="Y109">
            <v>0</v>
          </cell>
          <cell r="Z109">
            <v>0</v>
          </cell>
          <cell r="AA109">
            <v>0</v>
          </cell>
          <cell r="AB109">
            <v>15</v>
          </cell>
          <cell r="AC109">
            <v>0</v>
          </cell>
          <cell r="AD109">
            <v>65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177</v>
          </cell>
          <cell r="AJ109">
            <v>65</v>
          </cell>
          <cell r="AK109">
            <v>8</v>
          </cell>
        </row>
        <row r="110">
          <cell r="C110">
            <v>350619006</v>
          </cell>
          <cell r="D110">
            <v>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41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41</v>
          </cell>
          <cell r="Y110">
            <v>33</v>
          </cell>
          <cell r="Z110">
            <v>0</v>
          </cell>
          <cell r="AA110">
            <v>0</v>
          </cell>
          <cell r="AB110">
            <v>3</v>
          </cell>
          <cell r="AC110">
            <v>30</v>
          </cell>
          <cell r="AD110">
            <v>2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164</v>
          </cell>
          <cell r="AJ110">
            <v>41</v>
          </cell>
          <cell r="AK110">
            <v>8</v>
          </cell>
        </row>
        <row r="111">
          <cell r="C111">
            <v>350619007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54</v>
          </cell>
          <cell r="O111">
            <v>0</v>
          </cell>
          <cell r="P111">
            <v>0</v>
          </cell>
          <cell r="Q111">
            <v>0</v>
          </cell>
          <cell r="R111">
            <v>16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6</v>
          </cell>
          <cell r="X111">
            <v>28</v>
          </cell>
          <cell r="Y111">
            <v>14</v>
          </cell>
          <cell r="Z111">
            <v>0</v>
          </cell>
          <cell r="AA111">
            <v>0</v>
          </cell>
          <cell r="AB111">
            <v>0</v>
          </cell>
          <cell r="AC111">
            <v>5</v>
          </cell>
          <cell r="AD111">
            <v>16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139</v>
          </cell>
          <cell r="AJ111">
            <v>54</v>
          </cell>
          <cell r="AK111">
            <v>7</v>
          </cell>
        </row>
        <row r="112">
          <cell r="C112">
            <v>350619008</v>
          </cell>
          <cell r="D112">
            <v>5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17</v>
          </cell>
          <cell r="M112">
            <v>20</v>
          </cell>
          <cell r="N112">
            <v>5</v>
          </cell>
          <cell r="O112">
            <v>0</v>
          </cell>
          <cell r="P112">
            <v>0</v>
          </cell>
          <cell r="Q112">
            <v>0</v>
          </cell>
          <cell r="R112">
            <v>14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6</v>
          </cell>
          <cell r="X112">
            <v>23</v>
          </cell>
          <cell r="Y112">
            <v>14</v>
          </cell>
          <cell r="Z112">
            <v>0</v>
          </cell>
          <cell r="AA112">
            <v>0</v>
          </cell>
          <cell r="AB112">
            <v>25</v>
          </cell>
          <cell r="AC112">
            <v>45</v>
          </cell>
          <cell r="AD112">
            <v>23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197</v>
          </cell>
          <cell r="AJ112">
            <v>45</v>
          </cell>
          <cell r="AK112">
            <v>11</v>
          </cell>
        </row>
        <row r="113">
          <cell r="C113">
            <v>350619009</v>
          </cell>
          <cell r="D113">
            <v>20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5</v>
          </cell>
          <cell r="L113">
            <v>9</v>
          </cell>
          <cell r="M113">
            <v>7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23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15</v>
          </cell>
          <cell r="X113">
            <v>23</v>
          </cell>
          <cell r="Y113">
            <v>14</v>
          </cell>
          <cell r="Z113">
            <v>0</v>
          </cell>
          <cell r="AA113">
            <v>0</v>
          </cell>
          <cell r="AB113">
            <v>25</v>
          </cell>
          <cell r="AC113">
            <v>23</v>
          </cell>
          <cell r="AD113">
            <v>23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187</v>
          </cell>
          <cell r="AJ113">
            <v>25</v>
          </cell>
          <cell r="AK113">
            <v>11</v>
          </cell>
        </row>
        <row r="114">
          <cell r="C114">
            <v>350619010</v>
          </cell>
          <cell r="D114">
            <v>8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6</v>
          </cell>
          <cell r="L114">
            <v>12</v>
          </cell>
          <cell r="M114">
            <v>18</v>
          </cell>
          <cell r="N114">
            <v>9</v>
          </cell>
          <cell r="O114">
            <v>0</v>
          </cell>
          <cell r="P114">
            <v>0</v>
          </cell>
          <cell r="Q114">
            <v>0</v>
          </cell>
          <cell r="R114">
            <v>35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7</v>
          </cell>
          <cell r="X114">
            <v>26</v>
          </cell>
          <cell r="Y114">
            <v>20</v>
          </cell>
          <cell r="Z114">
            <v>0</v>
          </cell>
          <cell r="AA114">
            <v>0</v>
          </cell>
          <cell r="AB114">
            <v>16</v>
          </cell>
          <cell r="AC114">
            <v>25</v>
          </cell>
          <cell r="AD114">
            <v>20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202</v>
          </cell>
          <cell r="AJ114">
            <v>35</v>
          </cell>
          <cell r="AK114">
            <v>12</v>
          </cell>
        </row>
        <row r="115">
          <cell r="C115">
            <v>350619011</v>
          </cell>
          <cell r="D115">
            <v>9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18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37</v>
          </cell>
          <cell r="Y115">
            <v>20</v>
          </cell>
          <cell r="Z115">
            <v>0</v>
          </cell>
          <cell r="AA115">
            <v>0</v>
          </cell>
          <cell r="AB115">
            <v>28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112</v>
          </cell>
          <cell r="AJ115">
            <v>37</v>
          </cell>
          <cell r="AK115">
            <v>5</v>
          </cell>
        </row>
        <row r="116">
          <cell r="C116">
            <v>350619012</v>
          </cell>
          <cell r="D116">
            <v>5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5</v>
          </cell>
          <cell r="K116">
            <v>0</v>
          </cell>
          <cell r="L116">
            <v>0</v>
          </cell>
          <cell r="M116">
            <v>0</v>
          </cell>
          <cell r="N116">
            <v>10</v>
          </cell>
          <cell r="O116">
            <v>0</v>
          </cell>
          <cell r="P116">
            <v>0</v>
          </cell>
          <cell r="Q116">
            <v>0</v>
          </cell>
          <cell r="R116">
            <v>34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6</v>
          </cell>
          <cell r="X116">
            <v>25</v>
          </cell>
          <cell r="Y116">
            <v>23</v>
          </cell>
          <cell r="Z116">
            <v>0</v>
          </cell>
          <cell r="AA116">
            <v>0</v>
          </cell>
          <cell r="AB116">
            <v>9</v>
          </cell>
          <cell r="AC116">
            <v>14</v>
          </cell>
          <cell r="AD116">
            <v>15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146</v>
          </cell>
          <cell r="AJ116">
            <v>34</v>
          </cell>
          <cell r="AK116">
            <v>10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6</v>
          </cell>
          <cell r="I117">
            <v>0</v>
          </cell>
          <cell r="J117">
            <v>0</v>
          </cell>
          <cell r="K117">
            <v>0</v>
          </cell>
          <cell r="L117">
            <v>14</v>
          </cell>
          <cell r="M117">
            <v>0</v>
          </cell>
          <cell r="N117">
            <v>7</v>
          </cell>
          <cell r="O117">
            <v>0</v>
          </cell>
          <cell r="P117">
            <v>0</v>
          </cell>
          <cell r="Q117">
            <v>5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11</v>
          </cell>
          <cell r="X117">
            <v>22</v>
          </cell>
          <cell r="Y117">
            <v>5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37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107</v>
          </cell>
          <cell r="AJ117">
            <v>37</v>
          </cell>
          <cell r="AK117">
            <v>8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5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6</v>
          </cell>
          <cell r="X118">
            <v>7</v>
          </cell>
          <cell r="Y118">
            <v>5</v>
          </cell>
          <cell r="Z118">
            <v>0</v>
          </cell>
          <cell r="AA118">
            <v>0</v>
          </cell>
          <cell r="AB118">
            <v>0</v>
          </cell>
          <cell r="AC118">
            <v>5</v>
          </cell>
          <cell r="AD118">
            <v>11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39</v>
          </cell>
          <cell r="AJ118">
            <v>11</v>
          </cell>
          <cell r="AK118">
            <v>6</v>
          </cell>
        </row>
        <row r="119">
          <cell r="C119">
            <v>350619015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5</v>
          </cell>
          <cell r="K119">
            <v>0</v>
          </cell>
          <cell r="L119">
            <v>0</v>
          </cell>
          <cell r="M119">
            <v>0</v>
          </cell>
          <cell r="N119">
            <v>17</v>
          </cell>
          <cell r="O119">
            <v>0</v>
          </cell>
          <cell r="P119">
            <v>0</v>
          </cell>
          <cell r="Q119">
            <v>0</v>
          </cell>
          <cell r="R119">
            <v>12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7</v>
          </cell>
          <cell r="X119">
            <v>24</v>
          </cell>
          <cell r="Y119">
            <v>10</v>
          </cell>
          <cell r="Z119">
            <v>0</v>
          </cell>
          <cell r="AA119">
            <v>0</v>
          </cell>
          <cell r="AB119">
            <v>1</v>
          </cell>
          <cell r="AC119">
            <v>0</v>
          </cell>
          <cell r="AD119">
            <v>22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98</v>
          </cell>
          <cell r="AJ119">
            <v>24</v>
          </cell>
          <cell r="AK119">
            <v>8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24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16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17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57</v>
          </cell>
          <cell r="AJ120">
            <v>24</v>
          </cell>
          <cell r="AK120">
            <v>3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5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6</v>
          </cell>
          <cell r="X121">
            <v>8</v>
          </cell>
          <cell r="Y121">
            <v>5</v>
          </cell>
          <cell r="Z121">
            <v>0</v>
          </cell>
          <cell r="AA121">
            <v>0</v>
          </cell>
          <cell r="AB121">
            <v>0</v>
          </cell>
          <cell r="AC121">
            <v>5</v>
          </cell>
          <cell r="AD121">
            <v>12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41</v>
          </cell>
          <cell r="AJ121">
            <v>12</v>
          </cell>
          <cell r="AK121">
            <v>6</v>
          </cell>
        </row>
        <row r="122">
          <cell r="C122">
            <v>350619018</v>
          </cell>
          <cell r="D122">
            <v>0</v>
          </cell>
          <cell r="E122">
            <v>0</v>
          </cell>
          <cell r="F122">
            <v>0</v>
          </cell>
          <cell r="G122">
            <v>6</v>
          </cell>
          <cell r="H122">
            <v>0</v>
          </cell>
          <cell r="I122">
            <v>0</v>
          </cell>
          <cell r="J122">
            <v>0</v>
          </cell>
          <cell r="K122">
            <v>6</v>
          </cell>
          <cell r="L122">
            <v>5</v>
          </cell>
          <cell r="M122">
            <v>0</v>
          </cell>
          <cell r="N122">
            <v>7</v>
          </cell>
          <cell r="O122">
            <v>5</v>
          </cell>
          <cell r="P122">
            <v>8</v>
          </cell>
          <cell r="Q122">
            <v>0</v>
          </cell>
          <cell r="R122">
            <v>5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6</v>
          </cell>
          <cell r="Y122">
            <v>3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14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65</v>
          </cell>
          <cell r="AJ122">
            <v>14</v>
          </cell>
          <cell r="AK122">
            <v>10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6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7</v>
          </cell>
          <cell r="X123">
            <v>6</v>
          </cell>
          <cell r="Y123">
            <v>4</v>
          </cell>
          <cell r="Z123">
            <v>0</v>
          </cell>
          <cell r="AA123">
            <v>0</v>
          </cell>
          <cell r="AB123">
            <v>0</v>
          </cell>
          <cell r="AC123">
            <v>4</v>
          </cell>
          <cell r="AD123">
            <v>10.5</v>
          </cell>
          <cell r="AE123">
            <v>0</v>
          </cell>
          <cell r="AF123">
            <v>0</v>
          </cell>
          <cell r="AG123">
            <v>0</v>
          </cell>
          <cell r="AH123">
            <v>15</v>
          </cell>
          <cell r="AI123">
            <v>52.5</v>
          </cell>
          <cell r="AJ123">
            <v>15</v>
          </cell>
          <cell r="AK123">
            <v>7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5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16</v>
          </cell>
          <cell r="X124">
            <v>21</v>
          </cell>
          <cell r="Y124">
            <v>5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6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53</v>
          </cell>
          <cell r="AJ124">
            <v>21</v>
          </cell>
          <cell r="AK124">
            <v>5</v>
          </cell>
        </row>
        <row r="125">
          <cell r="C125">
            <v>350619021</v>
          </cell>
          <cell r="D125">
            <v>0</v>
          </cell>
          <cell r="E125">
            <v>0</v>
          </cell>
          <cell r="F125">
            <v>0</v>
          </cell>
          <cell r="G125">
            <v>4</v>
          </cell>
          <cell r="H125">
            <v>7</v>
          </cell>
          <cell r="I125">
            <v>0</v>
          </cell>
          <cell r="J125">
            <v>12</v>
          </cell>
          <cell r="K125">
            <v>0</v>
          </cell>
          <cell r="L125">
            <v>1</v>
          </cell>
          <cell r="M125">
            <v>6</v>
          </cell>
          <cell r="N125">
            <v>15</v>
          </cell>
          <cell r="O125">
            <v>0</v>
          </cell>
          <cell r="P125">
            <v>2</v>
          </cell>
          <cell r="Q125">
            <v>4</v>
          </cell>
          <cell r="R125">
            <v>6</v>
          </cell>
          <cell r="S125">
            <v>0</v>
          </cell>
          <cell r="T125">
            <v>0</v>
          </cell>
          <cell r="U125">
            <v>0</v>
          </cell>
          <cell r="V125">
            <v>1</v>
          </cell>
          <cell r="W125">
            <v>4</v>
          </cell>
          <cell r="X125">
            <v>23</v>
          </cell>
          <cell r="Y125">
            <v>1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21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107</v>
          </cell>
          <cell r="AJ125">
            <v>23</v>
          </cell>
          <cell r="AK125">
            <v>14</v>
          </cell>
        </row>
        <row r="126">
          <cell r="C126">
            <v>350619022</v>
          </cell>
          <cell r="D126">
            <v>0</v>
          </cell>
          <cell r="E126">
            <v>0</v>
          </cell>
          <cell r="F126">
            <v>0</v>
          </cell>
          <cell r="G126">
            <v>45</v>
          </cell>
          <cell r="H126">
            <v>26</v>
          </cell>
          <cell r="I126">
            <v>1</v>
          </cell>
          <cell r="J126">
            <v>17</v>
          </cell>
          <cell r="K126">
            <v>14</v>
          </cell>
          <cell r="L126">
            <v>9</v>
          </cell>
          <cell r="M126">
            <v>28</v>
          </cell>
          <cell r="N126">
            <v>60</v>
          </cell>
          <cell r="O126">
            <v>30</v>
          </cell>
          <cell r="P126">
            <v>22</v>
          </cell>
          <cell r="Q126">
            <v>0</v>
          </cell>
          <cell r="R126">
            <v>13</v>
          </cell>
          <cell r="S126">
            <v>0</v>
          </cell>
          <cell r="T126">
            <v>0</v>
          </cell>
          <cell r="U126">
            <v>0</v>
          </cell>
          <cell r="V126">
            <v>51</v>
          </cell>
          <cell r="W126">
            <v>6</v>
          </cell>
          <cell r="X126">
            <v>44</v>
          </cell>
          <cell r="Y126">
            <v>17</v>
          </cell>
          <cell r="Z126">
            <v>0</v>
          </cell>
          <cell r="AA126">
            <v>0</v>
          </cell>
          <cell r="AB126">
            <v>0</v>
          </cell>
          <cell r="AC126">
            <v>1</v>
          </cell>
          <cell r="AD126">
            <v>61</v>
          </cell>
          <cell r="AE126">
            <v>0</v>
          </cell>
          <cell r="AF126">
            <v>11</v>
          </cell>
          <cell r="AG126">
            <v>0</v>
          </cell>
          <cell r="AH126">
            <v>0</v>
          </cell>
          <cell r="AI126">
            <v>456</v>
          </cell>
          <cell r="AJ126">
            <v>61</v>
          </cell>
          <cell r="AK126">
            <v>18</v>
          </cell>
        </row>
        <row r="127">
          <cell r="C127">
            <v>350619023</v>
          </cell>
          <cell r="D127">
            <v>0</v>
          </cell>
          <cell r="E127">
            <v>0</v>
          </cell>
          <cell r="F127">
            <v>0</v>
          </cell>
          <cell r="G127">
            <v>33</v>
          </cell>
          <cell r="H127">
            <v>2</v>
          </cell>
          <cell r="I127">
            <v>0</v>
          </cell>
          <cell r="J127">
            <v>3</v>
          </cell>
          <cell r="K127">
            <v>2</v>
          </cell>
          <cell r="L127">
            <v>0</v>
          </cell>
          <cell r="M127">
            <v>5</v>
          </cell>
          <cell r="N127">
            <v>47</v>
          </cell>
          <cell r="O127">
            <v>4</v>
          </cell>
          <cell r="P127">
            <v>0</v>
          </cell>
          <cell r="Q127">
            <v>0</v>
          </cell>
          <cell r="R127">
            <v>13</v>
          </cell>
          <cell r="S127">
            <v>0</v>
          </cell>
          <cell r="T127">
            <v>0</v>
          </cell>
          <cell r="U127">
            <v>4</v>
          </cell>
          <cell r="V127">
            <v>33</v>
          </cell>
          <cell r="W127">
            <v>8</v>
          </cell>
          <cell r="X127">
            <v>0</v>
          </cell>
          <cell r="Y127">
            <v>21</v>
          </cell>
          <cell r="Z127">
            <v>17</v>
          </cell>
          <cell r="AA127">
            <v>0</v>
          </cell>
          <cell r="AB127">
            <v>0</v>
          </cell>
          <cell r="AC127">
            <v>0</v>
          </cell>
          <cell r="AD127">
            <v>41</v>
          </cell>
          <cell r="AE127">
            <v>0</v>
          </cell>
          <cell r="AF127">
            <v>10</v>
          </cell>
          <cell r="AG127">
            <v>3</v>
          </cell>
          <cell r="AH127">
            <v>0</v>
          </cell>
          <cell r="AI127">
            <v>246</v>
          </cell>
          <cell r="AJ127">
            <v>47</v>
          </cell>
          <cell r="AK127">
            <v>16</v>
          </cell>
        </row>
        <row r="128">
          <cell r="C128">
            <v>350619024</v>
          </cell>
          <cell r="D128">
            <v>0</v>
          </cell>
          <cell r="E128">
            <v>0</v>
          </cell>
          <cell r="F128">
            <v>0</v>
          </cell>
          <cell r="G128">
            <v>7</v>
          </cell>
          <cell r="H128">
            <v>5</v>
          </cell>
          <cell r="I128">
            <v>0</v>
          </cell>
          <cell r="J128">
            <v>17</v>
          </cell>
          <cell r="K128">
            <v>0</v>
          </cell>
          <cell r="L128">
            <v>4</v>
          </cell>
          <cell r="M128">
            <v>13</v>
          </cell>
          <cell r="N128">
            <v>12</v>
          </cell>
          <cell r="O128">
            <v>0</v>
          </cell>
          <cell r="P128">
            <v>4</v>
          </cell>
          <cell r="Q128">
            <v>8</v>
          </cell>
          <cell r="R128">
            <v>10</v>
          </cell>
          <cell r="S128">
            <v>0</v>
          </cell>
          <cell r="T128">
            <v>0</v>
          </cell>
          <cell r="U128">
            <v>0</v>
          </cell>
          <cell r="V128">
            <v>8</v>
          </cell>
          <cell r="W128">
            <v>6</v>
          </cell>
          <cell r="X128">
            <v>19</v>
          </cell>
          <cell r="Y128">
            <v>7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30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150</v>
          </cell>
          <cell r="AJ128">
            <v>30</v>
          </cell>
          <cell r="AK128">
            <v>14</v>
          </cell>
        </row>
        <row r="129">
          <cell r="C129">
            <v>350619025</v>
          </cell>
          <cell r="D129">
            <v>0</v>
          </cell>
          <cell r="E129">
            <v>0</v>
          </cell>
          <cell r="F129">
            <v>0</v>
          </cell>
          <cell r="G129">
            <v>3</v>
          </cell>
          <cell r="H129">
            <v>6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6</v>
          </cell>
          <cell r="N129">
            <v>4</v>
          </cell>
          <cell r="O129">
            <v>2</v>
          </cell>
          <cell r="P129">
            <v>0</v>
          </cell>
          <cell r="Q129">
            <v>7</v>
          </cell>
          <cell r="R129">
            <v>4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20</v>
          </cell>
          <cell r="X129">
            <v>12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16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80</v>
          </cell>
          <cell r="AJ129">
            <v>20</v>
          </cell>
          <cell r="AK129">
            <v>10</v>
          </cell>
        </row>
        <row r="130">
          <cell r="C130">
            <v>350619026</v>
          </cell>
          <cell r="D130">
            <v>0</v>
          </cell>
          <cell r="E130">
            <v>0</v>
          </cell>
          <cell r="F130">
            <v>5</v>
          </cell>
          <cell r="G130">
            <v>7</v>
          </cell>
          <cell r="H130">
            <v>0</v>
          </cell>
          <cell r="I130">
            <v>10</v>
          </cell>
          <cell r="J130">
            <v>0</v>
          </cell>
          <cell r="K130">
            <v>0</v>
          </cell>
          <cell r="L130">
            <v>4</v>
          </cell>
          <cell r="M130">
            <v>0</v>
          </cell>
          <cell r="N130">
            <v>22</v>
          </cell>
          <cell r="O130">
            <v>25</v>
          </cell>
          <cell r="P130">
            <v>17</v>
          </cell>
          <cell r="Q130">
            <v>13</v>
          </cell>
          <cell r="R130">
            <v>8</v>
          </cell>
          <cell r="S130">
            <v>11</v>
          </cell>
          <cell r="T130">
            <v>0</v>
          </cell>
          <cell r="U130">
            <v>7</v>
          </cell>
          <cell r="V130">
            <v>13</v>
          </cell>
          <cell r="W130">
            <v>9</v>
          </cell>
          <cell r="X130">
            <v>8</v>
          </cell>
          <cell r="Y130">
            <v>15</v>
          </cell>
          <cell r="Z130">
            <v>10</v>
          </cell>
          <cell r="AA130">
            <v>5</v>
          </cell>
          <cell r="AB130">
            <v>7</v>
          </cell>
          <cell r="AC130">
            <v>12</v>
          </cell>
          <cell r="AD130">
            <v>15</v>
          </cell>
          <cell r="AE130">
            <v>8</v>
          </cell>
          <cell r="AF130">
            <v>4</v>
          </cell>
          <cell r="AG130">
            <v>0</v>
          </cell>
          <cell r="AH130">
            <v>0</v>
          </cell>
          <cell r="AI130">
            <v>235</v>
          </cell>
          <cell r="AJ130">
            <v>25</v>
          </cell>
          <cell r="AK130">
            <v>22</v>
          </cell>
        </row>
        <row r="131">
          <cell r="C131">
            <v>350619027</v>
          </cell>
          <cell r="D131">
            <v>0</v>
          </cell>
          <cell r="E131">
            <v>0</v>
          </cell>
          <cell r="F131">
            <v>0</v>
          </cell>
          <cell r="G131">
            <v>3</v>
          </cell>
          <cell r="H131">
            <v>0</v>
          </cell>
          <cell r="I131">
            <v>0</v>
          </cell>
          <cell r="J131">
            <v>2</v>
          </cell>
          <cell r="K131">
            <v>0</v>
          </cell>
          <cell r="L131">
            <v>0</v>
          </cell>
          <cell r="M131">
            <v>13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33</v>
          </cell>
          <cell r="Y131">
            <v>5</v>
          </cell>
          <cell r="Z131">
            <v>0</v>
          </cell>
          <cell r="AA131">
            <v>0</v>
          </cell>
          <cell r="AB131">
            <v>0</v>
          </cell>
          <cell r="AC131">
            <v>5</v>
          </cell>
          <cell r="AD131">
            <v>17</v>
          </cell>
          <cell r="AE131">
            <v>11</v>
          </cell>
          <cell r="AF131">
            <v>0</v>
          </cell>
          <cell r="AG131">
            <v>0</v>
          </cell>
          <cell r="AH131">
            <v>0</v>
          </cell>
          <cell r="AI131">
            <v>90</v>
          </cell>
          <cell r="AJ131">
            <v>33</v>
          </cell>
          <cell r="AK131">
            <v>9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8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10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9</v>
          </cell>
          <cell r="W132">
            <v>12</v>
          </cell>
          <cell r="X132">
            <v>30</v>
          </cell>
          <cell r="Y132">
            <v>5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15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89</v>
          </cell>
          <cell r="AJ132">
            <v>30</v>
          </cell>
          <cell r="AK132">
            <v>7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3</v>
          </cell>
          <cell r="H133">
            <v>11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10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</v>
          </cell>
          <cell r="W133">
            <v>0</v>
          </cell>
          <cell r="X133">
            <v>11</v>
          </cell>
          <cell r="Y133">
            <v>15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17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69</v>
          </cell>
          <cell r="AJ133">
            <v>17</v>
          </cell>
          <cell r="AK133">
            <v>7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8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5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53</v>
          </cell>
          <cell r="Y134">
            <v>5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8</v>
          </cell>
          <cell r="AE134"/>
          <cell r="AF134">
            <v>0</v>
          </cell>
          <cell r="AG134">
            <v>0</v>
          </cell>
          <cell r="AH134">
            <v>0</v>
          </cell>
          <cell r="AI134">
            <v>79</v>
          </cell>
          <cell r="AJ134">
            <v>53</v>
          </cell>
          <cell r="AK134">
            <v>5</v>
          </cell>
        </row>
        <row r="135">
          <cell r="C135">
            <v>350619031</v>
          </cell>
          <cell r="D135">
            <v>0</v>
          </cell>
          <cell r="E135">
            <v>0</v>
          </cell>
          <cell r="F135">
            <v>0</v>
          </cell>
          <cell r="G135">
            <v>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2</v>
          </cell>
          <cell r="N135">
            <v>2</v>
          </cell>
          <cell r="O135">
            <v>0</v>
          </cell>
          <cell r="P135">
            <v>2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</v>
          </cell>
          <cell r="W135">
            <v>8</v>
          </cell>
          <cell r="X135">
            <v>6</v>
          </cell>
          <cell r="Y135">
            <v>3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10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51</v>
          </cell>
          <cell r="AJ135">
            <v>10</v>
          </cell>
          <cell r="AK135">
            <v>9</v>
          </cell>
        </row>
        <row r="136">
          <cell r="C136">
            <v>350619032</v>
          </cell>
          <cell r="D136">
            <v>0</v>
          </cell>
          <cell r="E136">
            <v>0</v>
          </cell>
          <cell r="F136">
            <v>7</v>
          </cell>
          <cell r="G136">
            <v>22</v>
          </cell>
          <cell r="H136">
            <v>18</v>
          </cell>
          <cell r="I136">
            <v>0</v>
          </cell>
          <cell r="J136">
            <v>0</v>
          </cell>
          <cell r="K136">
            <v>48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3</v>
          </cell>
          <cell r="S136">
            <v>0</v>
          </cell>
          <cell r="T136">
            <v>0</v>
          </cell>
          <cell r="U136">
            <v>0</v>
          </cell>
          <cell r="V136">
            <v>6</v>
          </cell>
          <cell r="W136">
            <v>26</v>
          </cell>
          <cell r="X136">
            <v>2</v>
          </cell>
          <cell r="Y136">
            <v>23</v>
          </cell>
          <cell r="Z136">
            <v>0</v>
          </cell>
          <cell r="AA136">
            <v>0</v>
          </cell>
          <cell r="AB136">
            <v>0</v>
          </cell>
          <cell r="AC136">
            <v>14</v>
          </cell>
          <cell r="AD136">
            <v>10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179</v>
          </cell>
          <cell r="AJ136">
            <v>48</v>
          </cell>
          <cell r="AK136">
            <v>11</v>
          </cell>
        </row>
        <row r="137">
          <cell r="C137">
            <v>350619033</v>
          </cell>
          <cell r="D137">
            <v>0</v>
          </cell>
          <cell r="E137">
            <v>0</v>
          </cell>
          <cell r="F137">
            <v>17</v>
          </cell>
          <cell r="G137">
            <v>14</v>
          </cell>
          <cell r="H137">
            <v>5</v>
          </cell>
          <cell r="I137">
            <v>0</v>
          </cell>
          <cell r="J137">
            <v>0</v>
          </cell>
          <cell r="K137">
            <v>0</v>
          </cell>
          <cell r="L137">
            <v>19</v>
          </cell>
          <cell r="M137">
            <v>0</v>
          </cell>
          <cell r="N137">
            <v>4</v>
          </cell>
          <cell r="O137">
            <v>0</v>
          </cell>
          <cell r="P137">
            <v>0</v>
          </cell>
          <cell r="Q137">
            <v>2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23</v>
          </cell>
          <cell r="W137">
            <v>6</v>
          </cell>
          <cell r="X137">
            <v>4</v>
          </cell>
          <cell r="Y137">
            <v>8</v>
          </cell>
          <cell r="Z137">
            <v>0</v>
          </cell>
          <cell r="AA137">
            <v>0</v>
          </cell>
          <cell r="AB137">
            <v>0</v>
          </cell>
          <cell r="AC137">
            <v>6</v>
          </cell>
          <cell r="AD137">
            <v>4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112</v>
          </cell>
          <cell r="AJ137">
            <v>23</v>
          </cell>
          <cell r="AK137">
            <v>12</v>
          </cell>
        </row>
        <row r="138">
          <cell r="C138">
            <v>350619034</v>
          </cell>
          <cell r="D138">
            <v>0</v>
          </cell>
          <cell r="E138">
            <v>0</v>
          </cell>
          <cell r="F138">
            <v>16</v>
          </cell>
          <cell r="G138">
            <v>15</v>
          </cell>
          <cell r="H138">
            <v>6</v>
          </cell>
          <cell r="I138">
            <v>0</v>
          </cell>
          <cell r="J138">
            <v>0</v>
          </cell>
          <cell r="K138">
            <v>0</v>
          </cell>
          <cell r="L138">
            <v>16</v>
          </cell>
          <cell r="M138">
            <v>0</v>
          </cell>
          <cell r="N138">
            <v>11</v>
          </cell>
          <cell r="O138">
            <v>0</v>
          </cell>
          <cell r="P138">
            <v>0</v>
          </cell>
          <cell r="Q138">
            <v>6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9</v>
          </cell>
          <cell r="W138">
            <v>10</v>
          </cell>
          <cell r="X138">
            <v>4</v>
          </cell>
          <cell r="Y138">
            <v>6</v>
          </cell>
          <cell r="Z138">
            <v>0</v>
          </cell>
          <cell r="AA138">
            <v>0</v>
          </cell>
          <cell r="AB138">
            <v>0</v>
          </cell>
          <cell r="AC138">
            <v>5</v>
          </cell>
          <cell r="AD138">
            <v>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108</v>
          </cell>
          <cell r="AJ138">
            <v>16</v>
          </cell>
          <cell r="AK138">
            <v>12</v>
          </cell>
        </row>
        <row r="139">
          <cell r="C139">
            <v>350619035</v>
          </cell>
          <cell r="D139">
            <v>0</v>
          </cell>
          <cell r="E139">
            <v>0</v>
          </cell>
          <cell r="F139">
            <v>5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18</v>
          </cell>
          <cell r="M139">
            <v>20</v>
          </cell>
          <cell r="N139">
            <v>6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5</v>
          </cell>
          <cell r="V139">
            <v>0</v>
          </cell>
          <cell r="W139">
            <v>24</v>
          </cell>
          <cell r="X139">
            <v>26</v>
          </cell>
          <cell r="Y139">
            <v>11</v>
          </cell>
          <cell r="Z139">
            <v>0</v>
          </cell>
          <cell r="AA139">
            <v>0</v>
          </cell>
          <cell r="AB139">
            <v>14</v>
          </cell>
          <cell r="AC139">
            <v>6</v>
          </cell>
          <cell r="AD139">
            <v>22</v>
          </cell>
          <cell r="AE139">
            <v>0</v>
          </cell>
          <cell r="AF139">
            <v>8</v>
          </cell>
          <cell r="AG139">
            <v>0</v>
          </cell>
          <cell r="AH139">
            <v>0</v>
          </cell>
          <cell r="AI139">
            <v>165</v>
          </cell>
          <cell r="AJ139">
            <v>26</v>
          </cell>
          <cell r="AK139">
            <v>12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17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8</v>
          </cell>
          <cell r="W140">
            <v>14</v>
          </cell>
          <cell r="X140">
            <v>28</v>
          </cell>
          <cell r="Y140">
            <v>5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16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88</v>
          </cell>
          <cell r="AJ140">
            <v>28</v>
          </cell>
          <cell r="AK140">
            <v>6</v>
          </cell>
        </row>
        <row r="141">
          <cell r="C141">
            <v>350620001</v>
          </cell>
          <cell r="D141">
            <v>1</v>
          </cell>
          <cell r="E141">
            <v>0</v>
          </cell>
          <cell r="F141">
            <v>0</v>
          </cell>
          <cell r="G141">
            <v>2</v>
          </cell>
          <cell r="H141">
            <v>0</v>
          </cell>
          <cell r="I141">
            <v>0</v>
          </cell>
          <cell r="J141">
            <v>2</v>
          </cell>
          <cell r="K141">
            <v>0</v>
          </cell>
          <cell r="L141">
            <v>0</v>
          </cell>
          <cell r="M141">
            <v>6</v>
          </cell>
          <cell r="N141">
            <v>0</v>
          </cell>
          <cell r="O141">
            <v>0</v>
          </cell>
          <cell r="P141">
            <v>1</v>
          </cell>
          <cell r="Q141">
            <v>23</v>
          </cell>
          <cell r="R141">
            <v>2</v>
          </cell>
          <cell r="S141">
            <v>0</v>
          </cell>
          <cell r="T141">
            <v>0</v>
          </cell>
          <cell r="U141">
            <v>0</v>
          </cell>
          <cell r="V141">
            <v>2</v>
          </cell>
          <cell r="W141">
            <v>8</v>
          </cell>
          <cell r="X141">
            <v>7</v>
          </cell>
          <cell r="Y141">
            <v>23</v>
          </cell>
          <cell r="Z141">
            <v>0</v>
          </cell>
          <cell r="AA141">
            <v>0</v>
          </cell>
          <cell r="AB141">
            <v>1</v>
          </cell>
          <cell r="AC141">
            <v>3</v>
          </cell>
          <cell r="AD141">
            <v>19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100</v>
          </cell>
          <cell r="AJ141">
            <v>23</v>
          </cell>
          <cell r="AK141">
            <v>14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17</v>
          </cell>
          <cell r="K142">
            <v>0</v>
          </cell>
          <cell r="L142">
            <v>0</v>
          </cell>
          <cell r="M142">
            <v>4</v>
          </cell>
          <cell r="N142">
            <v>0</v>
          </cell>
          <cell r="O142">
            <v>0</v>
          </cell>
          <cell r="P142">
            <v>0</v>
          </cell>
          <cell r="Q142">
            <v>14</v>
          </cell>
          <cell r="R142">
            <v>28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4</v>
          </cell>
          <cell r="X142">
            <v>9</v>
          </cell>
          <cell r="Y142">
            <v>19</v>
          </cell>
          <cell r="Z142">
            <v>2</v>
          </cell>
          <cell r="AA142">
            <v>0</v>
          </cell>
          <cell r="AB142">
            <v>0</v>
          </cell>
          <cell r="AC142">
            <v>5</v>
          </cell>
          <cell r="AD142">
            <v>15</v>
          </cell>
          <cell r="AE142">
            <v>6</v>
          </cell>
          <cell r="AF142">
            <v>0</v>
          </cell>
          <cell r="AG142">
            <v>0</v>
          </cell>
          <cell r="AH142">
            <v>0</v>
          </cell>
          <cell r="AI142">
            <v>123</v>
          </cell>
          <cell r="AJ142">
            <v>28</v>
          </cell>
          <cell r="AK142">
            <v>11</v>
          </cell>
        </row>
        <row r="143">
          <cell r="C143">
            <v>350620003</v>
          </cell>
          <cell r="D143">
            <v>0</v>
          </cell>
          <cell r="E143">
            <v>0</v>
          </cell>
          <cell r="F143">
            <v>3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5</v>
          </cell>
          <cell r="L143">
            <v>50</v>
          </cell>
          <cell r="M143">
            <v>15</v>
          </cell>
          <cell r="N143">
            <v>4</v>
          </cell>
          <cell r="O143">
            <v>0</v>
          </cell>
          <cell r="P143">
            <v>0</v>
          </cell>
          <cell r="Q143">
            <v>50</v>
          </cell>
          <cell r="R143">
            <v>1</v>
          </cell>
          <cell r="S143">
            <v>0</v>
          </cell>
          <cell r="T143">
            <v>0</v>
          </cell>
          <cell r="U143">
            <v>0</v>
          </cell>
          <cell r="V143">
            <v>63</v>
          </cell>
          <cell r="W143">
            <v>17</v>
          </cell>
          <cell r="X143">
            <v>13</v>
          </cell>
          <cell r="Y143">
            <v>14</v>
          </cell>
          <cell r="Z143">
            <v>0</v>
          </cell>
          <cell r="AA143">
            <v>0</v>
          </cell>
          <cell r="AB143">
            <v>0</v>
          </cell>
          <cell r="AC143">
            <v>2</v>
          </cell>
          <cell r="AD143">
            <v>8</v>
          </cell>
          <cell r="AE143">
            <v>4</v>
          </cell>
          <cell r="AF143">
            <v>0</v>
          </cell>
          <cell r="AG143">
            <v>0</v>
          </cell>
          <cell r="AH143">
            <v>0</v>
          </cell>
          <cell r="AI143">
            <v>249</v>
          </cell>
          <cell r="AJ143">
            <v>63</v>
          </cell>
          <cell r="AK143">
            <v>14</v>
          </cell>
        </row>
        <row r="144">
          <cell r="C144">
            <v>350620004</v>
          </cell>
          <cell r="D144">
            <v>0</v>
          </cell>
          <cell r="E144">
            <v>0</v>
          </cell>
          <cell r="F144">
            <v>0</v>
          </cell>
          <cell r="G144">
            <v>4</v>
          </cell>
          <cell r="H144">
            <v>0</v>
          </cell>
          <cell r="I144">
            <v>0</v>
          </cell>
          <cell r="J144">
            <v>2</v>
          </cell>
          <cell r="K144">
            <v>1</v>
          </cell>
          <cell r="L144">
            <v>0</v>
          </cell>
          <cell r="M144">
            <v>10</v>
          </cell>
          <cell r="N144">
            <v>0</v>
          </cell>
          <cell r="O144">
            <v>0</v>
          </cell>
          <cell r="P144">
            <v>0</v>
          </cell>
          <cell r="Q144">
            <v>52</v>
          </cell>
          <cell r="R144">
            <v>2</v>
          </cell>
          <cell r="S144">
            <v>0</v>
          </cell>
          <cell r="T144">
            <v>0</v>
          </cell>
          <cell r="U144">
            <v>0</v>
          </cell>
          <cell r="V144">
            <v>2</v>
          </cell>
          <cell r="W144">
            <v>4</v>
          </cell>
          <cell r="X144">
            <v>8</v>
          </cell>
          <cell r="Y144">
            <v>10</v>
          </cell>
          <cell r="Z144">
            <v>1</v>
          </cell>
          <cell r="AA144">
            <v>0</v>
          </cell>
          <cell r="AB144">
            <v>2</v>
          </cell>
          <cell r="AC144">
            <v>5</v>
          </cell>
          <cell r="AD144">
            <v>15</v>
          </cell>
          <cell r="AE144">
            <v>3</v>
          </cell>
          <cell r="AF144">
            <v>0</v>
          </cell>
          <cell r="AG144">
            <v>0</v>
          </cell>
          <cell r="AH144">
            <v>0</v>
          </cell>
          <cell r="AI144">
            <v>121</v>
          </cell>
          <cell r="AJ144">
            <v>52</v>
          </cell>
          <cell r="AK144">
            <v>15</v>
          </cell>
        </row>
        <row r="145">
          <cell r="C145">
            <v>350620005</v>
          </cell>
          <cell r="D145">
            <v>0</v>
          </cell>
          <cell r="E145">
            <v>0</v>
          </cell>
          <cell r="F145">
            <v>0</v>
          </cell>
          <cell r="G145">
            <v>2</v>
          </cell>
          <cell r="H145">
            <v>0</v>
          </cell>
          <cell r="I145">
            <v>0</v>
          </cell>
          <cell r="J145">
            <v>2</v>
          </cell>
          <cell r="K145">
            <v>2</v>
          </cell>
          <cell r="L145">
            <v>0</v>
          </cell>
          <cell r="M145">
            <v>25</v>
          </cell>
          <cell r="N145">
            <v>0</v>
          </cell>
          <cell r="O145">
            <v>0</v>
          </cell>
          <cell r="P145">
            <v>2</v>
          </cell>
          <cell r="Q145">
            <v>64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8</v>
          </cell>
          <cell r="W145">
            <v>11</v>
          </cell>
          <cell r="X145">
            <v>8</v>
          </cell>
          <cell r="Y145">
            <v>15</v>
          </cell>
          <cell r="Z145">
            <v>2</v>
          </cell>
          <cell r="AA145">
            <v>0</v>
          </cell>
          <cell r="AB145">
            <v>2</v>
          </cell>
          <cell r="AC145">
            <v>2</v>
          </cell>
          <cell r="AD145">
            <v>9</v>
          </cell>
          <cell r="AE145">
            <v>2</v>
          </cell>
          <cell r="AF145">
            <v>0</v>
          </cell>
          <cell r="AG145">
            <v>0</v>
          </cell>
          <cell r="AH145">
            <v>0</v>
          </cell>
          <cell r="AI145">
            <v>156</v>
          </cell>
          <cell r="AJ145">
            <v>64</v>
          </cell>
          <cell r="AK145">
            <v>15</v>
          </cell>
        </row>
        <row r="146">
          <cell r="C146">
            <v>350620006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4</v>
          </cell>
          <cell r="K146">
            <v>0</v>
          </cell>
          <cell r="L146">
            <v>28</v>
          </cell>
          <cell r="M146">
            <v>20</v>
          </cell>
          <cell r="N146">
            <v>0</v>
          </cell>
          <cell r="O146">
            <v>0</v>
          </cell>
          <cell r="P146">
            <v>2</v>
          </cell>
          <cell r="Q146">
            <v>49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20</v>
          </cell>
          <cell r="W146">
            <v>23</v>
          </cell>
          <cell r="X146">
            <v>21</v>
          </cell>
          <cell r="Y146">
            <v>27</v>
          </cell>
          <cell r="Z146">
            <v>0</v>
          </cell>
          <cell r="AA146">
            <v>0</v>
          </cell>
          <cell r="AB146">
            <v>0</v>
          </cell>
          <cell r="AC146">
            <v>2</v>
          </cell>
          <cell r="AD146">
            <v>9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205</v>
          </cell>
          <cell r="AJ146">
            <v>49</v>
          </cell>
          <cell r="AK146">
            <v>11</v>
          </cell>
        </row>
        <row r="147">
          <cell r="C147">
            <v>350620007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4</v>
          </cell>
          <cell r="J147">
            <v>0</v>
          </cell>
          <cell r="K147">
            <v>2</v>
          </cell>
          <cell r="L147">
            <v>0</v>
          </cell>
          <cell r="M147">
            <v>2</v>
          </cell>
          <cell r="N147">
            <v>21</v>
          </cell>
          <cell r="O147">
            <v>0</v>
          </cell>
          <cell r="P147">
            <v>0</v>
          </cell>
          <cell r="Q147">
            <v>28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30</v>
          </cell>
          <cell r="W147">
            <v>10</v>
          </cell>
          <cell r="X147">
            <v>15</v>
          </cell>
          <cell r="Y147">
            <v>30</v>
          </cell>
          <cell r="Z147">
            <v>0</v>
          </cell>
          <cell r="AA147">
            <v>0</v>
          </cell>
          <cell r="AB147">
            <v>0</v>
          </cell>
          <cell r="AC147">
            <v>3</v>
          </cell>
          <cell r="AD147">
            <v>10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155</v>
          </cell>
          <cell r="AJ147">
            <v>30</v>
          </cell>
          <cell r="AK147">
            <v>11</v>
          </cell>
        </row>
        <row r="148">
          <cell r="C148">
            <v>350620008</v>
          </cell>
          <cell r="D148">
            <v>0</v>
          </cell>
          <cell r="E148">
            <v>0</v>
          </cell>
          <cell r="F148">
            <v>0</v>
          </cell>
          <cell r="G148">
            <v>10</v>
          </cell>
          <cell r="H148">
            <v>5</v>
          </cell>
          <cell r="I148">
            <v>50</v>
          </cell>
          <cell r="J148">
            <v>0</v>
          </cell>
          <cell r="K148">
            <v>0</v>
          </cell>
          <cell r="L148">
            <v>15</v>
          </cell>
          <cell r="M148">
            <v>35</v>
          </cell>
          <cell r="N148">
            <v>10</v>
          </cell>
          <cell r="O148">
            <v>0</v>
          </cell>
          <cell r="P148">
            <v>0</v>
          </cell>
          <cell r="Q148">
            <v>5</v>
          </cell>
          <cell r="R148">
            <v>10</v>
          </cell>
          <cell r="S148">
            <v>0</v>
          </cell>
          <cell r="T148">
            <v>0</v>
          </cell>
          <cell r="U148">
            <v>0</v>
          </cell>
          <cell r="V148">
            <v>48</v>
          </cell>
          <cell r="W148">
            <v>22</v>
          </cell>
          <cell r="X148">
            <v>14</v>
          </cell>
          <cell r="Y148">
            <v>10</v>
          </cell>
          <cell r="Z148">
            <v>0</v>
          </cell>
          <cell r="AA148">
            <v>0</v>
          </cell>
          <cell r="AB148">
            <v>0</v>
          </cell>
          <cell r="AC148">
            <v>2</v>
          </cell>
          <cell r="AD148">
            <v>10</v>
          </cell>
          <cell r="AE148">
            <v>3</v>
          </cell>
          <cell r="AF148">
            <v>0</v>
          </cell>
          <cell r="AG148">
            <v>0</v>
          </cell>
          <cell r="AH148">
            <v>0</v>
          </cell>
          <cell r="AI148">
            <v>249</v>
          </cell>
          <cell r="AJ148">
            <v>50</v>
          </cell>
          <cell r="AK148">
            <v>15</v>
          </cell>
        </row>
        <row r="149">
          <cell r="C149">
            <v>350620009</v>
          </cell>
          <cell r="D149">
            <v>10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35</v>
          </cell>
          <cell r="L149">
            <v>29</v>
          </cell>
          <cell r="M149">
            <v>0</v>
          </cell>
          <cell r="N149">
            <v>50</v>
          </cell>
          <cell r="O149">
            <v>0</v>
          </cell>
          <cell r="P149">
            <v>0</v>
          </cell>
          <cell r="Q149">
            <v>15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14</v>
          </cell>
          <cell r="W149">
            <v>11</v>
          </cell>
          <cell r="X149">
            <v>50</v>
          </cell>
          <cell r="Y149">
            <v>5</v>
          </cell>
          <cell r="Z149">
            <v>2</v>
          </cell>
          <cell r="AA149">
            <v>4</v>
          </cell>
          <cell r="AB149">
            <v>1</v>
          </cell>
          <cell r="AC149">
            <v>0</v>
          </cell>
          <cell r="AD149">
            <v>24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250</v>
          </cell>
          <cell r="AJ149">
            <v>50</v>
          </cell>
          <cell r="AK149">
            <v>13</v>
          </cell>
        </row>
        <row r="150">
          <cell r="C150">
            <v>350620010</v>
          </cell>
          <cell r="D150">
            <v>1</v>
          </cell>
          <cell r="E150">
            <v>0</v>
          </cell>
          <cell r="F150">
            <v>13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48</v>
          </cell>
          <cell r="L150">
            <v>23</v>
          </cell>
          <cell r="M150">
            <v>2</v>
          </cell>
          <cell r="N150">
            <v>2</v>
          </cell>
          <cell r="O150">
            <v>0</v>
          </cell>
          <cell r="P150">
            <v>7</v>
          </cell>
          <cell r="Q150">
            <v>21</v>
          </cell>
          <cell r="R150">
            <v>5</v>
          </cell>
          <cell r="S150">
            <v>0</v>
          </cell>
          <cell r="T150">
            <v>0</v>
          </cell>
          <cell r="U150">
            <v>0</v>
          </cell>
          <cell r="V150">
            <v>43</v>
          </cell>
          <cell r="W150">
            <v>14</v>
          </cell>
          <cell r="X150">
            <v>18</v>
          </cell>
          <cell r="Y150">
            <v>0</v>
          </cell>
          <cell r="Z150">
            <v>4</v>
          </cell>
          <cell r="AA150">
            <v>0</v>
          </cell>
          <cell r="AB150">
            <v>0</v>
          </cell>
          <cell r="AC150">
            <v>0</v>
          </cell>
          <cell r="AD150">
            <v>13</v>
          </cell>
          <cell r="AE150">
            <v>0</v>
          </cell>
          <cell r="AF150">
            <v>2</v>
          </cell>
          <cell r="AG150">
            <v>0</v>
          </cell>
          <cell r="AH150">
            <v>0</v>
          </cell>
          <cell r="AI150">
            <v>216</v>
          </cell>
          <cell r="AJ150">
            <v>48</v>
          </cell>
          <cell r="AK150">
            <v>15</v>
          </cell>
        </row>
        <row r="151">
          <cell r="C151">
            <v>350620011</v>
          </cell>
          <cell r="D151">
            <v>0</v>
          </cell>
          <cell r="E151">
            <v>10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24</v>
          </cell>
          <cell r="L151">
            <v>39</v>
          </cell>
          <cell r="M151">
            <v>2</v>
          </cell>
          <cell r="N151">
            <v>32</v>
          </cell>
          <cell r="O151">
            <v>0</v>
          </cell>
          <cell r="P151">
            <v>0</v>
          </cell>
          <cell r="Q151">
            <v>13</v>
          </cell>
          <cell r="R151">
            <v>0</v>
          </cell>
          <cell r="S151">
            <v>0</v>
          </cell>
          <cell r="T151">
            <v>3</v>
          </cell>
          <cell r="U151">
            <v>0</v>
          </cell>
          <cell r="V151">
            <v>77</v>
          </cell>
          <cell r="W151">
            <v>8</v>
          </cell>
          <cell r="X151">
            <v>27</v>
          </cell>
          <cell r="Y151">
            <v>2</v>
          </cell>
          <cell r="Z151">
            <v>2</v>
          </cell>
          <cell r="AA151">
            <v>0</v>
          </cell>
          <cell r="AB151">
            <v>4</v>
          </cell>
          <cell r="AC151">
            <v>2</v>
          </cell>
          <cell r="AD151">
            <v>32</v>
          </cell>
          <cell r="AE151">
            <v>2</v>
          </cell>
          <cell r="AF151">
            <v>0</v>
          </cell>
          <cell r="AG151">
            <v>0</v>
          </cell>
          <cell r="AH151">
            <v>0</v>
          </cell>
          <cell r="AI151">
            <v>279</v>
          </cell>
          <cell r="AJ151">
            <v>77</v>
          </cell>
          <cell r="AK151">
            <v>16</v>
          </cell>
        </row>
        <row r="152">
          <cell r="C152">
            <v>350620012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33</v>
          </cell>
          <cell r="L152">
            <v>14</v>
          </cell>
          <cell r="M152">
            <v>0</v>
          </cell>
          <cell r="N152">
            <v>34</v>
          </cell>
          <cell r="O152">
            <v>0</v>
          </cell>
          <cell r="P152">
            <v>0</v>
          </cell>
          <cell r="Q152">
            <v>32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32</v>
          </cell>
          <cell r="W152">
            <v>5</v>
          </cell>
          <cell r="X152">
            <v>39</v>
          </cell>
          <cell r="Y152">
            <v>2</v>
          </cell>
          <cell r="Z152">
            <v>3</v>
          </cell>
          <cell r="AA152">
            <v>8</v>
          </cell>
          <cell r="AB152">
            <v>3</v>
          </cell>
          <cell r="AC152">
            <v>0</v>
          </cell>
          <cell r="AD152">
            <v>20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225</v>
          </cell>
          <cell r="AJ152">
            <v>39</v>
          </cell>
          <cell r="AK152">
            <v>12</v>
          </cell>
        </row>
        <row r="153">
          <cell r="C153">
            <v>350620013</v>
          </cell>
          <cell r="D153">
            <v>0</v>
          </cell>
          <cell r="E153">
            <v>2</v>
          </cell>
          <cell r="F153">
            <v>5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16</v>
          </cell>
          <cell r="L153">
            <v>37</v>
          </cell>
          <cell r="M153">
            <v>0</v>
          </cell>
          <cell r="N153">
            <v>28</v>
          </cell>
          <cell r="O153">
            <v>1</v>
          </cell>
          <cell r="P153">
            <v>15</v>
          </cell>
          <cell r="Q153">
            <v>11</v>
          </cell>
          <cell r="R153">
            <v>8</v>
          </cell>
          <cell r="S153">
            <v>0</v>
          </cell>
          <cell r="T153">
            <v>0</v>
          </cell>
          <cell r="U153">
            <v>0</v>
          </cell>
          <cell r="V153">
            <v>62</v>
          </cell>
          <cell r="W153">
            <v>31</v>
          </cell>
          <cell r="X153">
            <v>14</v>
          </cell>
          <cell r="Y153">
            <v>6</v>
          </cell>
          <cell r="Z153">
            <v>4</v>
          </cell>
          <cell r="AA153">
            <v>0</v>
          </cell>
          <cell r="AB153">
            <v>0</v>
          </cell>
          <cell r="AC153">
            <v>0</v>
          </cell>
          <cell r="AD153">
            <v>66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306</v>
          </cell>
          <cell r="AJ153">
            <v>66</v>
          </cell>
          <cell r="AK153">
            <v>15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0</v>
          </cell>
          <cell r="G154">
            <v>10</v>
          </cell>
          <cell r="H154">
            <v>22</v>
          </cell>
          <cell r="I154">
            <v>0</v>
          </cell>
          <cell r="J154">
            <v>0</v>
          </cell>
          <cell r="K154">
            <v>0</v>
          </cell>
          <cell r="L154">
            <v>20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2</v>
          </cell>
          <cell r="R154">
            <v>3</v>
          </cell>
          <cell r="S154">
            <v>0</v>
          </cell>
          <cell r="T154">
            <v>0</v>
          </cell>
          <cell r="U154">
            <v>0</v>
          </cell>
          <cell r="V154">
            <v>10</v>
          </cell>
          <cell r="W154">
            <v>2</v>
          </cell>
          <cell r="X154">
            <v>27</v>
          </cell>
          <cell r="Y154">
            <v>28</v>
          </cell>
          <cell r="Z154">
            <v>0</v>
          </cell>
          <cell r="AA154">
            <v>0</v>
          </cell>
          <cell r="AB154">
            <v>0</v>
          </cell>
          <cell r="AC154">
            <v>7</v>
          </cell>
          <cell r="AD154">
            <v>5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136</v>
          </cell>
          <cell r="AJ154">
            <v>28</v>
          </cell>
          <cell r="AK154">
            <v>11</v>
          </cell>
        </row>
        <row r="155">
          <cell r="C155">
            <v>350620015</v>
          </cell>
          <cell r="D155">
            <v>0</v>
          </cell>
          <cell r="E155">
            <v>0</v>
          </cell>
          <cell r="F155">
            <v>4</v>
          </cell>
          <cell r="G155">
            <v>0</v>
          </cell>
          <cell r="H155">
            <v>6</v>
          </cell>
          <cell r="I155">
            <v>0</v>
          </cell>
          <cell r="J155">
            <v>0</v>
          </cell>
          <cell r="K155">
            <v>0</v>
          </cell>
          <cell r="L155">
            <v>8</v>
          </cell>
          <cell r="M155">
            <v>13</v>
          </cell>
          <cell r="N155">
            <v>2</v>
          </cell>
          <cell r="O155">
            <v>0</v>
          </cell>
          <cell r="P155">
            <v>0</v>
          </cell>
          <cell r="Q155">
            <v>0</v>
          </cell>
          <cell r="R155">
            <v>2</v>
          </cell>
          <cell r="S155">
            <v>0</v>
          </cell>
          <cell r="T155">
            <v>0</v>
          </cell>
          <cell r="U155">
            <v>0</v>
          </cell>
          <cell r="V155">
            <v>43</v>
          </cell>
          <cell r="W155">
            <v>9</v>
          </cell>
          <cell r="X155">
            <v>34</v>
          </cell>
          <cell r="Y155">
            <v>21</v>
          </cell>
          <cell r="Z155">
            <v>0</v>
          </cell>
          <cell r="AA155">
            <v>0</v>
          </cell>
          <cell r="AB155">
            <v>0</v>
          </cell>
          <cell r="AC155">
            <v>7</v>
          </cell>
          <cell r="AD155">
            <v>10</v>
          </cell>
          <cell r="AE155">
            <v>2</v>
          </cell>
          <cell r="AF155">
            <v>0</v>
          </cell>
          <cell r="AG155">
            <v>0</v>
          </cell>
          <cell r="AH155">
            <v>0</v>
          </cell>
          <cell r="AI155">
            <v>161</v>
          </cell>
          <cell r="AJ155">
            <v>43</v>
          </cell>
          <cell r="AK155">
            <v>13</v>
          </cell>
        </row>
        <row r="156">
          <cell r="C156">
            <v>350620016</v>
          </cell>
          <cell r="D156">
            <v>0</v>
          </cell>
          <cell r="E156">
            <v>0</v>
          </cell>
          <cell r="F156">
            <v>2</v>
          </cell>
          <cell r="G156">
            <v>0</v>
          </cell>
          <cell r="H156">
            <v>0</v>
          </cell>
          <cell r="I156">
            <v>6</v>
          </cell>
          <cell r="J156">
            <v>1</v>
          </cell>
          <cell r="K156">
            <v>0</v>
          </cell>
          <cell r="L156">
            <v>25</v>
          </cell>
          <cell r="M156">
            <v>17</v>
          </cell>
          <cell r="N156">
            <v>2</v>
          </cell>
          <cell r="O156">
            <v>6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25</v>
          </cell>
          <cell r="W156">
            <v>15</v>
          </cell>
          <cell r="X156">
            <v>42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2</v>
          </cell>
          <cell r="AD156">
            <v>8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151</v>
          </cell>
          <cell r="AJ156">
            <v>42</v>
          </cell>
          <cell r="AK156">
            <v>12</v>
          </cell>
        </row>
        <row r="157">
          <cell r="C157">
            <v>350620017</v>
          </cell>
          <cell r="D157">
            <v>0</v>
          </cell>
          <cell r="E157">
            <v>0</v>
          </cell>
          <cell r="F157">
            <v>2</v>
          </cell>
          <cell r="G157">
            <v>0</v>
          </cell>
          <cell r="H157">
            <v>30</v>
          </cell>
          <cell r="I157">
            <v>0</v>
          </cell>
          <cell r="J157">
            <v>0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10</v>
          </cell>
          <cell r="Q157">
            <v>0</v>
          </cell>
          <cell r="R157">
            <v>1</v>
          </cell>
          <cell r="S157">
            <v>0</v>
          </cell>
          <cell r="T157">
            <v>0</v>
          </cell>
          <cell r="U157">
            <v>0</v>
          </cell>
          <cell r="V157">
            <v>10</v>
          </cell>
          <cell r="W157">
            <v>2</v>
          </cell>
          <cell r="X157">
            <v>1</v>
          </cell>
          <cell r="Y157">
            <v>14</v>
          </cell>
          <cell r="Z157">
            <v>0</v>
          </cell>
          <cell r="AA157">
            <v>0</v>
          </cell>
          <cell r="AB157">
            <v>1</v>
          </cell>
          <cell r="AC157">
            <v>4</v>
          </cell>
          <cell r="AD157">
            <v>20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96</v>
          </cell>
          <cell r="AJ157">
            <v>30</v>
          </cell>
          <cell r="AK157">
            <v>12</v>
          </cell>
        </row>
        <row r="158">
          <cell r="C158">
            <v>350620018</v>
          </cell>
          <cell r="D158">
            <v>0</v>
          </cell>
          <cell r="E158">
            <v>0</v>
          </cell>
          <cell r="F158">
            <v>24</v>
          </cell>
          <cell r="G158">
            <v>0</v>
          </cell>
          <cell r="H158">
            <v>28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8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13</v>
          </cell>
          <cell r="S158">
            <v>0</v>
          </cell>
          <cell r="T158">
            <v>0</v>
          </cell>
          <cell r="U158">
            <v>0</v>
          </cell>
          <cell r="V158">
            <v>5</v>
          </cell>
          <cell r="W158">
            <v>0</v>
          </cell>
          <cell r="X158">
            <v>58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8</v>
          </cell>
          <cell r="AE158">
            <v>16</v>
          </cell>
          <cell r="AF158">
            <v>0</v>
          </cell>
          <cell r="AG158">
            <v>0</v>
          </cell>
          <cell r="AH158">
            <v>0</v>
          </cell>
          <cell r="AI158">
            <v>160</v>
          </cell>
          <cell r="AJ158">
            <v>58</v>
          </cell>
          <cell r="AK158">
            <v>8</v>
          </cell>
        </row>
        <row r="159"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18</v>
          </cell>
          <cell r="I159">
            <v>0</v>
          </cell>
          <cell r="J159">
            <v>0</v>
          </cell>
          <cell r="K159">
            <v>0</v>
          </cell>
          <cell r="L159">
            <v>26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40</v>
          </cell>
          <cell r="R159">
            <v>36</v>
          </cell>
          <cell r="S159">
            <v>0</v>
          </cell>
          <cell r="T159">
            <v>0</v>
          </cell>
          <cell r="U159">
            <v>0</v>
          </cell>
          <cell r="V159">
            <v>38</v>
          </cell>
          <cell r="W159">
            <v>23</v>
          </cell>
          <cell r="X159">
            <v>35</v>
          </cell>
          <cell r="Y159">
            <v>0</v>
          </cell>
          <cell r="Z159">
            <v>0</v>
          </cell>
          <cell r="AA159">
            <v>0</v>
          </cell>
          <cell r="AB159">
            <v>12</v>
          </cell>
          <cell r="AC159">
            <v>0</v>
          </cell>
          <cell r="AD159">
            <v>16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244</v>
          </cell>
          <cell r="AJ159">
            <v>40</v>
          </cell>
          <cell r="AK159">
            <v>9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0</v>
          </cell>
          <cell r="G160">
            <v>3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5</v>
          </cell>
          <cell r="N160">
            <v>3</v>
          </cell>
          <cell r="O160">
            <v>0</v>
          </cell>
          <cell r="P160">
            <v>0</v>
          </cell>
          <cell r="Q160">
            <v>8</v>
          </cell>
          <cell r="R160">
            <v>3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7</v>
          </cell>
          <cell r="X160">
            <v>9</v>
          </cell>
          <cell r="Y160">
            <v>16</v>
          </cell>
          <cell r="Z160">
            <v>0</v>
          </cell>
          <cell r="AA160">
            <v>0</v>
          </cell>
          <cell r="AB160">
            <v>2</v>
          </cell>
          <cell r="AC160">
            <v>2</v>
          </cell>
          <cell r="AD160">
            <v>20</v>
          </cell>
          <cell r="AE160">
            <v>10</v>
          </cell>
          <cell r="AF160">
            <v>0</v>
          </cell>
          <cell r="AG160">
            <v>0</v>
          </cell>
          <cell r="AH160">
            <v>0</v>
          </cell>
          <cell r="AI160">
            <v>88</v>
          </cell>
          <cell r="AJ160">
            <v>20</v>
          </cell>
          <cell r="AK160">
            <v>12</v>
          </cell>
        </row>
        <row r="161">
          <cell r="C161">
            <v>350621001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20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26</v>
          </cell>
          <cell r="W161">
            <v>2</v>
          </cell>
          <cell r="X161">
            <v>19</v>
          </cell>
          <cell r="Y161">
            <v>15</v>
          </cell>
          <cell r="Z161">
            <v>3</v>
          </cell>
          <cell r="AA161">
            <v>0</v>
          </cell>
          <cell r="AB161">
            <v>0</v>
          </cell>
          <cell r="AC161">
            <v>3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88</v>
          </cell>
          <cell r="AJ161">
            <v>26</v>
          </cell>
          <cell r="AK161">
            <v>7</v>
          </cell>
        </row>
        <row r="162">
          <cell r="C162">
            <v>350621002</v>
          </cell>
          <cell r="D162">
            <v>11</v>
          </cell>
          <cell r="E162">
            <v>0</v>
          </cell>
          <cell r="F162">
            <v>0</v>
          </cell>
          <cell r="G162">
            <v>25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</v>
          </cell>
          <cell r="M162">
            <v>9</v>
          </cell>
          <cell r="N162">
            <v>0</v>
          </cell>
          <cell r="O162">
            <v>0</v>
          </cell>
          <cell r="P162">
            <v>0</v>
          </cell>
          <cell r="Q162">
            <v>4</v>
          </cell>
          <cell r="R162">
            <v>2</v>
          </cell>
          <cell r="S162">
            <v>1</v>
          </cell>
          <cell r="T162">
            <v>1</v>
          </cell>
          <cell r="U162">
            <v>0</v>
          </cell>
          <cell r="V162">
            <v>0</v>
          </cell>
          <cell r="W162">
            <v>28</v>
          </cell>
          <cell r="X162">
            <v>10</v>
          </cell>
          <cell r="Y162">
            <v>13</v>
          </cell>
          <cell r="Z162">
            <v>14</v>
          </cell>
          <cell r="AA162">
            <v>0</v>
          </cell>
          <cell r="AB162">
            <v>12</v>
          </cell>
          <cell r="AC162">
            <v>26</v>
          </cell>
          <cell r="AD162">
            <v>18</v>
          </cell>
          <cell r="AE162">
            <v>39</v>
          </cell>
          <cell r="AF162">
            <v>0</v>
          </cell>
          <cell r="AG162">
            <v>8</v>
          </cell>
          <cell r="AH162">
            <v>0</v>
          </cell>
          <cell r="AI162">
            <v>230</v>
          </cell>
          <cell r="AJ162">
            <v>39</v>
          </cell>
          <cell r="AK162">
            <v>17</v>
          </cell>
        </row>
        <row r="163">
          <cell r="C163">
            <v>350621003</v>
          </cell>
          <cell r="D163">
            <v>22</v>
          </cell>
          <cell r="E163">
            <v>22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4</v>
          </cell>
          <cell r="K163">
            <v>3</v>
          </cell>
          <cell r="L163">
            <v>2</v>
          </cell>
          <cell r="M163">
            <v>30</v>
          </cell>
          <cell r="N163">
            <v>0</v>
          </cell>
          <cell r="O163">
            <v>0</v>
          </cell>
          <cell r="P163">
            <v>0</v>
          </cell>
          <cell r="Q163">
            <v>13</v>
          </cell>
          <cell r="R163">
            <v>1.5</v>
          </cell>
          <cell r="S163">
            <v>1</v>
          </cell>
          <cell r="T163">
            <v>0</v>
          </cell>
          <cell r="U163">
            <v>0</v>
          </cell>
          <cell r="V163">
            <v>82</v>
          </cell>
          <cell r="W163">
            <v>2.5</v>
          </cell>
          <cell r="X163">
            <v>5</v>
          </cell>
          <cell r="Y163">
            <v>6</v>
          </cell>
          <cell r="Z163">
            <v>1.5</v>
          </cell>
          <cell r="AA163">
            <v>0</v>
          </cell>
          <cell r="AB163">
            <v>3</v>
          </cell>
          <cell r="AC163">
            <v>1</v>
          </cell>
          <cell r="AD163">
            <v>49</v>
          </cell>
          <cell r="AE163">
            <v>4</v>
          </cell>
          <cell r="AF163">
            <v>0</v>
          </cell>
          <cell r="AG163">
            <v>0</v>
          </cell>
          <cell r="AH163">
            <v>0</v>
          </cell>
          <cell r="AI163">
            <v>252.5</v>
          </cell>
          <cell r="AJ163">
            <v>82</v>
          </cell>
          <cell r="AK163">
            <v>18</v>
          </cell>
        </row>
        <row r="164">
          <cell r="C164">
            <v>350621004</v>
          </cell>
          <cell r="D164">
            <v>34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10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22</v>
          </cell>
          <cell r="V164">
            <v>26</v>
          </cell>
          <cell r="W164">
            <v>8</v>
          </cell>
          <cell r="X164">
            <v>0</v>
          </cell>
          <cell r="Y164">
            <v>8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40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148</v>
          </cell>
          <cell r="AJ164">
            <v>40</v>
          </cell>
          <cell r="AK164">
            <v>7</v>
          </cell>
        </row>
        <row r="165">
          <cell r="C165">
            <v>350621005</v>
          </cell>
          <cell r="D165">
            <v>0</v>
          </cell>
          <cell r="E165">
            <v>0</v>
          </cell>
          <cell r="F165">
            <v>21</v>
          </cell>
          <cell r="G165">
            <v>0</v>
          </cell>
          <cell r="H165">
            <v>0</v>
          </cell>
          <cell r="I165">
            <v>5</v>
          </cell>
          <cell r="J165">
            <v>9</v>
          </cell>
          <cell r="K165">
            <v>0</v>
          </cell>
          <cell r="L165">
            <v>0</v>
          </cell>
          <cell r="M165">
            <v>9</v>
          </cell>
          <cell r="N165">
            <v>0</v>
          </cell>
          <cell r="O165">
            <v>0</v>
          </cell>
          <cell r="P165">
            <v>0</v>
          </cell>
          <cell r="Q165">
            <v>37</v>
          </cell>
          <cell r="R165">
            <v>5</v>
          </cell>
          <cell r="S165">
            <v>0</v>
          </cell>
          <cell r="T165">
            <v>0</v>
          </cell>
          <cell r="U165">
            <v>0</v>
          </cell>
          <cell r="V165">
            <v>9</v>
          </cell>
          <cell r="W165">
            <v>4</v>
          </cell>
          <cell r="X165">
            <v>10</v>
          </cell>
          <cell r="Y165">
            <v>6</v>
          </cell>
          <cell r="Z165">
            <v>3</v>
          </cell>
          <cell r="AA165">
            <v>8</v>
          </cell>
          <cell r="AB165">
            <v>0</v>
          </cell>
          <cell r="AC165">
            <v>3</v>
          </cell>
          <cell r="AD165">
            <v>8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138</v>
          </cell>
          <cell r="AJ165">
            <v>37</v>
          </cell>
          <cell r="AK165">
            <v>15</v>
          </cell>
        </row>
        <row r="166">
          <cell r="C166">
            <v>350621006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9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5</v>
          </cell>
          <cell r="R166">
            <v>4</v>
          </cell>
          <cell r="S166">
            <v>0</v>
          </cell>
          <cell r="T166">
            <v>0</v>
          </cell>
          <cell r="U166">
            <v>0</v>
          </cell>
          <cell r="V166">
            <v>29</v>
          </cell>
          <cell r="W166">
            <v>0</v>
          </cell>
          <cell r="X166">
            <v>26</v>
          </cell>
          <cell r="Y166">
            <v>0</v>
          </cell>
          <cell r="Z166">
            <v>17</v>
          </cell>
          <cell r="AA166">
            <v>0</v>
          </cell>
          <cell r="AB166">
            <v>0</v>
          </cell>
          <cell r="AC166">
            <v>2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92</v>
          </cell>
          <cell r="AJ166">
            <v>29</v>
          </cell>
          <cell r="AK166">
            <v>7</v>
          </cell>
        </row>
        <row r="167">
          <cell r="C167">
            <v>350621007</v>
          </cell>
          <cell r="D167">
            <v>2</v>
          </cell>
          <cell r="E167">
            <v>2.5</v>
          </cell>
          <cell r="F167">
            <v>0</v>
          </cell>
          <cell r="G167">
            <v>0</v>
          </cell>
          <cell r="H167">
            <v>0</v>
          </cell>
          <cell r="I167">
            <v>8.4</v>
          </cell>
          <cell r="J167">
            <v>24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2</v>
          </cell>
          <cell r="S167">
            <v>0</v>
          </cell>
          <cell r="T167">
            <v>0</v>
          </cell>
          <cell r="U167">
            <v>0</v>
          </cell>
          <cell r="V167">
            <v>12</v>
          </cell>
          <cell r="W167">
            <v>5.4</v>
          </cell>
          <cell r="X167">
            <v>0</v>
          </cell>
          <cell r="Y167">
            <v>0</v>
          </cell>
          <cell r="Z167">
            <v>3</v>
          </cell>
          <cell r="AA167">
            <v>0</v>
          </cell>
          <cell r="AB167">
            <v>0</v>
          </cell>
          <cell r="AC167">
            <v>2.5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61.8</v>
          </cell>
          <cell r="AJ167">
            <v>24</v>
          </cell>
          <cell r="AK167">
            <v>9</v>
          </cell>
        </row>
        <row r="168">
          <cell r="C168">
            <v>350621008</v>
          </cell>
          <cell r="D168">
            <v>6</v>
          </cell>
          <cell r="E168">
            <v>7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29</v>
          </cell>
          <cell r="K168">
            <v>0</v>
          </cell>
          <cell r="L168">
            <v>0</v>
          </cell>
          <cell r="M168">
            <v>0</v>
          </cell>
          <cell r="N168">
            <v>4</v>
          </cell>
          <cell r="O168">
            <v>0</v>
          </cell>
          <cell r="P168">
            <v>0</v>
          </cell>
          <cell r="Q168">
            <v>7</v>
          </cell>
          <cell r="R168">
            <v>22</v>
          </cell>
          <cell r="S168">
            <v>0</v>
          </cell>
          <cell r="T168">
            <v>0</v>
          </cell>
          <cell r="U168">
            <v>0</v>
          </cell>
          <cell r="V168">
            <v>34</v>
          </cell>
          <cell r="W168">
            <v>12</v>
          </cell>
          <cell r="X168">
            <v>31</v>
          </cell>
          <cell r="Y168">
            <v>7</v>
          </cell>
          <cell r="Z168">
            <v>7</v>
          </cell>
          <cell r="AA168">
            <v>3</v>
          </cell>
          <cell r="AB168">
            <v>2</v>
          </cell>
          <cell r="AC168">
            <v>0</v>
          </cell>
          <cell r="AD168">
            <v>15</v>
          </cell>
          <cell r="AE168">
            <v>23</v>
          </cell>
          <cell r="AF168">
            <v>0</v>
          </cell>
          <cell r="AG168">
            <v>0</v>
          </cell>
          <cell r="AH168">
            <v>0</v>
          </cell>
          <cell r="AI168">
            <v>209</v>
          </cell>
          <cell r="AJ168">
            <v>34</v>
          </cell>
          <cell r="AK168">
            <v>15</v>
          </cell>
        </row>
        <row r="169">
          <cell r="C169">
            <v>350621009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17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31</v>
          </cell>
          <cell r="R169">
            <v>17</v>
          </cell>
          <cell r="S169">
            <v>0</v>
          </cell>
          <cell r="T169">
            <v>0</v>
          </cell>
          <cell r="U169">
            <v>0</v>
          </cell>
          <cell r="V169">
            <v>1</v>
          </cell>
          <cell r="W169">
            <v>11</v>
          </cell>
          <cell r="X169">
            <v>6.5</v>
          </cell>
          <cell r="Y169">
            <v>24</v>
          </cell>
          <cell r="Z169">
            <v>14</v>
          </cell>
          <cell r="AA169">
            <v>8</v>
          </cell>
          <cell r="AB169">
            <v>0</v>
          </cell>
          <cell r="AC169">
            <v>9</v>
          </cell>
          <cell r="AD169">
            <v>14.5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153</v>
          </cell>
          <cell r="AJ169">
            <v>31</v>
          </cell>
          <cell r="AK169">
            <v>11</v>
          </cell>
        </row>
        <row r="170">
          <cell r="C170">
            <v>350621010</v>
          </cell>
          <cell r="D170">
            <v>0</v>
          </cell>
          <cell r="E170">
            <v>16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16</v>
          </cell>
          <cell r="R170">
            <v>5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5</v>
          </cell>
          <cell r="X170">
            <v>16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22</v>
          </cell>
          <cell r="AE170">
            <v>3</v>
          </cell>
          <cell r="AF170">
            <v>0</v>
          </cell>
          <cell r="AG170">
            <v>0</v>
          </cell>
          <cell r="AH170">
            <v>0</v>
          </cell>
          <cell r="AI170">
            <v>83</v>
          </cell>
          <cell r="AJ170">
            <v>22</v>
          </cell>
          <cell r="AK170">
            <v>7</v>
          </cell>
        </row>
        <row r="171">
          <cell r="C171">
            <v>350621011</v>
          </cell>
          <cell r="D171">
            <v>15</v>
          </cell>
          <cell r="E171">
            <v>4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29</v>
          </cell>
          <cell r="M171">
            <v>5</v>
          </cell>
          <cell r="N171">
            <v>0</v>
          </cell>
          <cell r="O171">
            <v>0</v>
          </cell>
          <cell r="P171">
            <v>0</v>
          </cell>
          <cell r="Q171">
            <v>26</v>
          </cell>
          <cell r="R171">
            <v>4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10</v>
          </cell>
          <cell r="X171">
            <v>11</v>
          </cell>
          <cell r="Y171">
            <v>2</v>
          </cell>
          <cell r="Z171">
            <v>12</v>
          </cell>
          <cell r="AA171">
            <v>0</v>
          </cell>
          <cell r="AB171">
            <v>0</v>
          </cell>
          <cell r="AC171">
            <v>14</v>
          </cell>
          <cell r="AD171">
            <v>16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148</v>
          </cell>
          <cell r="AJ171">
            <v>29</v>
          </cell>
          <cell r="AK171">
            <v>12</v>
          </cell>
        </row>
        <row r="172">
          <cell r="C172">
            <v>350621012</v>
          </cell>
          <cell r="D172">
            <v>16.5</v>
          </cell>
          <cell r="E172">
            <v>2.5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31</v>
          </cell>
          <cell r="M172">
            <v>4.5</v>
          </cell>
          <cell r="N172">
            <v>0</v>
          </cell>
          <cell r="O172">
            <v>0</v>
          </cell>
          <cell r="P172">
            <v>0</v>
          </cell>
          <cell r="Q172">
            <v>29</v>
          </cell>
          <cell r="R172">
            <v>4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12</v>
          </cell>
          <cell r="X172">
            <v>12</v>
          </cell>
          <cell r="Y172">
            <v>3</v>
          </cell>
          <cell r="Z172">
            <v>10.5</v>
          </cell>
          <cell r="AA172">
            <v>0</v>
          </cell>
          <cell r="AB172">
            <v>0</v>
          </cell>
          <cell r="AC172">
            <v>15.5</v>
          </cell>
          <cell r="AD172">
            <v>14</v>
          </cell>
          <cell r="AE172">
            <v>1</v>
          </cell>
          <cell r="AF172">
            <v>0</v>
          </cell>
          <cell r="AG172">
            <v>0</v>
          </cell>
          <cell r="AH172">
            <v>0</v>
          </cell>
          <cell r="AI172">
            <v>155.5</v>
          </cell>
          <cell r="AJ172">
            <v>31</v>
          </cell>
          <cell r="AK172">
            <v>13</v>
          </cell>
        </row>
        <row r="173">
          <cell r="C173">
            <v>350621013</v>
          </cell>
          <cell r="D173">
            <v>10</v>
          </cell>
          <cell r="E173">
            <v>3.2</v>
          </cell>
          <cell r="F173">
            <v>0</v>
          </cell>
          <cell r="G173">
            <v>3.8</v>
          </cell>
          <cell r="H173">
            <v>0</v>
          </cell>
          <cell r="I173">
            <v>0</v>
          </cell>
          <cell r="J173">
            <v>12.1</v>
          </cell>
          <cell r="K173">
            <v>0</v>
          </cell>
          <cell r="L173">
            <v>5.0999999999999996</v>
          </cell>
          <cell r="M173">
            <v>3</v>
          </cell>
          <cell r="N173">
            <v>0</v>
          </cell>
          <cell r="O173">
            <v>0</v>
          </cell>
          <cell r="P173">
            <v>0</v>
          </cell>
          <cell r="Q173">
            <v>9.4</v>
          </cell>
          <cell r="R173">
            <v>5.8</v>
          </cell>
          <cell r="S173">
            <v>0</v>
          </cell>
          <cell r="T173">
            <v>13.9</v>
          </cell>
          <cell r="U173">
            <v>0</v>
          </cell>
          <cell r="V173">
            <v>0.8</v>
          </cell>
          <cell r="W173">
            <v>23.1</v>
          </cell>
          <cell r="X173">
            <v>8.6</v>
          </cell>
          <cell r="Y173">
            <v>10.1</v>
          </cell>
          <cell r="Z173">
            <v>11</v>
          </cell>
          <cell r="AA173">
            <v>0</v>
          </cell>
          <cell r="AB173">
            <v>0</v>
          </cell>
          <cell r="AC173">
            <v>20.399999999999999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140.29999999999998</v>
          </cell>
          <cell r="AJ173">
            <v>23.1</v>
          </cell>
          <cell r="AK173">
            <v>15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18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8</v>
          </cell>
          <cell r="Q174">
            <v>16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7</v>
          </cell>
          <cell r="W174">
            <v>18</v>
          </cell>
          <cell r="X174">
            <v>24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13</v>
          </cell>
          <cell r="AD174">
            <v>18</v>
          </cell>
          <cell r="AE174">
            <v>21</v>
          </cell>
          <cell r="AF174">
            <v>0</v>
          </cell>
          <cell r="AG174">
            <v>11</v>
          </cell>
          <cell r="AH174">
            <v>0</v>
          </cell>
          <cell r="AI174">
            <v>154</v>
          </cell>
          <cell r="AJ174">
            <v>24</v>
          </cell>
          <cell r="AK174">
            <v>10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3</v>
          </cell>
          <cell r="I175">
            <v>7</v>
          </cell>
          <cell r="J175">
            <v>5</v>
          </cell>
          <cell r="K175">
            <v>2</v>
          </cell>
          <cell r="L175">
            <v>0</v>
          </cell>
          <cell r="M175">
            <v>4</v>
          </cell>
          <cell r="N175">
            <v>0</v>
          </cell>
          <cell r="O175">
            <v>0</v>
          </cell>
          <cell r="P175">
            <v>6</v>
          </cell>
          <cell r="Q175">
            <v>8</v>
          </cell>
          <cell r="R175">
            <v>5</v>
          </cell>
          <cell r="S175">
            <v>2</v>
          </cell>
          <cell r="T175">
            <v>0</v>
          </cell>
          <cell r="U175">
            <v>1</v>
          </cell>
          <cell r="V175">
            <v>0</v>
          </cell>
          <cell r="W175">
            <v>3</v>
          </cell>
          <cell r="X175">
            <v>10</v>
          </cell>
          <cell r="Y175">
            <v>13</v>
          </cell>
          <cell r="Z175">
            <v>22</v>
          </cell>
          <cell r="AA175">
            <v>0</v>
          </cell>
          <cell r="AB175">
            <v>9</v>
          </cell>
          <cell r="AC175">
            <v>12</v>
          </cell>
          <cell r="AD175">
            <v>13</v>
          </cell>
          <cell r="AE175">
            <v>11</v>
          </cell>
          <cell r="AF175">
            <v>0</v>
          </cell>
          <cell r="AG175">
            <v>2</v>
          </cell>
          <cell r="AH175">
            <v>0</v>
          </cell>
          <cell r="AI175">
            <v>138</v>
          </cell>
          <cell r="AJ175">
            <v>22</v>
          </cell>
          <cell r="AK175">
            <v>19</v>
          </cell>
        </row>
        <row r="176">
          <cell r="C176">
            <v>350621016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4</v>
          </cell>
          <cell r="I176">
            <v>0</v>
          </cell>
          <cell r="J176">
            <v>2</v>
          </cell>
          <cell r="K176">
            <v>0</v>
          </cell>
          <cell r="L176">
            <v>0</v>
          </cell>
          <cell r="M176">
            <v>5</v>
          </cell>
          <cell r="N176">
            <v>0</v>
          </cell>
          <cell r="O176">
            <v>0</v>
          </cell>
          <cell r="P176">
            <v>0</v>
          </cell>
          <cell r="Q176">
            <v>8</v>
          </cell>
          <cell r="R176">
            <v>6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4</v>
          </cell>
          <cell r="X176">
            <v>84</v>
          </cell>
          <cell r="Y176">
            <v>0</v>
          </cell>
          <cell r="Z176">
            <v>2</v>
          </cell>
          <cell r="AA176">
            <v>0</v>
          </cell>
          <cell r="AB176">
            <v>4</v>
          </cell>
          <cell r="AC176">
            <v>55</v>
          </cell>
          <cell r="AD176">
            <v>15</v>
          </cell>
          <cell r="AE176">
            <v>7</v>
          </cell>
          <cell r="AF176">
            <v>0</v>
          </cell>
          <cell r="AG176">
            <v>5</v>
          </cell>
          <cell r="AH176">
            <v>0</v>
          </cell>
          <cell r="AI176">
            <v>201</v>
          </cell>
          <cell r="AJ176">
            <v>84</v>
          </cell>
          <cell r="AK176">
            <v>13</v>
          </cell>
        </row>
        <row r="177">
          <cell r="C177">
            <v>350621017</v>
          </cell>
          <cell r="D177">
            <v>16</v>
          </cell>
          <cell r="E177">
            <v>14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6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11</v>
          </cell>
          <cell r="Q177">
            <v>9</v>
          </cell>
          <cell r="R177">
            <v>0</v>
          </cell>
          <cell r="S177">
            <v>2</v>
          </cell>
          <cell r="T177">
            <v>0</v>
          </cell>
          <cell r="U177">
            <v>0</v>
          </cell>
          <cell r="V177">
            <v>32</v>
          </cell>
          <cell r="W177">
            <v>7</v>
          </cell>
          <cell r="X177">
            <v>5</v>
          </cell>
          <cell r="Y177">
            <v>7</v>
          </cell>
          <cell r="Z177">
            <v>0</v>
          </cell>
          <cell r="AA177">
            <v>0</v>
          </cell>
          <cell r="AB177">
            <v>8</v>
          </cell>
          <cell r="AC177">
            <v>0</v>
          </cell>
          <cell r="AD177">
            <v>31</v>
          </cell>
          <cell r="AE177">
            <v>2</v>
          </cell>
          <cell r="AF177">
            <v>0</v>
          </cell>
          <cell r="AG177">
            <v>0</v>
          </cell>
          <cell r="AH177">
            <v>0</v>
          </cell>
          <cell r="AI177">
            <v>150</v>
          </cell>
          <cell r="AJ177">
            <v>32</v>
          </cell>
          <cell r="AK177">
            <v>13</v>
          </cell>
        </row>
        <row r="178">
          <cell r="C178">
            <v>350621018</v>
          </cell>
          <cell r="D178">
            <v>0</v>
          </cell>
          <cell r="E178">
            <v>21.5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16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4</v>
          </cell>
          <cell r="R178">
            <v>2</v>
          </cell>
          <cell r="S178">
            <v>0</v>
          </cell>
          <cell r="T178">
            <v>0</v>
          </cell>
          <cell r="U178">
            <v>0</v>
          </cell>
          <cell r="V178">
            <v>2</v>
          </cell>
          <cell r="W178">
            <v>10.4</v>
          </cell>
          <cell r="X178">
            <v>18.600000000000001</v>
          </cell>
          <cell r="Y178">
            <v>6</v>
          </cell>
          <cell r="Z178">
            <v>14</v>
          </cell>
          <cell r="AA178">
            <v>0.8</v>
          </cell>
          <cell r="AB178">
            <v>0</v>
          </cell>
          <cell r="AC178">
            <v>3.6</v>
          </cell>
          <cell r="AD178">
            <v>35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133.89999999999998</v>
          </cell>
          <cell r="AJ178">
            <v>35</v>
          </cell>
          <cell r="AK178">
            <v>12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0</v>
          </cell>
          <cell r="G179">
            <v>4</v>
          </cell>
          <cell r="H179">
            <v>0</v>
          </cell>
          <cell r="I179">
            <v>0</v>
          </cell>
          <cell r="J179">
            <v>14</v>
          </cell>
          <cell r="K179">
            <v>2</v>
          </cell>
          <cell r="L179">
            <v>6</v>
          </cell>
          <cell r="M179">
            <v>2</v>
          </cell>
          <cell r="N179">
            <v>0</v>
          </cell>
          <cell r="O179">
            <v>0</v>
          </cell>
          <cell r="P179">
            <v>0</v>
          </cell>
          <cell r="Q179">
            <v>4</v>
          </cell>
          <cell r="R179">
            <v>13</v>
          </cell>
          <cell r="S179">
            <v>6</v>
          </cell>
          <cell r="T179">
            <v>0</v>
          </cell>
          <cell r="U179">
            <v>0</v>
          </cell>
          <cell r="V179">
            <v>0</v>
          </cell>
          <cell r="W179">
            <v>24</v>
          </cell>
          <cell r="X179">
            <v>19</v>
          </cell>
          <cell r="Y179">
            <v>8</v>
          </cell>
          <cell r="Z179">
            <v>0</v>
          </cell>
          <cell r="AA179">
            <v>3</v>
          </cell>
          <cell r="AB179">
            <v>12</v>
          </cell>
          <cell r="AC179">
            <v>20</v>
          </cell>
          <cell r="AD179">
            <v>6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143</v>
          </cell>
          <cell r="AJ179">
            <v>24</v>
          </cell>
          <cell r="AK179">
            <v>15</v>
          </cell>
        </row>
        <row r="180">
          <cell r="C180">
            <v>350621020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11</v>
          </cell>
          <cell r="K180">
            <v>0</v>
          </cell>
          <cell r="L180">
            <v>9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23</v>
          </cell>
          <cell r="R180">
            <v>15</v>
          </cell>
          <cell r="S180">
            <v>0</v>
          </cell>
          <cell r="T180">
            <v>0</v>
          </cell>
          <cell r="U180">
            <v>0</v>
          </cell>
          <cell r="V180">
            <v>4</v>
          </cell>
          <cell r="W180">
            <v>14</v>
          </cell>
          <cell r="X180">
            <v>55</v>
          </cell>
          <cell r="Y180">
            <v>22</v>
          </cell>
          <cell r="Z180">
            <v>13</v>
          </cell>
          <cell r="AA180">
            <v>10</v>
          </cell>
          <cell r="AB180">
            <v>7</v>
          </cell>
          <cell r="AC180">
            <v>11</v>
          </cell>
          <cell r="AD180">
            <v>5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199</v>
          </cell>
          <cell r="AJ180">
            <v>55</v>
          </cell>
          <cell r="AK180">
            <v>13</v>
          </cell>
        </row>
        <row r="181"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8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3</v>
          </cell>
          <cell r="X181">
            <v>5.4</v>
          </cell>
          <cell r="Y181">
            <v>21</v>
          </cell>
          <cell r="Z181">
            <v>12</v>
          </cell>
          <cell r="AA181">
            <v>5</v>
          </cell>
          <cell r="AB181">
            <v>0</v>
          </cell>
          <cell r="AC181">
            <v>6</v>
          </cell>
          <cell r="AD181">
            <v>12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82.4</v>
          </cell>
          <cell r="AJ181">
            <v>21</v>
          </cell>
          <cell r="AK181">
            <v>9</v>
          </cell>
        </row>
        <row r="182">
          <cell r="C182">
            <v>350621022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24</v>
          </cell>
          <cell r="K182">
            <v>0</v>
          </cell>
          <cell r="L182">
            <v>8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23</v>
          </cell>
          <cell r="R182">
            <v>5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13</v>
          </cell>
          <cell r="X182">
            <v>7</v>
          </cell>
          <cell r="Y182">
            <v>5</v>
          </cell>
          <cell r="Z182">
            <v>0</v>
          </cell>
          <cell r="AA182">
            <v>0</v>
          </cell>
          <cell r="AB182">
            <v>14</v>
          </cell>
          <cell r="AC182">
            <v>5</v>
          </cell>
          <cell r="AD182">
            <v>15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119</v>
          </cell>
          <cell r="AJ182">
            <v>24</v>
          </cell>
          <cell r="AK182">
            <v>10</v>
          </cell>
        </row>
        <row r="183">
          <cell r="C183">
            <v>350621023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17</v>
          </cell>
          <cell r="K183">
            <v>0</v>
          </cell>
          <cell r="L183">
            <v>5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26</v>
          </cell>
          <cell r="R183">
            <v>9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16.5</v>
          </cell>
          <cell r="X183">
            <v>7</v>
          </cell>
          <cell r="Y183">
            <v>11.7</v>
          </cell>
          <cell r="Z183">
            <v>0</v>
          </cell>
          <cell r="AA183">
            <v>0</v>
          </cell>
          <cell r="AB183">
            <v>22.8</v>
          </cell>
          <cell r="AC183">
            <v>6.5</v>
          </cell>
          <cell r="AD183">
            <v>8</v>
          </cell>
          <cell r="AE183">
            <v>1.1000000000000001</v>
          </cell>
          <cell r="AF183">
            <v>0</v>
          </cell>
          <cell r="AG183">
            <v>0</v>
          </cell>
          <cell r="AH183">
            <v>0</v>
          </cell>
          <cell r="AI183">
            <v>130.6</v>
          </cell>
          <cell r="AJ183">
            <v>26</v>
          </cell>
          <cell r="AK183">
            <v>11</v>
          </cell>
        </row>
        <row r="184">
          <cell r="C184">
            <v>350621024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11</v>
          </cell>
          <cell r="K184">
            <v>0</v>
          </cell>
          <cell r="L184">
            <v>4</v>
          </cell>
          <cell r="M184">
            <v>2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11</v>
          </cell>
          <cell r="S184">
            <v>0</v>
          </cell>
          <cell r="T184">
            <v>0</v>
          </cell>
          <cell r="U184">
            <v>0</v>
          </cell>
          <cell r="V184">
            <v>3</v>
          </cell>
          <cell r="W184">
            <v>6</v>
          </cell>
          <cell r="X184">
            <v>4.3</v>
          </cell>
          <cell r="Y184">
            <v>20</v>
          </cell>
          <cell r="Z184">
            <v>10</v>
          </cell>
          <cell r="AA184">
            <v>7</v>
          </cell>
          <cell r="AB184">
            <v>0</v>
          </cell>
          <cell r="AC184">
            <v>5</v>
          </cell>
          <cell r="AD184">
            <v>4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87.3</v>
          </cell>
          <cell r="AJ184">
            <v>20</v>
          </cell>
          <cell r="AK184">
            <v>12</v>
          </cell>
        </row>
        <row r="185">
          <cell r="C185">
            <v>350621025</v>
          </cell>
          <cell r="D185">
            <v>0</v>
          </cell>
          <cell r="E185">
            <v>0</v>
          </cell>
          <cell r="F185">
            <v>0</v>
          </cell>
          <cell r="G185">
            <v>5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9</v>
          </cell>
          <cell r="R185">
            <v>23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23</v>
          </cell>
          <cell r="X185">
            <v>30</v>
          </cell>
          <cell r="Y185">
            <v>12</v>
          </cell>
          <cell r="Z185">
            <v>0</v>
          </cell>
          <cell r="AA185">
            <v>0</v>
          </cell>
          <cell r="AB185">
            <v>9</v>
          </cell>
          <cell r="AC185">
            <v>2</v>
          </cell>
          <cell r="AD185">
            <v>28</v>
          </cell>
          <cell r="AE185">
            <v>11</v>
          </cell>
          <cell r="AF185">
            <v>0</v>
          </cell>
          <cell r="AG185">
            <v>0</v>
          </cell>
          <cell r="AH185">
            <v>0</v>
          </cell>
          <cell r="AI185">
            <v>152</v>
          </cell>
          <cell r="AJ185">
            <v>30</v>
          </cell>
          <cell r="AK185">
            <v>10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18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14</v>
          </cell>
          <cell r="R186">
            <v>7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24</v>
          </cell>
          <cell r="X186">
            <v>14</v>
          </cell>
          <cell r="Y186">
            <v>12</v>
          </cell>
          <cell r="Z186">
            <v>0</v>
          </cell>
          <cell r="AA186">
            <v>0</v>
          </cell>
          <cell r="AB186">
            <v>14</v>
          </cell>
          <cell r="AC186">
            <v>9</v>
          </cell>
          <cell r="AD186">
            <v>12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124</v>
          </cell>
          <cell r="AJ186">
            <v>24</v>
          </cell>
          <cell r="AK186">
            <v>9</v>
          </cell>
        </row>
        <row r="187">
          <cell r="C187">
            <v>350602001</v>
          </cell>
          <cell r="D187">
            <v>8</v>
          </cell>
          <cell r="E187">
            <v>0</v>
          </cell>
          <cell r="F187">
            <v>8</v>
          </cell>
          <cell r="G187">
            <v>7</v>
          </cell>
          <cell r="H187">
            <v>57</v>
          </cell>
          <cell r="I187">
            <v>0</v>
          </cell>
          <cell r="J187">
            <v>0</v>
          </cell>
          <cell r="K187">
            <v>4.5</v>
          </cell>
          <cell r="L187">
            <v>8</v>
          </cell>
          <cell r="M187">
            <v>0</v>
          </cell>
          <cell r="N187">
            <v>0</v>
          </cell>
          <cell r="O187">
            <v>0</v>
          </cell>
          <cell r="P187">
            <v>1</v>
          </cell>
          <cell r="Q187">
            <v>0</v>
          </cell>
          <cell r="R187">
            <v>5</v>
          </cell>
          <cell r="S187">
            <v>0</v>
          </cell>
          <cell r="T187">
            <v>0</v>
          </cell>
          <cell r="U187">
            <v>0</v>
          </cell>
          <cell r="V187">
            <v>7</v>
          </cell>
          <cell r="W187">
            <v>2</v>
          </cell>
          <cell r="X187">
            <v>1</v>
          </cell>
          <cell r="Y187">
            <v>1</v>
          </cell>
          <cell r="Z187">
            <v>0</v>
          </cell>
          <cell r="AA187">
            <v>0</v>
          </cell>
          <cell r="AB187">
            <v>0</v>
          </cell>
          <cell r="AC187">
            <v>6</v>
          </cell>
          <cell r="AD187">
            <v>26</v>
          </cell>
          <cell r="AE187">
            <v>2</v>
          </cell>
          <cell r="AF187">
            <v>0</v>
          </cell>
          <cell r="AG187">
            <v>0</v>
          </cell>
          <cell r="AH187">
            <v>0</v>
          </cell>
          <cell r="AI187">
            <v>143.5</v>
          </cell>
          <cell r="AJ187">
            <v>57</v>
          </cell>
          <cell r="AK187">
            <v>15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2</v>
          </cell>
          <cell r="H188">
            <v>28</v>
          </cell>
          <cell r="I188">
            <v>0</v>
          </cell>
          <cell r="J188">
            <v>0</v>
          </cell>
          <cell r="K188">
            <v>24</v>
          </cell>
          <cell r="L188">
            <v>0</v>
          </cell>
          <cell r="M188">
            <v>0</v>
          </cell>
          <cell r="N188">
            <v>12</v>
          </cell>
          <cell r="O188">
            <v>0</v>
          </cell>
          <cell r="P188">
            <v>0</v>
          </cell>
          <cell r="Q188">
            <v>0</v>
          </cell>
          <cell r="R188">
            <v>19</v>
          </cell>
          <cell r="S188">
            <v>0</v>
          </cell>
          <cell r="T188">
            <v>0</v>
          </cell>
          <cell r="U188">
            <v>0</v>
          </cell>
          <cell r="V188">
            <v>4</v>
          </cell>
          <cell r="W188">
            <v>38</v>
          </cell>
          <cell r="X188">
            <v>1</v>
          </cell>
          <cell r="Y188">
            <v>6</v>
          </cell>
          <cell r="Z188">
            <v>0</v>
          </cell>
          <cell r="AA188">
            <v>0</v>
          </cell>
          <cell r="AB188">
            <v>6</v>
          </cell>
          <cell r="AC188">
            <v>0</v>
          </cell>
          <cell r="AD188">
            <v>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147</v>
          </cell>
          <cell r="AJ188">
            <v>38</v>
          </cell>
          <cell r="AK188">
            <v>11</v>
          </cell>
        </row>
        <row r="189">
          <cell r="C189">
            <v>350602003</v>
          </cell>
          <cell r="D189">
            <v>0</v>
          </cell>
          <cell r="E189">
            <v>2</v>
          </cell>
          <cell r="F189">
            <v>4</v>
          </cell>
          <cell r="G189">
            <v>5</v>
          </cell>
          <cell r="H189">
            <v>7</v>
          </cell>
          <cell r="I189">
            <v>18</v>
          </cell>
          <cell r="J189">
            <v>11</v>
          </cell>
          <cell r="K189">
            <v>20</v>
          </cell>
          <cell r="L189">
            <v>6</v>
          </cell>
          <cell r="M189">
            <v>17</v>
          </cell>
          <cell r="N189">
            <v>1</v>
          </cell>
          <cell r="O189">
            <v>0</v>
          </cell>
          <cell r="P189">
            <v>0</v>
          </cell>
          <cell r="Q189">
            <v>0</v>
          </cell>
          <cell r="R189">
            <v>8</v>
          </cell>
          <cell r="S189">
            <v>0</v>
          </cell>
          <cell r="T189">
            <v>0</v>
          </cell>
          <cell r="U189">
            <v>0</v>
          </cell>
          <cell r="V189">
            <v>43</v>
          </cell>
          <cell r="W189">
            <v>29</v>
          </cell>
          <cell r="X189">
            <v>14</v>
          </cell>
          <cell r="Y189">
            <v>14</v>
          </cell>
          <cell r="Z189">
            <v>0</v>
          </cell>
          <cell r="AA189">
            <v>0</v>
          </cell>
          <cell r="AB189">
            <v>0</v>
          </cell>
          <cell r="AC189">
            <v>7</v>
          </cell>
          <cell r="AD189">
            <v>19</v>
          </cell>
          <cell r="AE189">
            <v>2</v>
          </cell>
          <cell r="AF189">
            <v>0</v>
          </cell>
          <cell r="AG189">
            <v>0</v>
          </cell>
          <cell r="AH189">
            <v>0</v>
          </cell>
          <cell r="AI189">
            <v>227</v>
          </cell>
          <cell r="AJ189">
            <v>43</v>
          </cell>
          <cell r="AK189">
            <v>18</v>
          </cell>
        </row>
        <row r="190">
          <cell r="C190">
            <v>350602004</v>
          </cell>
          <cell r="D190">
            <v>0</v>
          </cell>
          <cell r="E190">
            <v>0</v>
          </cell>
          <cell r="F190">
            <v>0</v>
          </cell>
          <cell r="G190">
            <v>12</v>
          </cell>
          <cell r="H190">
            <v>0</v>
          </cell>
          <cell r="I190">
            <v>21</v>
          </cell>
          <cell r="J190">
            <v>29</v>
          </cell>
          <cell r="K190">
            <v>15</v>
          </cell>
          <cell r="L190">
            <v>0</v>
          </cell>
          <cell r="M190">
            <v>21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9</v>
          </cell>
          <cell r="S190">
            <v>0</v>
          </cell>
          <cell r="T190">
            <v>0</v>
          </cell>
          <cell r="U190">
            <v>0</v>
          </cell>
          <cell r="V190">
            <v>38</v>
          </cell>
          <cell r="W190">
            <v>7</v>
          </cell>
          <cell r="X190">
            <v>6</v>
          </cell>
          <cell r="Y190">
            <v>24</v>
          </cell>
          <cell r="Z190">
            <v>0</v>
          </cell>
          <cell r="AA190">
            <v>0</v>
          </cell>
          <cell r="AB190">
            <v>0</v>
          </cell>
          <cell r="AC190">
            <v>12</v>
          </cell>
          <cell r="AD190">
            <v>17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211</v>
          </cell>
          <cell r="AJ190">
            <v>38</v>
          </cell>
          <cell r="AK190">
            <v>12</v>
          </cell>
        </row>
        <row r="191">
          <cell r="C191">
            <v>350602005</v>
          </cell>
          <cell r="D191">
            <v>8</v>
          </cell>
          <cell r="E191">
            <v>12</v>
          </cell>
          <cell r="F191">
            <v>0</v>
          </cell>
          <cell r="G191">
            <v>30</v>
          </cell>
          <cell r="H191">
            <v>5</v>
          </cell>
          <cell r="I191">
            <v>0</v>
          </cell>
          <cell r="J191">
            <v>29</v>
          </cell>
          <cell r="K191">
            <v>29</v>
          </cell>
          <cell r="L191">
            <v>3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65</v>
          </cell>
          <cell r="W191">
            <v>11</v>
          </cell>
          <cell r="X191">
            <v>10</v>
          </cell>
          <cell r="Y191">
            <v>6</v>
          </cell>
          <cell r="Z191">
            <v>0</v>
          </cell>
          <cell r="AA191">
            <v>3</v>
          </cell>
          <cell r="AB191">
            <v>0</v>
          </cell>
          <cell r="AC191">
            <v>1</v>
          </cell>
          <cell r="AD191">
            <v>14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226</v>
          </cell>
          <cell r="AJ191">
            <v>65</v>
          </cell>
          <cell r="AK191">
            <v>14</v>
          </cell>
        </row>
        <row r="192">
          <cell r="C192">
            <v>350602006</v>
          </cell>
          <cell r="D192">
            <v>0</v>
          </cell>
          <cell r="E192">
            <v>5</v>
          </cell>
          <cell r="F192">
            <v>0</v>
          </cell>
          <cell r="G192">
            <v>11</v>
          </cell>
          <cell r="H192">
            <v>0</v>
          </cell>
          <cell r="I192">
            <v>0</v>
          </cell>
          <cell r="J192">
            <v>6</v>
          </cell>
          <cell r="K192">
            <v>10</v>
          </cell>
          <cell r="L192">
            <v>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11</v>
          </cell>
          <cell r="S192">
            <v>0</v>
          </cell>
          <cell r="T192">
            <v>0</v>
          </cell>
          <cell r="U192">
            <v>0</v>
          </cell>
          <cell r="V192">
            <v>45</v>
          </cell>
          <cell r="W192">
            <v>1</v>
          </cell>
          <cell r="X192">
            <v>15</v>
          </cell>
          <cell r="Y192">
            <v>24</v>
          </cell>
          <cell r="Z192">
            <v>0</v>
          </cell>
          <cell r="AA192">
            <v>0</v>
          </cell>
          <cell r="AB192">
            <v>0</v>
          </cell>
          <cell r="AC192">
            <v>51</v>
          </cell>
          <cell r="AD192">
            <v>18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199</v>
          </cell>
          <cell r="AJ192">
            <v>51</v>
          </cell>
          <cell r="AK192">
            <v>12</v>
          </cell>
        </row>
        <row r="193">
          <cell r="C193">
            <v>350602007</v>
          </cell>
          <cell r="D193">
            <v>0</v>
          </cell>
          <cell r="E193">
            <v>17</v>
          </cell>
          <cell r="F193">
            <v>0</v>
          </cell>
          <cell r="G193">
            <v>0</v>
          </cell>
          <cell r="H193">
            <v>6</v>
          </cell>
          <cell r="I193">
            <v>0</v>
          </cell>
          <cell r="J193">
            <v>0</v>
          </cell>
          <cell r="K193">
            <v>0</v>
          </cell>
          <cell r="L193">
            <v>38</v>
          </cell>
          <cell r="M193">
            <v>11</v>
          </cell>
          <cell r="N193">
            <v>7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2</v>
          </cell>
          <cell r="V193">
            <v>0</v>
          </cell>
          <cell r="W193">
            <v>3</v>
          </cell>
          <cell r="X193">
            <v>9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59</v>
          </cell>
          <cell r="AD193">
            <v>14</v>
          </cell>
          <cell r="AE193">
            <v>14</v>
          </cell>
          <cell r="AF193">
            <v>3</v>
          </cell>
          <cell r="AG193">
            <v>0</v>
          </cell>
          <cell r="AH193">
            <v>0</v>
          </cell>
          <cell r="AI193">
            <v>183</v>
          </cell>
          <cell r="AJ193">
            <v>59</v>
          </cell>
          <cell r="AK193">
            <v>12</v>
          </cell>
        </row>
        <row r="194">
          <cell r="C194">
            <v>350602008</v>
          </cell>
          <cell r="D194">
            <v>0</v>
          </cell>
          <cell r="E194">
            <v>8</v>
          </cell>
          <cell r="F194">
            <v>0</v>
          </cell>
          <cell r="G194">
            <v>8</v>
          </cell>
          <cell r="H194">
            <v>8</v>
          </cell>
          <cell r="I194">
            <v>0</v>
          </cell>
          <cell r="J194">
            <v>0</v>
          </cell>
          <cell r="K194">
            <v>2</v>
          </cell>
          <cell r="L194">
            <v>9</v>
          </cell>
          <cell r="M194">
            <v>35</v>
          </cell>
          <cell r="N194">
            <v>6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28</v>
          </cell>
          <cell r="V194">
            <v>3</v>
          </cell>
          <cell r="W194">
            <v>3</v>
          </cell>
          <cell r="X194">
            <v>33</v>
          </cell>
          <cell r="Y194">
            <v>1</v>
          </cell>
          <cell r="Z194">
            <v>0</v>
          </cell>
          <cell r="AA194">
            <v>0</v>
          </cell>
          <cell r="AB194">
            <v>0</v>
          </cell>
          <cell r="AC194">
            <v>7</v>
          </cell>
          <cell r="AD194">
            <v>10</v>
          </cell>
          <cell r="AE194">
            <v>10</v>
          </cell>
          <cell r="AF194">
            <v>0</v>
          </cell>
          <cell r="AG194">
            <v>1</v>
          </cell>
          <cell r="AH194">
            <v>0</v>
          </cell>
          <cell r="AI194">
            <v>172</v>
          </cell>
          <cell r="AJ194">
            <v>35</v>
          </cell>
          <cell r="AK194">
            <v>16</v>
          </cell>
        </row>
        <row r="195">
          <cell r="C195">
            <v>350602009</v>
          </cell>
          <cell r="D195">
            <v>0</v>
          </cell>
          <cell r="E195">
            <v>3</v>
          </cell>
          <cell r="F195">
            <v>3</v>
          </cell>
          <cell r="G195">
            <v>5</v>
          </cell>
          <cell r="H195">
            <v>52</v>
          </cell>
          <cell r="I195">
            <v>3</v>
          </cell>
          <cell r="J195">
            <v>0</v>
          </cell>
          <cell r="K195">
            <v>3</v>
          </cell>
          <cell r="L195">
            <v>0</v>
          </cell>
          <cell r="M195">
            <v>26</v>
          </cell>
          <cell r="N195">
            <v>0</v>
          </cell>
          <cell r="O195">
            <v>0</v>
          </cell>
          <cell r="P195">
            <v>1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1</v>
          </cell>
          <cell r="V195">
            <v>13</v>
          </cell>
          <cell r="W195">
            <v>1</v>
          </cell>
          <cell r="X195">
            <v>31</v>
          </cell>
          <cell r="Y195">
            <v>20</v>
          </cell>
          <cell r="Z195">
            <v>0</v>
          </cell>
          <cell r="AA195">
            <v>0</v>
          </cell>
          <cell r="AB195">
            <v>0</v>
          </cell>
          <cell r="AC195">
            <v>8</v>
          </cell>
          <cell r="AD195">
            <v>12</v>
          </cell>
          <cell r="AE195">
            <v>29</v>
          </cell>
          <cell r="AF195">
            <v>0</v>
          </cell>
          <cell r="AG195">
            <v>4</v>
          </cell>
          <cell r="AH195">
            <v>0</v>
          </cell>
          <cell r="AI195">
            <v>215</v>
          </cell>
          <cell r="AJ195">
            <v>52</v>
          </cell>
          <cell r="AK195">
            <v>17</v>
          </cell>
        </row>
        <row r="196">
          <cell r="C196">
            <v>350602010</v>
          </cell>
          <cell r="D196">
            <v>0</v>
          </cell>
          <cell r="E196">
            <v>6</v>
          </cell>
          <cell r="F196">
            <v>0</v>
          </cell>
          <cell r="G196">
            <v>0</v>
          </cell>
          <cell r="H196">
            <v>18</v>
          </cell>
          <cell r="I196">
            <v>0</v>
          </cell>
          <cell r="J196">
            <v>0</v>
          </cell>
          <cell r="K196">
            <v>0</v>
          </cell>
          <cell r="L196">
            <v>20</v>
          </cell>
          <cell r="M196">
            <v>2</v>
          </cell>
          <cell r="N196">
            <v>12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1</v>
          </cell>
          <cell r="W196"/>
          <cell r="X196">
            <v>46</v>
          </cell>
          <cell r="Y196">
            <v>1</v>
          </cell>
          <cell r="Z196">
            <v>0</v>
          </cell>
          <cell r="AA196">
            <v>0</v>
          </cell>
          <cell r="AB196">
            <v>0</v>
          </cell>
          <cell r="AC196">
            <v>7</v>
          </cell>
          <cell r="AD196">
            <v>17</v>
          </cell>
          <cell r="AE196">
            <v>14</v>
          </cell>
          <cell r="AF196">
            <v>0</v>
          </cell>
          <cell r="AG196">
            <v>0</v>
          </cell>
          <cell r="AH196">
            <v>0</v>
          </cell>
          <cell r="AI196">
            <v>144</v>
          </cell>
          <cell r="AJ196">
            <v>46</v>
          </cell>
          <cell r="AK196">
            <v>11</v>
          </cell>
        </row>
        <row r="197">
          <cell r="C197">
            <v>350602011</v>
          </cell>
          <cell r="D197">
            <v>0</v>
          </cell>
          <cell r="E197">
            <v>0</v>
          </cell>
          <cell r="F197">
            <v>37</v>
          </cell>
          <cell r="G197">
            <v>12</v>
          </cell>
          <cell r="H197">
            <v>5</v>
          </cell>
          <cell r="I197">
            <v>9</v>
          </cell>
          <cell r="J197">
            <v>11</v>
          </cell>
          <cell r="K197">
            <v>42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</v>
          </cell>
          <cell r="Q197">
            <v>0</v>
          </cell>
          <cell r="R197">
            <v>18</v>
          </cell>
          <cell r="S197">
            <v>0</v>
          </cell>
          <cell r="T197">
            <v>0</v>
          </cell>
          <cell r="U197">
            <v>9</v>
          </cell>
          <cell r="V197">
            <v>29</v>
          </cell>
          <cell r="W197">
            <v>0</v>
          </cell>
          <cell r="X197">
            <v>2</v>
          </cell>
          <cell r="Y197">
            <v>23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12</v>
          </cell>
          <cell r="AE197">
            <v>5</v>
          </cell>
          <cell r="AF197">
            <v>0</v>
          </cell>
          <cell r="AG197">
            <v>0</v>
          </cell>
          <cell r="AH197">
            <v>0</v>
          </cell>
          <cell r="AI197">
            <v>216</v>
          </cell>
          <cell r="AJ197">
            <v>42</v>
          </cell>
          <cell r="AK197">
            <v>14</v>
          </cell>
        </row>
        <row r="198">
          <cell r="C198">
            <v>350602012</v>
          </cell>
          <cell r="D198">
            <v>0</v>
          </cell>
          <cell r="E198">
            <v>1</v>
          </cell>
          <cell r="F198">
            <v>0</v>
          </cell>
          <cell r="G198">
            <v>2</v>
          </cell>
          <cell r="H198">
            <v>84</v>
          </cell>
          <cell r="I198">
            <v>0</v>
          </cell>
          <cell r="J198">
            <v>0</v>
          </cell>
          <cell r="K198">
            <v>2</v>
          </cell>
          <cell r="L198">
            <v>1</v>
          </cell>
          <cell r="M198">
            <v>1</v>
          </cell>
          <cell r="N198">
            <v>0</v>
          </cell>
          <cell r="O198">
            <v>0</v>
          </cell>
          <cell r="P198">
            <v>1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2</v>
          </cell>
          <cell r="V198">
            <v>2</v>
          </cell>
          <cell r="W198">
            <v>2</v>
          </cell>
          <cell r="X198">
            <v>6</v>
          </cell>
          <cell r="Y198">
            <v>9</v>
          </cell>
          <cell r="Z198">
            <v>0</v>
          </cell>
          <cell r="AA198">
            <v>0</v>
          </cell>
          <cell r="AB198">
            <v>0</v>
          </cell>
          <cell r="AC198">
            <v>5</v>
          </cell>
          <cell r="AD198">
            <v>9</v>
          </cell>
          <cell r="AE198">
            <v>8</v>
          </cell>
          <cell r="AF198">
            <v>0</v>
          </cell>
          <cell r="AG198">
            <v>0</v>
          </cell>
          <cell r="AH198">
            <v>0</v>
          </cell>
          <cell r="AI198">
            <v>135</v>
          </cell>
          <cell r="AJ198">
            <v>84</v>
          </cell>
          <cell r="AK198">
            <v>15</v>
          </cell>
        </row>
        <row r="199">
          <cell r="C199">
            <v>350602013</v>
          </cell>
          <cell r="D199">
            <v>0</v>
          </cell>
          <cell r="E199">
            <v>0</v>
          </cell>
          <cell r="F199">
            <v>10</v>
          </cell>
          <cell r="G199">
            <v>6</v>
          </cell>
          <cell r="H199">
            <v>23</v>
          </cell>
          <cell r="I199">
            <v>0</v>
          </cell>
          <cell r="J199">
            <v>0</v>
          </cell>
          <cell r="K199">
            <v>9</v>
          </cell>
          <cell r="L199">
            <v>5</v>
          </cell>
          <cell r="M199">
            <v>0</v>
          </cell>
          <cell r="N199">
            <v>0</v>
          </cell>
          <cell r="O199">
            <v>0</v>
          </cell>
          <cell r="P199">
            <v>1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11</v>
          </cell>
          <cell r="W199">
            <v>5</v>
          </cell>
          <cell r="X199">
            <v>0</v>
          </cell>
          <cell r="Y199">
            <v>2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37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110</v>
          </cell>
          <cell r="AJ199">
            <v>37</v>
          </cell>
          <cell r="AK199">
            <v>11</v>
          </cell>
        </row>
        <row r="200">
          <cell r="C200">
            <v>350602014</v>
          </cell>
          <cell r="D200">
            <v>0</v>
          </cell>
          <cell r="E200">
            <v>0</v>
          </cell>
          <cell r="F200">
            <v>2</v>
          </cell>
          <cell r="G200">
            <v>2</v>
          </cell>
          <cell r="H200">
            <v>8</v>
          </cell>
          <cell r="I200">
            <v>0</v>
          </cell>
          <cell r="J200">
            <v>0</v>
          </cell>
          <cell r="K200">
            <v>1</v>
          </cell>
          <cell r="L200">
            <v>12</v>
          </cell>
          <cell r="M200">
            <v>0</v>
          </cell>
          <cell r="N200">
            <v>0</v>
          </cell>
          <cell r="O200">
            <v>0</v>
          </cell>
          <cell r="P200">
            <v>3</v>
          </cell>
          <cell r="Q200">
            <v>0</v>
          </cell>
          <cell r="R200">
            <v>1</v>
          </cell>
          <cell r="S200">
            <v>0</v>
          </cell>
          <cell r="T200">
            <v>0</v>
          </cell>
          <cell r="U200">
            <v>1</v>
          </cell>
          <cell r="V200">
            <v>11</v>
          </cell>
          <cell r="W200">
            <v>3</v>
          </cell>
          <cell r="X200">
            <v>0</v>
          </cell>
          <cell r="Y200">
            <v>3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30</v>
          </cell>
          <cell r="AE200">
            <v>3</v>
          </cell>
          <cell r="AF200">
            <v>0</v>
          </cell>
          <cell r="AG200">
            <v>0</v>
          </cell>
          <cell r="AH200">
            <v>0</v>
          </cell>
          <cell r="AI200">
            <v>80</v>
          </cell>
          <cell r="AJ200">
            <v>30</v>
          </cell>
          <cell r="AK200">
            <v>13</v>
          </cell>
        </row>
        <row r="201">
          <cell r="C201">
            <v>350602015</v>
          </cell>
          <cell r="D201">
            <v>0</v>
          </cell>
          <cell r="E201">
            <v>0</v>
          </cell>
          <cell r="F201">
            <v>0</v>
          </cell>
          <cell r="G201">
            <v>44</v>
          </cell>
          <cell r="H201">
            <v>7</v>
          </cell>
          <cell r="I201">
            <v>0</v>
          </cell>
          <cell r="J201">
            <v>0</v>
          </cell>
          <cell r="K201">
            <v>15</v>
          </cell>
          <cell r="L201">
            <v>0</v>
          </cell>
          <cell r="M201">
            <v>11</v>
          </cell>
          <cell r="N201">
            <v>17</v>
          </cell>
          <cell r="O201">
            <v>0</v>
          </cell>
          <cell r="P201">
            <v>0</v>
          </cell>
          <cell r="Q201">
            <v>0</v>
          </cell>
          <cell r="R201">
            <v>17</v>
          </cell>
          <cell r="S201">
            <v>0</v>
          </cell>
          <cell r="T201">
            <v>0</v>
          </cell>
          <cell r="U201">
            <v>10</v>
          </cell>
          <cell r="V201">
            <v>4</v>
          </cell>
          <cell r="W201">
            <v>0</v>
          </cell>
          <cell r="X201">
            <v>7</v>
          </cell>
          <cell r="Y201">
            <v>2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27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161</v>
          </cell>
          <cell r="AJ201">
            <v>44</v>
          </cell>
          <cell r="AK201">
            <v>11</v>
          </cell>
        </row>
        <row r="202">
          <cell r="C202">
            <v>350602016</v>
          </cell>
          <cell r="D202">
            <v>0</v>
          </cell>
          <cell r="E202">
            <v>0</v>
          </cell>
          <cell r="F202">
            <v>0</v>
          </cell>
          <cell r="G202">
            <v>14</v>
          </cell>
          <cell r="H202">
            <v>12</v>
          </cell>
          <cell r="I202">
            <v>4</v>
          </cell>
          <cell r="J202">
            <v>0</v>
          </cell>
          <cell r="K202">
            <v>9</v>
          </cell>
          <cell r="L202">
            <v>2</v>
          </cell>
          <cell r="M202">
            <v>27</v>
          </cell>
          <cell r="N202">
            <v>22</v>
          </cell>
          <cell r="O202">
            <v>0</v>
          </cell>
          <cell r="P202">
            <v>0</v>
          </cell>
          <cell r="Q202">
            <v>0</v>
          </cell>
          <cell r="R202">
            <v>4</v>
          </cell>
          <cell r="S202">
            <v>0</v>
          </cell>
          <cell r="T202">
            <v>0</v>
          </cell>
          <cell r="U202">
            <v>3</v>
          </cell>
          <cell r="V202">
            <v>49</v>
          </cell>
          <cell r="W202">
            <v>10</v>
          </cell>
          <cell r="X202">
            <v>39</v>
          </cell>
          <cell r="Y202">
            <v>6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11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213</v>
          </cell>
          <cell r="AJ202">
            <v>49</v>
          </cell>
          <cell r="AK202">
            <v>15</v>
          </cell>
        </row>
        <row r="203">
          <cell r="C203">
            <v>350602017</v>
          </cell>
          <cell r="D203">
            <v>17</v>
          </cell>
          <cell r="E203">
            <v>0</v>
          </cell>
          <cell r="F203">
            <v>0</v>
          </cell>
          <cell r="G203">
            <v>7</v>
          </cell>
          <cell r="H203">
            <v>14</v>
          </cell>
          <cell r="I203">
            <v>0</v>
          </cell>
          <cell r="J203">
            <v>1</v>
          </cell>
          <cell r="K203">
            <v>45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28</v>
          </cell>
          <cell r="S203">
            <v>0</v>
          </cell>
          <cell r="T203">
            <v>0</v>
          </cell>
          <cell r="U203">
            <v>0</v>
          </cell>
          <cell r="V203">
            <v>6</v>
          </cell>
          <cell r="W203">
            <v>90</v>
          </cell>
          <cell r="X203">
            <v>5</v>
          </cell>
          <cell r="Y203">
            <v>2</v>
          </cell>
          <cell r="Z203">
            <v>0</v>
          </cell>
          <cell r="AA203">
            <v>0</v>
          </cell>
          <cell r="AB203">
            <v>0</v>
          </cell>
          <cell r="AC203">
            <v>9</v>
          </cell>
          <cell r="AD203">
            <v>10</v>
          </cell>
          <cell r="AE203">
            <v>2</v>
          </cell>
          <cell r="AF203">
            <v>0</v>
          </cell>
          <cell r="AG203">
            <v>0</v>
          </cell>
          <cell r="AH203">
            <v>0</v>
          </cell>
          <cell r="AI203">
            <v>236</v>
          </cell>
          <cell r="AJ203">
            <v>90</v>
          </cell>
          <cell r="AK203">
            <v>13</v>
          </cell>
        </row>
        <row r="204">
          <cell r="C204">
            <v>350602018</v>
          </cell>
          <cell r="D204">
            <v>0</v>
          </cell>
          <cell r="E204">
            <v>5</v>
          </cell>
          <cell r="F204">
            <v>0</v>
          </cell>
          <cell r="G204">
            <v>6</v>
          </cell>
          <cell r="H204">
            <v>18</v>
          </cell>
          <cell r="I204">
            <v>0</v>
          </cell>
          <cell r="J204">
            <v>0</v>
          </cell>
          <cell r="K204">
            <v>0</v>
          </cell>
          <cell r="L204">
            <v>1</v>
          </cell>
          <cell r="M204">
            <v>45</v>
          </cell>
          <cell r="N204">
            <v>1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52</v>
          </cell>
          <cell r="V204">
            <v>2</v>
          </cell>
          <cell r="W204">
            <v>2</v>
          </cell>
          <cell r="X204">
            <v>51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7</v>
          </cell>
          <cell r="AD204">
            <v>11</v>
          </cell>
          <cell r="AE204">
            <v>0</v>
          </cell>
          <cell r="AF204">
            <v>2</v>
          </cell>
          <cell r="AG204">
            <v>3</v>
          </cell>
          <cell r="AH204">
            <v>0</v>
          </cell>
          <cell r="AI204">
            <v>206</v>
          </cell>
          <cell r="AJ204">
            <v>52</v>
          </cell>
          <cell r="AK204">
            <v>14</v>
          </cell>
        </row>
        <row r="205">
          <cell r="C205">
            <v>350602019</v>
          </cell>
          <cell r="D205">
            <v>0</v>
          </cell>
          <cell r="E205">
            <v>33</v>
          </cell>
          <cell r="F205">
            <v>0</v>
          </cell>
          <cell r="G205">
            <v>6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1</v>
          </cell>
          <cell r="M205">
            <v>1</v>
          </cell>
          <cell r="N205">
            <v>2</v>
          </cell>
          <cell r="O205">
            <v>0</v>
          </cell>
          <cell r="P205">
            <v>6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1</v>
          </cell>
          <cell r="W205">
            <v>2</v>
          </cell>
          <cell r="X205">
            <v>3</v>
          </cell>
          <cell r="Y205">
            <v>2</v>
          </cell>
          <cell r="Z205">
            <v>0</v>
          </cell>
          <cell r="AA205">
            <v>0</v>
          </cell>
          <cell r="AB205">
            <v>0</v>
          </cell>
          <cell r="AC205">
            <v>4</v>
          </cell>
          <cell r="AD205">
            <v>10</v>
          </cell>
          <cell r="AE205">
            <v>27</v>
          </cell>
          <cell r="AF205">
            <v>0</v>
          </cell>
          <cell r="AG205">
            <v>0</v>
          </cell>
          <cell r="AH205">
            <v>0</v>
          </cell>
          <cell r="AI205">
            <v>178</v>
          </cell>
          <cell r="AJ205">
            <v>80</v>
          </cell>
          <cell r="AK205">
            <v>14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10</v>
          </cell>
          <cell r="G206">
            <v>0</v>
          </cell>
          <cell r="H206">
            <v>45</v>
          </cell>
          <cell r="I206">
            <v>0</v>
          </cell>
          <cell r="J206">
            <v>0</v>
          </cell>
          <cell r="K206">
            <v>25</v>
          </cell>
          <cell r="L206">
            <v>2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22</v>
          </cell>
          <cell r="W206">
            <v>2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</v>
          </cell>
          <cell r="AE206">
            <v>0</v>
          </cell>
          <cell r="AF206">
            <v>0</v>
          </cell>
          <cell r="AG206">
            <v>23</v>
          </cell>
          <cell r="AH206">
            <v>0</v>
          </cell>
          <cell r="AI206">
            <v>141</v>
          </cell>
          <cell r="AJ206">
            <v>45</v>
          </cell>
          <cell r="AK206">
            <v>8</v>
          </cell>
        </row>
        <row r="207">
          <cell r="C207">
            <v>350602021</v>
          </cell>
          <cell r="D207">
            <v>0</v>
          </cell>
          <cell r="E207">
            <v>0</v>
          </cell>
          <cell r="F207">
            <v>2</v>
          </cell>
          <cell r="G207">
            <v>0</v>
          </cell>
          <cell r="H207">
            <v>9</v>
          </cell>
          <cell r="I207">
            <v>0</v>
          </cell>
          <cell r="J207">
            <v>0</v>
          </cell>
          <cell r="K207">
            <v>0</v>
          </cell>
          <cell r="L207">
            <v>10</v>
          </cell>
          <cell r="M207">
            <v>0</v>
          </cell>
          <cell r="N207">
            <v>0</v>
          </cell>
          <cell r="O207">
            <v>0</v>
          </cell>
          <cell r="P207">
            <v>3</v>
          </cell>
          <cell r="Q207">
            <v>0</v>
          </cell>
          <cell r="R207">
            <v>1</v>
          </cell>
          <cell r="S207">
            <v>0</v>
          </cell>
          <cell r="T207">
            <v>0</v>
          </cell>
          <cell r="U207">
            <v>0</v>
          </cell>
          <cell r="V207">
            <v>9</v>
          </cell>
          <cell r="W207">
            <v>3</v>
          </cell>
          <cell r="X207">
            <v>0</v>
          </cell>
          <cell r="Y207">
            <v>3</v>
          </cell>
          <cell r="Z207">
            <v>0</v>
          </cell>
          <cell r="AA207">
            <v>0</v>
          </cell>
          <cell r="AB207">
            <v>0</v>
          </cell>
          <cell r="AC207">
            <v>1</v>
          </cell>
          <cell r="AD207">
            <v>29</v>
          </cell>
          <cell r="AE207">
            <v>3</v>
          </cell>
          <cell r="AF207">
            <v>0</v>
          </cell>
          <cell r="AG207">
            <v>0</v>
          </cell>
          <cell r="AH207">
            <v>0</v>
          </cell>
          <cell r="AI207">
            <v>73</v>
          </cell>
          <cell r="AJ207">
            <v>29</v>
          </cell>
          <cell r="AK207">
            <v>11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30</v>
          </cell>
          <cell r="G208">
            <v>3</v>
          </cell>
          <cell r="H208">
            <v>2</v>
          </cell>
          <cell r="I208">
            <v>0</v>
          </cell>
          <cell r="J208">
            <v>0</v>
          </cell>
          <cell r="K208">
            <v>30</v>
          </cell>
          <cell r="L208">
            <v>5</v>
          </cell>
          <cell r="M208">
            <v>0</v>
          </cell>
          <cell r="N208">
            <v>2</v>
          </cell>
          <cell r="O208">
            <v>0</v>
          </cell>
          <cell r="P208">
            <v>3</v>
          </cell>
          <cell r="Q208">
            <v>0</v>
          </cell>
          <cell r="R208">
            <v>10</v>
          </cell>
          <cell r="S208">
            <v>0</v>
          </cell>
          <cell r="T208">
            <v>0</v>
          </cell>
          <cell r="U208">
            <v>0</v>
          </cell>
          <cell r="V208">
            <v>15</v>
          </cell>
          <cell r="W208">
            <v>2</v>
          </cell>
          <cell r="X208">
            <v>5</v>
          </cell>
          <cell r="Y208">
            <v>29</v>
          </cell>
          <cell r="Z208">
            <v>0</v>
          </cell>
          <cell r="AA208">
            <v>0</v>
          </cell>
          <cell r="AB208">
            <v>1</v>
          </cell>
          <cell r="AC208">
            <v>0</v>
          </cell>
          <cell r="AD208">
            <v>11</v>
          </cell>
          <cell r="AE208">
            <v>9</v>
          </cell>
          <cell r="AF208">
            <v>0</v>
          </cell>
          <cell r="AG208">
            <v>0</v>
          </cell>
          <cell r="AH208">
            <v>0</v>
          </cell>
          <cell r="AI208">
            <v>157</v>
          </cell>
          <cell r="AJ208">
            <v>30</v>
          </cell>
          <cell r="AK208">
            <v>15</v>
          </cell>
        </row>
        <row r="209">
          <cell r="C209">
            <v>350602023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42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4</v>
          </cell>
          <cell r="N209">
            <v>53</v>
          </cell>
          <cell r="O209">
            <v>17</v>
          </cell>
          <cell r="P209">
            <v>8</v>
          </cell>
          <cell r="Q209">
            <v>1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3</v>
          </cell>
          <cell r="W209">
            <v>19</v>
          </cell>
          <cell r="X209">
            <v>11</v>
          </cell>
          <cell r="Y209">
            <v>20</v>
          </cell>
          <cell r="Z209">
            <v>0</v>
          </cell>
          <cell r="AA209">
            <v>0</v>
          </cell>
          <cell r="AB209">
            <v>0</v>
          </cell>
          <cell r="AC209">
            <v>14</v>
          </cell>
          <cell r="AD209">
            <v>33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225</v>
          </cell>
          <cell r="AJ209">
            <v>53</v>
          </cell>
          <cell r="AK209">
            <v>12</v>
          </cell>
        </row>
        <row r="210">
          <cell r="C210">
            <v>350601001</v>
          </cell>
          <cell r="D210">
            <v>0</v>
          </cell>
          <cell r="E210">
            <v>0</v>
          </cell>
          <cell r="F210">
            <v>0</v>
          </cell>
          <cell r="G210">
            <v>3</v>
          </cell>
          <cell r="H210">
            <v>4</v>
          </cell>
          <cell r="I210">
            <v>0</v>
          </cell>
          <cell r="J210">
            <v>0</v>
          </cell>
          <cell r="K210">
            <v>0</v>
          </cell>
          <cell r="L210">
            <v>10</v>
          </cell>
          <cell r="M210">
            <v>0</v>
          </cell>
          <cell r="N210">
            <v>0</v>
          </cell>
          <cell r="O210">
            <v>30</v>
          </cell>
          <cell r="P210">
            <v>0</v>
          </cell>
          <cell r="Q210">
            <v>6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2</v>
          </cell>
          <cell r="W210">
            <v>33</v>
          </cell>
          <cell r="X210">
            <v>0</v>
          </cell>
          <cell r="Y210">
            <v>1</v>
          </cell>
          <cell r="Z210">
            <v>24</v>
          </cell>
          <cell r="AA210">
            <v>0</v>
          </cell>
          <cell r="AB210">
            <v>0</v>
          </cell>
          <cell r="AC210">
            <v>1</v>
          </cell>
          <cell r="AD210">
            <v>47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161</v>
          </cell>
          <cell r="AJ210">
            <v>47</v>
          </cell>
          <cell r="AK210">
            <v>11</v>
          </cell>
        </row>
        <row r="211">
          <cell r="C211">
            <v>350601002</v>
          </cell>
          <cell r="D211">
            <v>0</v>
          </cell>
          <cell r="E211">
            <v>4</v>
          </cell>
          <cell r="F211">
            <v>0</v>
          </cell>
          <cell r="G211">
            <v>7</v>
          </cell>
          <cell r="H211">
            <v>16</v>
          </cell>
          <cell r="I211">
            <v>0</v>
          </cell>
          <cell r="J211">
            <v>0</v>
          </cell>
          <cell r="K211">
            <v>0</v>
          </cell>
          <cell r="L211">
            <v>4</v>
          </cell>
          <cell r="M211">
            <v>0</v>
          </cell>
          <cell r="N211">
            <v>0</v>
          </cell>
          <cell r="O211">
            <v>3</v>
          </cell>
          <cell r="P211">
            <v>0</v>
          </cell>
          <cell r="Q211">
            <v>31</v>
          </cell>
          <cell r="R211">
            <v>0</v>
          </cell>
          <cell r="S211">
            <v>4</v>
          </cell>
          <cell r="T211">
            <v>0</v>
          </cell>
          <cell r="U211">
            <v>0</v>
          </cell>
          <cell r="V211">
            <v>6</v>
          </cell>
          <cell r="W211">
            <v>63</v>
          </cell>
          <cell r="X211">
            <v>0</v>
          </cell>
          <cell r="Y211">
            <v>8</v>
          </cell>
          <cell r="Z211">
            <v>14</v>
          </cell>
          <cell r="AA211">
            <v>0</v>
          </cell>
          <cell r="AB211">
            <v>0</v>
          </cell>
          <cell r="AC211">
            <v>16</v>
          </cell>
          <cell r="AD211">
            <v>56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232</v>
          </cell>
          <cell r="AJ211">
            <v>63</v>
          </cell>
          <cell r="AK211">
            <v>13</v>
          </cell>
        </row>
        <row r="212">
          <cell r="C212">
            <v>350601003</v>
          </cell>
          <cell r="D212">
            <v>0</v>
          </cell>
          <cell r="E212">
            <v>2</v>
          </cell>
          <cell r="F212">
            <v>0</v>
          </cell>
          <cell r="G212">
            <v>0</v>
          </cell>
          <cell r="H212">
            <v>30</v>
          </cell>
          <cell r="I212">
            <v>2</v>
          </cell>
          <cell r="J212">
            <v>7</v>
          </cell>
          <cell r="K212">
            <v>0</v>
          </cell>
          <cell r="L212">
            <v>15</v>
          </cell>
          <cell r="M212">
            <v>3</v>
          </cell>
          <cell r="N212">
            <v>0</v>
          </cell>
          <cell r="O212">
            <v>0</v>
          </cell>
          <cell r="P212">
            <v>3</v>
          </cell>
          <cell r="Q212">
            <v>3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3</v>
          </cell>
          <cell r="W212">
            <v>62</v>
          </cell>
          <cell r="X212">
            <v>10</v>
          </cell>
          <cell r="Y212">
            <v>10</v>
          </cell>
          <cell r="Z212">
            <v>27</v>
          </cell>
          <cell r="AA212">
            <v>0</v>
          </cell>
          <cell r="AB212">
            <v>0</v>
          </cell>
          <cell r="AC212">
            <v>0</v>
          </cell>
          <cell r="AD212">
            <v>10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187</v>
          </cell>
          <cell r="AJ212">
            <v>62</v>
          </cell>
          <cell r="AK212">
            <v>14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25</v>
          </cell>
          <cell r="I213">
            <v>1</v>
          </cell>
          <cell r="J213">
            <v>3</v>
          </cell>
          <cell r="K213">
            <v>5</v>
          </cell>
          <cell r="L213">
            <v>10</v>
          </cell>
          <cell r="M213">
            <v>5</v>
          </cell>
          <cell r="N213">
            <v>0</v>
          </cell>
          <cell r="O213">
            <v>1</v>
          </cell>
          <cell r="P213">
            <v>3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1</v>
          </cell>
          <cell r="W213">
            <v>52</v>
          </cell>
          <cell r="X213">
            <v>3</v>
          </cell>
          <cell r="Y213">
            <v>4</v>
          </cell>
          <cell r="Z213">
            <v>25</v>
          </cell>
          <cell r="AA213">
            <v>1</v>
          </cell>
          <cell r="AB213">
            <v>1</v>
          </cell>
          <cell r="AC213">
            <v>0</v>
          </cell>
          <cell r="AD213">
            <v>17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157</v>
          </cell>
          <cell r="AJ213">
            <v>52</v>
          </cell>
          <cell r="AK213">
            <v>16</v>
          </cell>
        </row>
        <row r="214">
          <cell r="C214">
            <v>350601005</v>
          </cell>
          <cell r="D214">
            <v>0</v>
          </cell>
          <cell r="E214">
            <v>9</v>
          </cell>
          <cell r="F214">
            <v>0</v>
          </cell>
          <cell r="G214">
            <v>3</v>
          </cell>
          <cell r="H214">
            <v>55</v>
          </cell>
          <cell r="I214">
            <v>0</v>
          </cell>
          <cell r="J214">
            <v>3</v>
          </cell>
          <cell r="K214">
            <v>0</v>
          </cell>
          <cell r="L214">
            <v>32</v>
          </cell>
          <cell r="M214">
            <v>0</v>
          </cell>
          <cell r="N214">
            <v>38</v>
          </cell>
          <cell r="O214">
            <v>0</v>
          </cell>
          <cell r="P214">
            <v>0</v>
          </cell>
          <cell r="Q214">
            <v>4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6</v>
          </cell>
          <cell r="W214">
            <v>47</v>
          </cell>
          <cell r="X214">
            <v>0</v>
          </cell>
          <cell r="Y214">
            <v>14</v>
          </cell>
          <cell r="Z214">
            <v>36</v>
          </cell>
          <cell r="AA214">
            <v>40</v>
          </cell>
          <cell r="AB214">
            <v>0</v>
          </cell>
          <cell r="AC214">
            <v>2</v>
          </cell>
          <cell r="AD214">
            <v>59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348</v>
          </cell>
          <cell r="AJ214">
            <v>59</v>
          </cell>
          <cell r="AK214">
            <v>14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0</v>
          </cell>
          <cell r="G215">
            <v>6</v>
          </cell>
          <cell r="H215">
            <v>5</v>
          </cell>
          <cell r="I215">
            <v>0</v>
          </cell>
          <cell r="J215">
            <v>0</v>
          </cell>
          <cell r="K215">
            <v>0</v>
          </cell>
          <cell r="L215">
            <v>68</v>
          </cell>
          <cell r="M215">
            <v>0</v>
          </cell>
          <cell r="N215">
            <v>0</v>
          </cell>
          <cell r="O215">
            <v>51</v>
          </cell>
          <cell r="P215">
            <v>0</v>
          </cell>
          <cell r="Q215">
            <v>8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1</v>
          </cell>
          <cell r="W215">
            <v>89</v>
          </cell>
          <cell r="X215">
            <v>1</v>
          </cell>
          <cell r="Y215">
            <v>12</v>
          </cell>
          <cell r="Z215">
            <v>20</v>
          </cell>
          <cell r="AA215">
            <v>22</v>
          </cell>
          <cell r="AB215">
            <v>0</v>
          </cell>
          <cell r="AC215">
            <v>1</v>
          </cell>
          <cell r="AD215">
            <v>55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339</v>
          </cell>
          <cell r="AJ215">
            <v>89</v>
          </cell>
          <cell r="AK215">
            <v>13</v>
          </cell>
        </row>
        <row r="216">
          <cell r="C216">
            <v>350601007</v>
          </cell>
          <cell r="D216">
            <v>5</v>
          </cell>
          <cell r="E216">
            <v>0</v>
          </cell>
          <cell r="F216">
            <v>0</v>
          </cell>
          <cell r="G216">
            <v>10</v>
          </cell>
          <cell r="H216">
            <v>70</v>
          </cell>
          <cell r="I216">
            <v>5</v>
          </cell>
          <cell r="J216">
            <v>5</v>
          </cell>
          <cell r="K216">
            <v>0</v>
          </cell>
          <cell r="L216">
            <v>25</v>
          </cell>
          <cell r="M216">
            <v>0</v>
          </cell>
          <cell r="N216">
            <v>5</v>
          </cell>
          <cell r="O216">
            <v>10</v>
          </cell>
          <cell r="P216">
            <v>0</v>
          </cell>
          <cell r="Q216">
            <v>5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>
            <v>0</v>
          </cell>
          <cell r="W216">
            <v>60</v>
          </cell>
          <cell r="X216">
            <v>15</v>
          </cell>
          <cell r="Y216">
            <v>5</v>
          </cell>
          <cell r="Z216">
            <v>20</v>
          </cell>
          <cell r="AA216">
            <v>15</v>
          </cell>
          <cell r="AB216">
            <v>0</v>
          </cell>
          <cell r="AC216">
            <v>5</v>
          </cell>
          <cell r="AD216">
            <v>35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300</v>
          </cell>
          <cell r="AJ216">
            <v>70</v>
          </cell>
          <cell r="AK216">
            <v>17</v>
          </cell>
        </row>
        <row r="217">
          <cell r="C217">
            <v>350601008</v>
          </cell>
          <cell r="D217">
            <v>0</v>
          </cell>
          <cell r="E217">
            <v>2</v>
          </cell>
          <cell r="F217">
            <v>3</v>
          </cell>
          <cell r="G217">
            <v>2</v>
          </cell>
          <cell r="H217">
            <v>14</v>
          </cell>
          <cell r="I217">
            <v>4</v>
          </cell>
          <cell r="J217">
            <v>0</v>
          </cell>
          <cell r="K217">
            <v>0</v>
          </cell>
          <cell r="L217">
            <v>1</v>
          </cell>
          <cell r="M217">
            <v>0</v>
          </cell>
          <cell r="N217">
            <v>0</v>
          </cell>
          <cell r="O217">
            <v>1</v>
          </cell>
          <cell r="P217">
            <v>0</v>
          </cell>
          <cell r="Q217">
            <v>16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8</v>
          </cell>
          <cell r="W217">
            <v>29</v>
          </cell>
          <cell r="X217">
            <v>30</v>
          </cell>
          <cell r="Y217">
            <v>12</v>
          </cell>
          <cell r="Z217">
            <v>12</v>
          </cell>
          <cell r="AA217">
            <v>1</v>
          </cell>
          <cell r="AB217">
            <v>0</v>
          </cell>
          <cell r="AC217">
            <v>3</v>
          </cell>
          <cell r="AD217">
            <v>58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196</v>
          </cell>
          <cell r="AJ217">
            <v>58</v>
          </cell>
          <cell r="AK217">
            <v>16</v>
          </cell>
        </row>
        <row r="218">
          <cell r="C218">
            <v>350601009</v>
          </cell>
          <cell r="D218">
            <v>0</v>
          </cell>
          <cell r="E218">
            <v>4</v>
          </cell>
          <cell r="F218">
            <v>0</v>
          </cell>
          <cell r="G218">
            <v>0</v>
          </cell>
          <cell r="H218">
            <v>21</v>
          </cell>
          <cell r="I218">
            <v>0</v>
          </cell>
          <cell r="J218">
            <v>10</v>
          </cell>
          <cell r="K218">
            <v>1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1</v>
          </cell>
          <cell r="Q218">
            <v>9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4</v>
          </cell>
          <cell r="W218">
            <v>96</v>
          </cell>
          <cell r="X218">
            <v>4</v>
          </cell>
          <cell r="Y218">
            <v>24</v>
          </cell>
          <cell r="Z218">
            <v>8</v>
          </cell>
          <cell r="AA218">
            <v>10</v>
          </cell>
          <cell r="AB218">
            <v>0</v>
          </cell>
          <cell r="AC218">
            <v>45</v>
          </cell>
          <cell r="AD218">
            <v>18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255</v>
          </cell>
          <cell r="AJ218">
            <v>96</v>
          </cell>
          <cell r="AK218">
            <v>14</v>
          </cell>
        </row>
        <row r="219">
          <cell r="C219">
            <v>350601010</v>
          </cell>
          <cell r="D219">
            <v>0</v>
          </cell>
          <cell r="E219">
            <v>2</v>
          </cell>
          <cell r="F219">
            <v>1</v>
          </cell>
          <cell r="G219">
            <v>0</v>
          </cell>
          <cell r="H219">
            <v>7</v>
          </cell>
          <cell r="I219">
            <v>59</v>
          </cell>
          <cell r="J219">
            <v>0</v>
          </cell>
          <cell r="K219">
            <v>0</v>
          </cell>
          <cell r="L219">
            <v>4</v>
          </cell>
          <cell r="M219">
            <v>0</v>
          </cell>
          <cell r="N219">
            <v>10</v>
          </cell>
          <cell r="O219">
            <v>0</v>
          </cell>
          <cell r="P219">
            <v>1</v>
          </cell>
          <cell r="Q219">
            <v>9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41</v>
          </cell>
          <cell r="W219">
            <v>45</v>
          </cell>
          <cell r="X219">
            <v>42</v>
          </cell>
          <cell r="Y219">
            <v>14</v>
          </cell>
          <cell r="Z219">
            <v>17</v>
          </cell>
          <cell r="AA219">
            <v>9</v>
          </cell>
          <cell r="AB219">
            <v>0</v>
          </cell>
          <cell r="AC219">
            <v>3</v>
          </cell>
          <cell r="AD219">
            <v>13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277</v>
          </cell>
          <cell r="AJ219">
            <v>59</v>
          </cell>
          <cell r="AK219">
            <v>16</v>
          </cell>
        </row>
        <row r="220">
          <cell r="C220">
            <v>350601011</v>
          </cell>
          <cell r="D220">
            <v>0</v>
          </cell>
          <cell r="E220">
            <v>4</v>
          </cell>
          <cell r="F220">
            <v>2</v>
          </cell>
          <cell r="G220">
            <v>3</v>
          </cell>
          <cell r="H220">
            <v>9</v>
          </cell>
          <cell r="I220">
            <v>0</v>
          </cell>
          <cell r="J220">
            <v>0</v>
          </cell>
          <cell r="K220">
            <v>1</v>
          </cell>
          <cell r="L220">
            <v>1</v>
          </cell>
          <cell r="M220">
            <v>2</v>
          </cell>
          <cell r="N220">
            <v>16</v>
          </cell>
          <cell r="O220">
            <v>2</v>
          </cell>
          <cell r="P220">
            <v>4</v>
          </cell>
          <cell r="Q220">
            <v>11</v>
          </cell>
          <cell r="R220">
            <v>1</v>
          </cell>
          <cell r="S220">
            <v>0</v>
          </cell>
          <cell r="T220">
            <v>0</v>
          </cell>
          <cell r="U220">
            <v>1</v>
          </cell>
          <cell r="V220">
            <v>13</v>
          </cell>
          <cell r="W220">
            <v>32</v>
          </cell>
          <cell r="X220">
            <v>1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2</v>
          </cell>
          <cell r="AD220">
            <v>5</v>
          </cell>
          <cell r="AE220">
            <v>1</v>
          </cell>
          <cell r="AF220">
            <v>6</v>
          </cell>
          <cell r="AG220">
            <v>0</v>
          </cell>
          <cell r="AH220">
            <v>0</v>
          </cell>
          <cell r="AI220">
            <v>117</v>
          </cell>
          <cell r="AJ220">
            <v>32</v>
          </cell>
          <cell r="AK220">
            <v>20</v>
          </cell>
        </row>
        <row r="221">
          <cell r="C221">
            <v>350601012</v>
          </cell>
          <cell r="D221">
            <v>0</v>
          </cell>
          <cell r="E221">
            <v>7</v>
          </cell>
          <cell r="F221">
            <v>0</v>
          </cell>
          <cell r="G221">
            <v>0</v>
          </cell>
          <cell r="H221">
            <v>5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19</v>
          </cell>
          <cell r="O221">
            <v>0</v>
          </cell>
          <cell r="P221">
            <v>2</v>
          </cell>
          <cell r="Q221">
            <v>4</v>
          </cell>
          <cell r="R221">
            <v>1</v>
          </cell>
          <cell r="S221">
            <v>0</v>
          </cell>
          <cell r="T221">
            <v>0</v>
          </cell>
          <cell r="U221">
            <v>3</v>
          </cell>
          <cell r="V221">
            <v>0</v>
          </cell>
          <cell r="W221">
            <v>6</v>
          </cell>
          <cell r="X221">
            <v>3</v>
          </cell>
          <cell r="Y221">
            <v>4</v>
          </cell>
          <cell r="Z221">
            <v>0</v>
          </cell>
          <cell r="AA221">
            <v>0</v>
          </cell>
          <cell r="AB221">
            <v>0</v>
          </cell>
          <cell r="AC221">
            <v>5</v>
          </cell>
          <cell r="AD221">
            <v>4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63</v>
          </cell>
          <cell r="AJ221">
            <v>19</v>
          </cell>
          <cell r="AK221">
            <v>12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0</v>
          </cell>
          <cell r="G222">
            <v>24</v>
          </cell>
          <cell r="H222">
            <v>6</v>
          </cell>
          <cell r="I222">
            <v>0</v>
          </cell>
          <cell r="J222">
            <v>0</v>
          </cell>
          <cell r="K222">
            <v>1</v>
          </cell>
          <cell r="L222">
            <v>14</v>
          </cell>
          <cell r="M222">
            <v>0</v>
          </cell>
          <cell r="N222">
            <v>6</v>
          </cell>
          <cell r="O222">
            <v>5</v>
          </cell>
          <cell r="P222">
            <v>1</v>
          </cell>
          <cell r="Q222">
            <v>6</v>
          </cell>
          <cell r="R222">
            <v>17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6</v>
          </cell>
          <cell r="X222">
            <v>1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2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89</v>
          </cell>
          <cell r="AJ222">
            <v>24</v>
          </cell>
          <cell r="AK222">
            <v>12</v>
          </cell>
        </row>
        <row r="223">
          <cell r="C223">
            <v>350601014</v>
          </cell>
          <cell r="D223">
            <v>6</v>
          </cell>
          <cell r="E223">
            <v>20</v>
          </cell>
          <cell r="F223">
            <v>0</v>
          </cell>
          <cell r="G223">
            <v>30</v>
          </cell>
          <cell r="H223">
            <v>2</v>
          </cell>
          <cell r="I223">
            <v>9</v>
          </cell>
          <cell r="J223">
            <v>50</v>
          </cell>
          <cell r="K223">
            <v>13</v>
          </cell>
          <cell r="L223">
            <v>20</v>
          </cell>
          <cell r="M223">
            <v>0</v>
          </cell>
          <cell r="N223">
            <v>8</v>
          </cell>
          <cell r="O223">
            <v>1</v>
          </cell>
          <cell r="P223">
            <v>31</v>
          </cell>
          <cell r="Q223">
            <v>2</v>
          </cell>
          <cell r="R223">
            <v>1</v>
          </cell>
          <cell r="S223">
            <v>0</v>
          </cell>
          <cell r="T223">
            <v>0</v>
          </cell>
          <cell r="U223">
            <v>0</v>
          </cell>
          <cell r="V223">
            <v>3</v>
          </cell>
          <cell r="W223">
            <v>8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1</v>
          </cell>
          <cell r="AD223">
            <v>5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210</v>
          </cell>
          <cell r="AJ223">
            <v>50</v>
          </cell>
          <cell r="AK223">
            <v>17</v>
          </cell>
        </row>
        <row r="224">
          <cell r="C224">
            <v>350601015</v>
          </cell>
          <cell r="D224">
            <v>0</v>
          </cell>
          <cell r="E224">
            <v>5</v>
          </cell>
          <cell r="F224">
            <v>0</v>
          </cell>
          <cell r="G224">
            <v>0</v>
          </cell>
          <cell r="H224">
            <v>26</v>
          </cell>
          <cell r="I224">
            <v>8</v>
          </cell>
          <cell r="J224">
            <v>9</v>
          </cell>
          <cell r="K224">
            <v>3</v>
          </cell>
          <cell r="L224">
            <v>13</v>
          </cell>
          <cell r="M224">
            <v>0</v>
          </cell>
          <cell r="N224">
            <v>3</v>
          </cell>
          <cell r="O224">
            <v>18</v>
          </cell>
          <cell r="P224">
            <v>7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10</v>
          </cell>
          <cell r="W224">
            <v>48</v>
          </cell>
          <cell r="X224">
            <v>8</v>
          </cell>
          <cell r="Y224">
            <v>6</v>
          </cell>
          <cell r="Z224">
            <v>30</v>
          </cell>
          <cell r="AA224">
            <v>4</v>
          </cell>
          <cell r="AB224">
            <v>0</v>
          </cell>
          <cell r="AC224">
            <v>0</v>
          </cell>
          <cell r="AD224">
            <v>13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211</v>
          </cell>
          <cell r="AJ224">
            <v>48</v>
          </cell>
          <cell r="AK224">
            <v>16</v>
          </cell>
        </row>
        <row r="225">
          <cell r="C225">
            <v>350125006</v>
          </cell>
          <cell r="D225">
            <v>39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48</v>
          </cell>
          <cell r="K225">
            <v>0</v>
          </cell>
          <cell r="L225">
            <v>6</v>
          </cell>
          <cell r="M225">
            <v>0</v>
          </cell>
          <cell r="N225">
            <v>0</v>
          </cell>
          <cell r="O225">
            <v>0</v>
          </cell>
          <cell r="P225">
            <v>4</v>
          </cell>
          <cell r="Q225">
            <v>5</v>
          </cell>
          <cell r="R225">
            <v>1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3</v>
          </cell>
          <cell r="Y225">
            <v>6</v>
          </cell>
          <cell r="Z225">
            <v>48</v>
          </cell>
          <cell r="AA225">
            <v>35</v>
          </cell>
          <cell r="AB225">
            <v>8</v>
          </cell>
          <cell r="AC225">
            <v>0</v>
          </cell>
          <cell r="AD225">
            <v>17</v>
          </cell>
          <cell r="AE225">
            <v>0</v>
          </cell>
          <cell r="AF225">
            <v>0</v>
          </cell>
          <cell r="AG225">
            <v>15</v>
          </cell>
          <cell r="AH225">
            <v>0</v>
          </cell>
          <cell r="AI225">
            <v>235</v>
          </cell>
          <cell r="AJ225">
            <v>48</v>
          </cell>
          <cell r="AK225">
            <v>13</v>
          </cell>
        </row>
        <row r="226">
          <cell r="C226">
            <v>350125007</v>
          </cell>
          <cell r="D226">
            <v>8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50</v>
          </cell>
          <cell r="J226">
            <v>5</v>
          </cell>
          <cell r="K226">
            <v>20</v>
          </cell>
          <cell r="L226">
            <v>5</v>
          </cell>
          <cell r="M226">
            <v>0</v>
          </cell>
          <cell r="N226">
            <v>7</v>
          </cell>
          <cell r="O226">
            <v>0</v>
          </cell>
          <cell r="P226">
            <v>0</v>
          </cell>
          <cell r="Q226">
            <v>5</v>
          </cell>
          <cell r="R226">
            <v>5</v>
          </cell>
          <cell r="S226">
            <v>0</v>
          </cell>
          <cell r="T226">
            <v>0</v>
          </cell>
          <cell r="U226">
            <v>20</v>
          </cell>
          <cell r="V226">
            <v>20</v>
          </cell>
          <cell r="W226">
            <v>0</v>
          </cell>
          <cell r="X226">
            <v>20</v>
          </cell>
          <cell r="Y226">
            <v>0</v>
          </cell>
          <cell r="Z226">
            <v>0</v>
          </cell>
          <cell r="AA226">
            <v>0</v>
          </cell>
          <cell r="AB226">
            <v>5</v>
          </cell>
          <cell r="AC226">
            <v>0</v>
          </cell>
          <cell r="AD226">
            <v>10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180</v>
          </cell>
          <cell r="AJ226">
            <v>50</v>
          </cell>
          <cell r="AK226">
            <v>13</v>
          </cell>
        </row>
        <row r="227">
          <cell r="C227">
            <v>350125008</v>
          </cell>
          <cell r="D227">
            <v>41</v>
          </cell>
          <cell r="E227">
            <v>3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20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13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2</v>
          </cell>
          <cell r="X227">
            <v>7</v>
          </cell>
          <cell r="Y227">
            <v>3</v>
          </cell>
          <cell r="Z227">
            <v>26</v>
          </cell>
          <cell r="AA227">
            <v>1</v>
          </cell>
          <cell r="AB227">
            <v>19</v>
          </cell>
          <cell r="AC227">
            <v>23</v>
          </cell>
          <cell r="AD227">
            <v>2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160</v>
          </cell>
          <cell r="AJ227">
            <v>41</v>
          </cell>
          <cell r="AK227">
            <v>12</v>
          </cell>
        </row>
        <row r="228">
          <cell r="C228">
            <v>350125009</v>
          </cell>
          <cell r="D228">
            <v>63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13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9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25</v>
          </cell>
          <cell r="Y228">
            <v>27</v>
          </cell>
          <cell r="Z228">
            <v>39</v>
          </cell>
          <cell r="AA228">
            <v>17</v>
          </cell>
          <cell r="AB228">
            <v>20</v>
          </cell>
          <cell r="AC228">
            <v>38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251</v>
          </cell>
          <cell r="AJ228">
            <v>63</v>
          </cell>
          <cell r="AK228">
            <v>9</v>
          </cell>
        </row>
        <row r="229">
          <cell r="C229">
            <v>350125010</v>
          </cell>
          <cell r="D229">
            <v>1</v>
          </cell>
          <cell r="E229">
            <v>10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6</v>
          </cell>
          <cell r="M229">
            <v>0</v>
          </cell>
          <cell r="N229">
            <v>0</v>
          </cell>
          <cell r="O229">
            <v>0</v>
          </cell>
          <cell r="P229">
            <v>22</v>
          </cell>
          <cell r="Q229">
            <v>11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7</v>
          </cell>
          <cell r="X229">
            <v>9</v>
          </cell>
          <cell r="Y229">
            <v>1</v>
          </cell>
          <cell r="Z229">
            <v>20</v>
          </cell>
          <cell r="AA229">
            <v>34</v>
          </cell>
          <cell r="AB229">
            <v>19</v>
          </cell>
          <cell r="AC229">
            <v>6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146</v>
          </cell>
          <cell r="AJ229">
            <v>34</v>
          </cell>
          <cell r="AK229">
            <v>12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12</v>
          </cell>
          <cell r="R230">
            <v>8</v>
          </cell>
          <cell r="S230">
            <v>0</v>
          </cell>
          <cell r="T230">
            <v>0</v>
          </cell>
          <cell r="U230">
            <v>1</v>
          </cell>
          <cell r="V230">
            <v>0</v>
          </cell>
          <cell r="W230">
            <v>4</v>
          </cell>
          <cell r="X230">
            <v>0</v>
          </cell>
          <cell r="Y230">
            <v>2</v>
          </cell>
          <cell r="Z230">
            <v>0</v>
          </cell>
          <cell r="AA230">
            <v>0</v>
          </cell>
          <cell r="AB230">
            <v>10</v>
          </cell>
          <cell r="AC230">
            <v>14</v>
          </cell>
          <cell r="AD230">
            <v>3</v>
          </cell>
          <cell r="AE230">
            <v>11</v>
          </cell>
          <cell r="AF230">
            <v>5</v>
          </cell>
          <cell r="AG230">
            <v>39</v>
          </cell>
          <cell r="AH230">
            <v>0</v>
          </cell>
          <cell r="AI230">
            <v>109</v>
          </cell>
          <cell r="AJ230">
            <v>39</v>
          </cell>
          <cell r="AK230">
            <v>11</v>
          </cell>
        </row>
        <row r="231">
          <cell r="C231">
            <v>350125012</v>
          </cell>
          <cell r="D231">
            <v>10.5</v>
          </cell>
          <cell r="E231">
            <v>0</v>
          </cell>
          <cell r="F231">
            <v>3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2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5</v>
          </cell>
          <cell r="R231">
            <v>0</v>
          </cell>
          <cell r="S231">
            <v>0</v>
          </cell>
          <cell r="T231">
            <v>0</v>
          </cell>
          <cell r="U231">
            <v>38</v>
          </cell>
          <cell r="V231">
            <v>18</v>
          </cell>
          <cell r="W231">
            <v>35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15</v>
          </cell>
          <cell r="AD231">
            <v>10.5</v>
          </cell>
          <cell r="AE231">
            <v>0</v>
          </cell>
          <cell r="AF231">
            <v>0</v>
          </cell>
          <cell r="AG231">
            <v>28</v>
          </cell>
          <cell r="AH231">
            <v>0</v>
          </cell>
          <cell r="AI231">
            <v>165</v>
          </cell>
          <cell r="AJ231">
            <v>38</v>
          </cell>
          <cell r="AK231">
            <v>10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10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4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10</v>
          </cell>
          <cell r="Q232">
            <v>0</v>
          </cell>
          <cell r="R232">
            <v>5</v>
          </cell>
          <cell r="S232">
            <v>0</v>
          </cell>
          <cell r="T232">
            <v>10</v>
          </cell>
          <cell r="U232">
            <v>0</v>
          </cell>
          <cell r="V232">
            <v>0</v>
          </cell>
          <cell r="W232">
            <v>0</v>
          </cell>
          <cell r="X232">
            <v>25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25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89</v>
          </cell>
          <cell r="AJ232">
            <v>25</v>
          </cell>
          <cell r="AK232">
            <v>7</v>
          </cell>
        </row>
        <row r="233">
          <cell r="C233">
            <v>350125014</v>
          </cell>
          <cell r="D233">
            <v>0</v>
          </cell>
          <cell r="E233">
            <v>0</v>
          </cell>
          <cell r="F233">
            <v>0</v>
          </cell>
          <cell r="G233">
            <v>3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3</v>
          </cell>
          <cell r="N233">
            <v>5</v>
          </cell>
          <cell r="O233">
            <v>0</v>
          </cell>
          <cell r="P233">
            <v>19</v>
          </cell>
          <cell r="Q233">
            <v>0</v>
          </cell>
          <cell r="R233">
            <v>6</v>
          </cell>
          <cell r="S233">
            <v>0</v>
          </cell>
          <cell r="T233">
            <v>2</v>
          </cell>
          <cell r="U233">
            <v>1</v>
          </cell>
          <cell r="V233">
            <v>0</v>
          </cell>
          <cell r="W233">
            <v>0</v>
          </cell>
          <cell r="X233">
            <v>18</v>
          </cell>
          <cell r="Y233">
            <v>9</v>
          </cell>
          <cell r="Z233">
            <v>0</v>
          </cell>
          <cell r="AA233">
            <v>4</v>
          </cell>
          <cell r="AB233">
            <v>5</v>
          </cell>
          <cell r="AC233">
            <v>0</v>
          </cell>
          <cell r="AD233">
            <v>46</v>
          </cell>
          <cell r="AE233">
            <v>4</v>
          </cell>
          <cell r="AF233">
            <v>0</v>
          </cell>
          <cell r="AG233">
            <v>0</v>
          </cell>
          <cell r="AH233">
            <v>0</v>
          </cell>
          <cell r="AI233">
            <v>125</v>
          </cell>
          <cell r="AJ233">
            <v>46</v>
          </cell>
          <cell r="AK233">
            <v>13</v>
          </cell>
        </row>
        <row r="234">
          <cell r="C234">
            <v>350125015</v>
          </cell>
          <cell r="D234">
            <v>6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1</v>
          </cell>
          <cell r="K234">
            <v>1</v>
          </cell>
          <cell r="L234">
            <v>32</v>
          </cell>
          <cell r="M234">
            <v>0</v>
          </cell>
          <cell r="N234">
            <v>6</v>
          </cell>
          <cell r="O234">
            <v>0</v>
          </cell>
          <cell r="P234">
            <v>0</v>
          </cell>
          <cell r="Q234">
            <v>1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6</v>
          </cell>
          <cell r="W234">
            <v>2</v>
          </cell>
          <cell r="X234">
            <v>33</v>
          </cell>
          <cell r="Y234">
            <v>7</v>
          </cell>
          <cell r="Z234">
            <v>0</v>
          </cell>
          <cell r="AA234">
            <v>0</v>
          </cell>
          <cell r="AB234">
            <v>17</v>
          </cell>
          <cell r="AC234">
            <v>0</v>
          </cell>
          <cell r="AD234">
            <v>68</v>
          </cell>
          <cell r="AE234">
            <v>2</v>
          </cell>
          <cell r="AF234">
            <v>0</v>
          </cell>
          <cell r="AG234">
            <v>2</v>
          </cell>
          <cell r="AH234">
            <v>0</v>
          </cell>
          <cell r="AI234">
            <v>184</v>
          </cell>
          <cell r="AJ234">
            <v>68</v>
          </cell>
          <cell r="AK234">
            <v>14</v>
          </cell>
        </row>
        <row r="235">
          <cell r="C235">
            <v>350122032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26</v>
          </cell>
          <cell r="M235">
            <v>14</v>
          </cell>
          <cell r="N235">
            <v>0</v>
          </cell>
          <cell r="O235">
            <v>0</v>
          </cell>
          <cell r="P235">
            <v>0</v>
          </cell>
          <cell r="Q235">
            <v>2</v>
          </cell>
          <cell r="R235">
            <v>4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7</v>
          </cell>
          <cell r="X235">
            <v>30</v>
          </cell>
          <cell r="Y235">
            <v>1</v>
          </cell>
          <cell r="Z235">
            <v>1</v>
          </cell>
          <cell r="AA235">
            <v>0</v>
          </cell>
          <cell r="AB235">
            <v>1</v>
          </cell>
          <cell r="AC235">
            <v>2</v>
          </cell>
          <cell r="AD235">
            <v>18</v>
          </cell>
          <cell r="AE235">
            <v>3</v>
          </cell>
          <cell r="AF235">
            <v>1</v>
          </cell>
          <cell r="AG235">
            <v>0</v>
          </cell>
          <cell r="AH235">
            <v>0</v>
          </cell>
          <cell r="AI235">
            <v>110</v>
          </cell>
          <cell r="AJ235">
            <v>30</v>
          </cell>
          <cell r="AK235">
            <v>13</v>
          </cell>
        </row>
      </sheetData>
      <sheetData sheetId="7">
        <row r="8">
          <cell r="C8">
            <v>350125005</v>
          </cell>
          <cell r="D8">
            <v>17</v>
          </cell>
          <cell r="E8">
            <v>0</v>
          </cell>
          <cell r="F8">
            <v>0</v>
          </cell>
          <cell r="G8">
            <v>32</v>
          </cell>
          <cell r="H8">
            <v>0</v>
          </cell>
          <cell r="I8">
            <v>0</v>
          </cell>
          <cell r="J8">
            <v>16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9</v>
          </cell>
          <cell r="P8">
            <v>68</v>
          </cell>
          <cell r="Q8">
            <v>15</v>
          </cell>
          <cell r="R8">
            <v>24</v>
          </cell>
          <cell r="S8">
            <v>47</v>
          </cell>
          <cell r="T8">
            <v>17</v>
          </cell>
          <cell r="U8">
            <v>19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9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/>
          <cell r="AI8">
            <v>273</v>
          </cell>
          <cell r="AJ8">
            <v>68</v>
          </cell>
          <cell r="AK8">
            <v>11</v>
          </cell>
        </row>
        <row r="9"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26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  <cell r="S9">
            <v>9</v>
          </cell>
          <cell r="T9">
            <v>10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/>
          <cell r="AI9">
            <v>49</v>
          </cell>
          <cell r="AJ9">
            <v>26</v>
          </cell>
          <cell r="AK9">
            <v>5</v>
          </cell>
        </row>
        <row r="10">
          <cell r="C10">
            <v>350125003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0</v>
          </cell>
          <cell r="K10">
            <v>14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9</v>
          </cell>
          <cell r="Q10">
            <v>4</v>
          </cell>
          <cell r="R10">
            <v>0</v>
          </cell>
          <cell r="S10">
            <v>3</v>
          </cell>
          <cell r="T10">
            <v>4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0</v>
          </cell>
          <cell r="AC10">
            <v>0</v>
          </cell>
          <cell r="AD10">
            <v>2</v>
          </cell>
          <cell r="AE10">
            <v>0</v>
          </cell>
          <cell r="AF10">
            <v>0</v>
          </cell>
          <cell r="AG10">
            <v>0</v>
          </cell>
          <cell r="AH10"/>
          <cell r="AI10">
            <v>40</v>
          </cell>
          <cell r="AJ10">
            <v>14</v>
          </cell>
          <cell r="AK10">
            <v>8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13</v>
          </cell>
          <cell r="J11">
            <v>1</v>
          </cell>
          <cell r="K11">
            <v>0</v>
          </cell>
          <cell r="L11">
            <v>6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6</v>
          </cell>
          <cell r="R11">
            <v>8</v>
          </cell>
          <cell r="S11">
            <v>9</v>
          </cell>
          <cell r="T11">
            <v>17</v>
          </cell>
          <cell r="U11">
            <v>2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/>
          <cell r="AI11">
            <v>64</v>
          </cell>
          <cell r="AJ11">
            <v>17</v>
          </cell>
          <cell r="AK11">
            <v>9</v>
          </cell>
        </row>
        <row r="12">
          <cell r="C12">
            <v>350125001</v>
          </cell>
          <cell r="D12">
            <v>8</v>
          </cell>
          <cell r="E12">
            <v>0</v>
          </cell>
          <cell r="F12">
            <v>0</v>
          </cell>
          <cell r="G12">
            <v>7</v>
          </cell>
          <cell r="H12">
            <v>0</v>
          </cell>
          <cell r="I12">
            <v>13</v>
          </cell>
          <cell r="J12">
            <v>0</v>
          </cell>
          <cell r="K12">
            <v>0</v>
          </cell>
          <cell r="L12">
            <v>71</v>
          </cell>
          <cell r="M12">
            <v>0</v>
          </cell>
          <cell r="N12">
            <v>0</v>
          </cell>
          <cell r="O12">
            <v>0</v>
          </cell>
          <cell r="P12">
            <v>6</v>
          </cell>
          <cell r="Q12">
            <v>13</v>
          </cell>
          <cell r="R12">
            <v>0</v>
          </cell>
          <cell r="S12">
            <v>9</v>
          </cell>
          <cell r="T12">
            <v>6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4</v>
          </cell>
          <cell r="AE12">
            <v>0</v>
          </cell>
          <cell r="AF12">
            <v>0</v>
          </cell>
          <cell r="AG12">
            <v>0</v>
          </cell>
          <cell r="AH12"/>
          <cell r="AI12">
            <v>137</v>
          </cell>
          <cell r="AJ12">
            <v>71</v>
          </cell>
          <cell r="AK12">
            <v>9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38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11</v>
          </cell>
          <cell r="Q13">
            <v>16</v>
          </cell>
          <cell r="R13">
            <v>1</v>
          </cell>
          <cell r="S13">
            <v>4</v>
          </cell>
          <cell r="T13">
            <v>22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</v>
          </cell>
          <cell r="AB13">
            <v>0</v>
          </cell>
          <cell r="AC13">
            <v>0</v>
          </cell>
          <cell r="AD13">
            <v>20</v>
          </cell>
          <cell r="AE13">
            <v>19</v>
          </cell>
          <cell r="AF13">
            <v>0</v>
          </cell>
          <cell r="AG13">
            <v>0</v>
          </cell>
          <cell r="AH13"/>
          <cell r="AI13">
            <v>134</v>
          </cell>
          <cell r="AJ13">
            <v>38</v>
          </cell>
          <cell r="AK13">
            <v>10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9</v>
          </cell>
          <cell r="L14">
            <v>0</v>
          </cell>
          <cell r="M14">
            <v>18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1</v>
          </cell>
          <cell r="S14">
            <v>22</v>
          </cell>
          <cell r="T14">
            <v>25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2</v>
          </cell>
          <cell r="AE14">
            <v>23</v>
          </cell>
          <cell r="AF14">
            <v>0</v>
          </cell>
          <cell r="AG14">
            <v>0</v>
          </cell>
          <cell r="AH14"/>
          <cell r="AI14">
            <v>104</v>
          </cell>
          <cell r="AJ14">
            <v>25</v>
          </cell>
          <cell r="AK14">
            <v>9</v>
          </cell>
        </row>
        <row r="15">
          <cell r="C15">
            <v>350124022</v>
          </cell>
          <cell r="D15">
            <v>7</v>
          </cell>
          <cell r="E15">
            <v>0</v>
          </cell>
          <cell r="F15">
            <v>0</v>
          </cell>
          <cell r="G15">
            <v>4</v>
          </cell>
          <cell r="H15">
            <v>2</v>
          </cell>
          <cell r="I15">
            <v>58</v>
          </cell>
          <cell r="J15">
            <v>0</v>
          </cell>
          <cell r="K15">
            <v>0</v>
          </cell>
          <cell r="L15">
            <v>0</v>
          </cell>
          <cell r="M15">
            <v>24.5</v>
          </cell>
          <cell r="N15">
            <v>0</v>
          </cell>
          <cell r="O15">
            <v>0</v>
          </cell>
          <cell r="P15">
            <v>20</v>
          </cell>
          <cell r="Q15">
            <v>7</v>
          </cell>
          <cell r="R15">
            <v>0</v>
          </cell>
          <cell r="S15">
            <v>15.5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</v>
          </cell>
          <cell r="AD15">
            <v>5.5</v>
          </cell>
          <cell r="AE15">
            <v>0</v>
          </cell>
          <cell r="AF15">
            <v>0</v>
          </cell>
          <cell r="AG15">
            <v>0</v>
          </cell>
          <cell r="AH15"/>
          <cell r="AI15">
            <v>147.5</v>
          </cell>
          <cell r="AJ15">
            <v>58</v>
          </cell>
          <cell r="AK15">
            <v>11</v>
          </cell>
        </row>
        <row r="16">
          <cell r="C16">
            <v>350124021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10</v>
          </cell>
          <cell r="J16">
            <v>0</v>
          </cell>
          <cell r="K16">
            <v>0</v>
          </cell>
          <cell r="L16">
            <v>5</v>
          </cell>
          <cell r="M16">
            <v>0</v>
          </cell>
          <cell r="N16">
            <v>0</v>
          </cell>
          <cell r="O16">
            <v>0</v>
          </cell>
          <cell r="P16">
            <v>10</v>
          </cell>
          <cell r="Q16">
            <v>20</v>
          </cell>
          <cell r="R16">
            <v>5</v>
          </cell>
          <cell r="S16">
            <v>2</v>
          </cell>
          <cell r="T16">
            <v>15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2</v>
          </cell>
          <cell r="AB16">
            <v>0</v>
          </cell>
          <cell r="AC16">
            <v>0</v>
          </cell>
          <cell r="AD16">
            <v>35</v>
          </cell>
          <cell r="AE16">
            <v>41</v>
          </cell>
          <cell r="AF16">
            <v>0</v>
          </cell>
          <cell r="AG16">
            <v>0</v>
          </cell>
          <cell r="AH16"/>
          <cell r="AI16">
            <v>145</v>
          </cell>
          <cell r="AJ16">
            <v>41</v>
          </cell>
          <cell r="AK16">
            <v>10</v>
          </cell>
        </row>
        <row r="17">
          <cell r="C17">
            <v>350124020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14</v>
          </cell>
          <cell r="J17">
            <v>0</v>
          </cell>
          <cell r="K17">
            <v>25</v>
          </cell>
          <cell r="L17">
            <v>0</v>
          </cell>
          <cell r="M17">
            <v>14</v>
          </cell>
          <cell r="N17">
            <v>0</v>
          </cell>
          <cell r="O17">
            <v>0</v>
          </cell>
          <cell r="P17">
            <v>0</v>
          </cell>
          <cell r="Q17">
            <v>5</v>
          </cell>
          <cell r="R17">
            <v>0</v>
          </cell>
          <cell r="S17">
            <v>5</v>
          </cell>
          <cell r="T17">
            <v>12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11</v>
          </cell>
          <cell r="AE17">
            <v>82</v>
          </cell>
          <cell r="AF17">
            <v>0</v>
          </cell>
          <cell r="AG17">
            <v>0</v>
          </cell>
          <cell r="AH17"/>
          <cell r="AI17">
            <v>168</v>
          </cell>
          <cell r="AJ17">
            <v>82</v>
          </cell>
          <cell r="AK17">
            <v>8</v>
          </cell>
        </row>
        <row r="18">
          <cell r="C18">
            <v>350124019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7</v>
          </cell>
          <cell r="J18">
            <v>5</v>
          </cell>
          <cell r="K18">
            <v>0</v>
          </cell>
          <cell r="L18">
            <v>12</v>
          </cell>
          <cell r="M18">
            <v>0</v>
          </cell>
          <cell r="N18">
            <v>5</v>
          </cell>
          <cell r="O18">
            <v>2</v>
          </cell>
          <cell r="P18">
            <v>4</v>
          </cell>
          <cell r="Q18">
            <v>4</v>
          </cell>
          <cell r="R18">
            <v>4</v>
          </cell>
          <cell r="S18">
            <v>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15</v>
          </cell>
          <cell r="AD18">
            <v>15</v>
          </cell>
          <cell r="AE18">
            <v>0</v>
          </cell>
          <cell r="AF18">
            <v>0</v>
          </cell>
          <cell r="AG18">
            <v>0</v>
          </cell>
          <cell r="AH18"/>
          <cell r="AI18">
            <v>87</v>
          </cell>
          <cell r="AJ18">
            <v>15</v>
          </cell>
          <cell r="AK18">
            <v>11</v>
          </cell>
        </row>
        <row r="19">
          <cell r="C19">
            <v>350124018</v>
          </cell>
          <cell r="D19">
            <v>9</v>
          </cell>
          <cell r="E19">
            <v>0</v>
          </cell>
          <cell r="F19">
            <v>0</v>
          </cell>
          <cell r="G19">
            <v>3</v>
          </cell>
          <cell r="H19">
            <v>8</v>
          </cell>
          <cell r="I19">
            <v>16</v>
          </cell>
          <cell r="J19">
            <v>1</v>
          </cell>
          <cell r="K19">
            <v>0</v>
          </cell>
          <cell r="L19">
            <v>0</v>
          </cell>
          <cell r="M19">
            <v>3</v>
          </cell>
          <cell r="N19">
            <v>2</v>
          </cell>
          <cell r="O19">
            <v>0</v>
          </cell>
          <cell r="P19">
            <v>9</v>
          </cell>
          <cell r="Q19">
            <v>34</v>
          </cell>
          <cell r="R19">
            <v>0</v>
          </cell>
          <cell r="S19">
            <v>2</v>
          </cell>
          <cell r="T19">
            <v>5</v>
          </cell>
          <cell r="U19">
            <v>0</v>
          </cell>
          <cell r="V19">
            <v>0</v>
          </cell>
          <cell r="W19">
            <v>0</v>
          </cell>
          <cell r="X19">
            <v>6</v>
          </cell>
          <cell r="Y19">
            <v>0</v>
          </cell>
          <cell r="Z19">
            <v>0</v>
          </cell>
          <cell r="AA19">
            <v>0</v>
          </cell>
          <cell r="AB19">
            <v>12</v>
          </cell>
          <cell r="AC19">
            <v>120</v>
          </cell>
          <cell r="AD19">
            <v>9</v>
          </cell>
          <cell r="AE19">
            <v>0</v>
          </cell>
          <cell r="AF19">
            <v>0</v>
          </cell>
          <cell r="AG19">
            <v>0</v>
          </cell>
          <cell r="AH19"/>
          <cell r="AI19">
            <v>239</v>
          </cell>
          <cell r="AJ19">
            <v>120</v>
          </cell>
          <cell r="AK19">
            <v>15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2</v>
          </cell>
          <cell r="I20">
            <v>0</v>
          </cell>
          <cell r="J20">
            <v>23</v>
          </cell>
          <cell r="K20">
            <v>0</v>
          </cell>
          <cell r="L20">
            <v>0</v>
          </cell>
          <cell r="M20">
            <v>20</v>
          </cell>
          <cell r="N20">
            <v>0</v>
          </cell>
          <cell r="O20">
            <v>12</v>
          </cell>
          <cell r="P20">
            <v>28</v>
          </cell>
          <cell r="Q20">
            <v>2</v>
          </cell>
          <cell r="R20">
            <v>4</v>
          </cell>
          <cell r="S20">
            <v>0</v>
          </cell>
          <cell r="T20">
            <v>4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</v>
          </cell>
          <cell r="AE20">
            <v>3</v>
          </cell>
          <cell r="AF20">
            <v>0</v>
          </cell>
          <cell r="AG20">
            <v>0</v>
          </cell>
          <cell r="AH20"/>
          <cell r="AI20">
            <v>101</v>
          </cell>
          <cell r="AJ20">
            <v>28</v>
          </cell>
          <cell r="AK20">
            <v>10</v>
          </cell>
        </row>
        <row r="21">
          <cell r="C21">
            <v>350124016</v>
          </cell>
          <cell r="D21">
            <v>8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2</v>
          </cell>
          <cell r="J21">
            <v>5</v>
          </cell>
          <cell r="K21">
            <v>0</v>
          </cell>
          <cell r="L21">
            <v>43</v>
          </cell>
          <cell r="M21">
            <v>0</v>
          </cell>
          <cell r="N21">
            <v>2</v>
          </cell>
          <cell r="O21">
            <v>0</v>
          </cell>
          <cell r="P21">
            <v>3</v>
          </cell>
          <cell r="Q21">
            <v>10</v>
          </cell>
          <cell r="R21">
            <v>10</v>
          </cell>
          <cell r="S21">
            <v>0</v>
          </cell>
          <cell r="T21">
            <v>1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  <cell r="Y21">
            <v>0</v>
          </cell>
          <cell r="Z21">
            <v>0</v>
          </cell>
          <cell r="AA21">
            <v>10</v>
          </cell>
          <cell r="AB21">
            <v>0</v>
          </cell>
          <cell r="AC21">
            <v>0</v>
          </cell>
          <cell r="AD21">
            <v>20</v>
          </cell>
          <cell r="AE21">
            <v>0</v>
          </cell>
          <cell r="AF21">
            <v>0</v>
          </cell>
          <cell r="AG21">
            <v>0</v>
          </cell>
          <cell r="AH21"/>
          <cell r="AI21">
            <v>115</v>
          </cell>
          <cell r="AJ21">
            <v>43</v>
          </cell>
          <cell r="AK21">
            <v>12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2</v>
          </cell>
          <cell r="J22">
            <v>0</v>
          </cell>
          <cell r="K22">
            <v>0</v>
          </cell>
          <cell r="L22">
            <v>2</v>
          </cell>
          <cell r="M22">
            <v>16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3</v>
          </cell>
          <cell r="S22">
            <v>13</v>
          </cell>
          <cell r="T22">
            <v>18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10</v>
          </cell>
          <cell r="AE22">
            <v>4</v>
          </cell>
          <cell r="AF22">
            <v>0</v>
          </cell>
          <cell r="AG22">
            <v>0</v>
          </cell>
          <cell r="AH22"/>
          <cell r="AI22">
            <v>68</v>
          </cell>
          <cell r="AJ22">
            <v>18</v>
          </cell>
          <cell r="AK22">
            <v>8</v>
          </cell>
        </row>
        <row r="23">
          <cell r="C23">
            <v>350124014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3</v>
          </cell>
          <cell r="N23">
            <v>0</v>
          </cell>
          <cell r="O23">
            <v>0</v>
          </cell>
          <cell r="P23">
            <v>0</v>
          </cell>
          <cell r="Q23">
            <v>18</v>
          </cell>
          <cell r="R23">
            <v>0</v>
          </cell>
          <cell r="S23">
            <v>9</v>
          </cell>
          <cell r="T23">
            <v>1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</v>
          </cell>
          <cell r="AE23">
            <v>0</v>
          </cell>
          <cell r="AF23">
            <v>0</v>
          </cell>
          <cell r="AG23">
            <v>0</v>
          </cell>
          <cell r="AH23"/>
          <cell r="AI23">
            <v>35</v>
          </cell>
          <cell r="AJ23">
            <v>18</v>
          </cell>
          <cell r="AK23">
            <v>5</v>
          </cell>
        </row>
        <row r="24">
          <cell r="C24">
            <v>350124013</v>
          </cell>
          <cell r="D24">
            <v>6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</v>
          </cell>
          <cell r="J24">
            <v>15</v>
          </cell>
          <cell r="K24">
            <v>0</v>
          </cell>
          <cell r="L24">
            <v>0</v>
          </cell>
          <cell r="M24">
            <v>2</v>
          </cell>
          <cell r="N24">
            <v>0</v>
          </cell>
          <cell r="O24">
            <v>10</v>
          </cell>
          <cell r="P24">
            <v>0</v>
          </cell>
          <cell r="Q24">
            <v>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12</v>
          </cell>
          <cell r="AE24">
            <v>0</v>
          </cell>
          <cell r="AF24">
            <v>0</v>
          </cell>
          <cell r="AG24">
            <v>0</v>
          </cell>
          <cell r="AH24"/>
          <cell r="AI24">
            <v>49</v>
          </cell>
          <cell r="AJ24">
            <v>15</v>
          </cell>
          <cell r="AK24">
            <v>7</v>
          </cell>
        </row>
        <row r="25">
          <cell r="C25">
            <v>350124012</v>
          </cell>
          <cell r="D25">
            <v>12</v>
          </cell>
          <cell r="E25">
            <v>0</v>
          </cell>
          <cell r="F25">
            <v>0</v>
          </cell>
          <cell r="G25">
            <v>0</v>
          </cell>
          <cell r="H25">
            <v>3</v>
          </cell>
          <cell r="I25">
            <v>5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3</v>
          </cell>
          <cell r="Q25">
            <v>13</v>
          </cell>
          <cell r="R25">
            <v>2</v>
          </cell>
          <cell r="S25">
            <v>12</v>
          </cell>
          <cell r="T25">
            <v>11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3</v>
          </cell>
          <cell r="AB25">
            <v>2</v>
          </cell>
          <cell r="AC25">
            <v>0</v>
          </cell>
          <cell r="AD25">
            <v>27</v>
          </cell>
          <cell r="AE25">
            <v>0</v>
          </cell>
          <cell r="AF25">
            <v>0</v>
          </cell>
          <cell r="AG25">
            <v>0</v>
          </cell>
          <cell r="AH25"/>
          <cell r="AI25">
            <v>93</v>
          </cell>
          <cell r="AJ25">
            <v>27</v>
          </cell>
          <cell r="AK25">
            <v>11</v>
          </cell>
        </row>
        <row r="26">
          <cell r="C26">
            <v>350124011</v>
          </cell>
          <cell r="D26">
            <v>12</v>
          </cell>
          <cell r="E26">
            <v>0</v>
          </cell>
          <cell r="F26">
            <v>0</v>
          </cell>
          <cell r="G26">
            <v>0</v>
          </cell>
          <cell r="H26">
            <v>6</v>
          </cell>
          <cell r="I26">
            <v>12</v>
          </cell>
          <cell r="J26">
            <v>0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19</v>
          </cell>
          <cell r="Q26">
            <v>34</v>
          </cell>
          <cell r="R26">
            <v>0</v>
          </cell>
          <cell r="S26">
            <v>0</v>
          </cell>
          <cell r="T26">
            <v>8</v>
          </cell>
          <cell r="U26">
            <v>0</v>
          </cell>
          <cell r="V26">
            <v>0</v>
          </cell>
          <cell r="W26">
            <v>0</v>
          </cell>
          <cell r="X26">
            <v>10</v>
          </cell>
          <cell r="Y26">
            <v>0</v>
          </cell>
          <cell r="Z26">
            <v>0</v>
          </cell>
          <cell r="AA26">
            <v>0</v>
          </cell>
          <cell r="AB26">
            <v>2</v>
          </cell>
          <cell r="AC26">
            <v>74</v>
          </cell>
          <cell r="AD26">
            <v>5</v>
          </cell>
          <cell r="AE26">
            <v>0</v>
          </cell>
          <cell r="AF26">
            <v>0</v>
          </cell>
          <cell r="AG26">
            <v>0</v>
          </cell>
          <cell r="AH26"/>
          <cell r="AI26">
            <v>183</v>
          </cell>
          <cell r="AJ26">
            <v>74</v>
          </cell>
          <cell r="AK26">
            <v>11</v>
          </cell>
        </row>
        <row r="27">
          <cell r="C27">
            <v>350124010</v>
          </cell>
          <cell r="D27">
            <v>2</v>
          </cell>
          <cell r="E27">
            <v>0</v>
          </cell>
          <cell r="F27">
            <v>0</v>
          </cell>
          <cell r="G27">
            <v>0</v>
          </cell>
          <cell r="H27">
            <v>10</v>
          </cell>
          <cell r="I27">
            <v>0</v>
          </cell>
          <cell r="J27">
            <v>3</v>
          </cell>
          <cell r="K27">
            <v>0</v>
          </cell>
          <cell r="L27">
            <v>0</v>
          </cell>
          <cell r="M27">
            <v>6</v>
          </cell>
          <cell r="N27">
            <v>0</v>
          </cell>
          <cell r="O27">
            <v>17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7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</v>
          </cell>
          <cell r="AE27">
            <v>0</v>
          </cell>
          <cell r="AF27">
            <v>0</v>
          </cell>
          <cell r="AG27">
            <v>0</v>
          </cell>
          <cell r="AH27"/>
          <cell r="AI27">
            <v>47</v>
          </cell>
          <cell r="AJ27">
            <v>17</v>
          </cell>
          <cell r="AK27">
            <v>7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6</v>
          </cell>
          <cell r="J28">
            <v>2</v>
          </cell>
          <cell r="K28">
            <v>0</v>
          </cell>
          <cell r="L28">
            <v>0</v>
          </cell>
          <cell r="M28">
            <v>13</v>
          </cell>
          <cell r="N28">
            <v>0</v>
          </cell>
          <cell r="O28">
            <v>0</v>
          </cell>
          <cell r="P28">
            <v>2</v>
          </cell>
          <cell r="Q28">
            <v>12</v>
          </cell>
          <cell r="R28">
            <v>0</v>
          </cell>
          <cell r="S28">
            <v>4</v>
          </cell>
          <cell r="T28">
            <v>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2</v>
          </cell>
          <cell r="AB28">
            <v>0</v>
          </cell>
          <cell r="AC28">
            <v>0</v>
          </cell>
          <cell r="AD28">
            <v>6</v>
          </cell>
          <cell r="AE28">
            <v>21</v>
          </cell>
          <cell r="AF28">
            <v>0</v>
          </cell>
          <cell r="AG28">
            <v>0</v>
          </cell>
          <cell r="AH28"/>
          <cell r="AI28">
            <v>77</v>
          </cell>
          <cell r="AJ28">
            <v>21</v>
          </cell>
          <cell r="AK28">
            <v>10</v>
          </cell>
        </row>
        <row r="29">
          <cell r="C29">
            <v>350124008</v>
          </cell>
          <cell r="D29">
            <v>4</v>
          </cell>
          <cell r="E29">
            <v>0</v>
          </cell>
          <cell r="F29">
            <v>0</v>
          </cell>
          <cell r="G29">
            <v>8</v>
          </cell>
          <cell r="H29">
            <v>1</v>
          </cell>
          <cell r="I29">
            <v>16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17</v>
          </cell>
          <cell r="Q29">
            <v>36</v>
          </cell>
          <cell r="R29">
            <v>0</v>
          </cell>
          <cell r="S29">
            <v>27</v>
          </cell>
          <cell r="T29">
            <v>5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4</v>
          </cell>
          <cell r="AD29">
            <v>4</v>
          </cell>
          <cell r="AE29">
            <v>0</v>
          </cell>
          <cell r="AF29">
            <v>0</v>
          </cell>
          <cell r="AG29">
            <v>0</v>
          </cell>
          <cell r="AH29"/>
          <cell r="AI29">
            <v>122</v>
          </cell>
          <cell r="AJ29">
            <v>36</v>
          </cell>
          <cell r="AK29">
            <v>10</v>
          </cell>
        </row>
        <row r="30">
          <cell r="C30">
            <v>350124007</v>
          </cell>
          <cell r="D30">
            <v>2</v>
          </cell>
          <cell r="E30">
            <v>0</v>
          </cell>
          <cell r="F30">
            <v>0</v>
          </cell>
          <cell r="G30">
            <v>0</v>
          </cell>
          <cell r="H30">
            <v>25</v>
          </cell>
          <cell r="I30">
            <v>22</v>
          </cell>
          <cell r="J30">
            <v>0</v>
          </cell>
          <cell r="K30">
            <v>0</v>
          </cell>
          <cell r="L30">
            <v>0</v>
          </cell>
          <cell r="M30">
            <v>2</v>
          </cell>
          <cell r="N30">
            <v>26</v>
          </cell>
          <cell r="O30">
            <v>4</v>
          </cell>
          <cell r="P30">
            <v>8</v>
          </cell>
          <cell r="Q30">
            <v>39</v>
          </cell>
          <cell r="R30">
            <v>0</v>
          </cell>
          <cell r="S30">
            <v>16</v>
          </cell>
          <cell r="T30">
            <v>4</v>
          </cell>
          <cell r="U30">
            <v>0</v>
          </cell>
          <cell r="V30">
            <v>0</v>
          </cell>
          <cell r="W30">
            <v>9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1</v>
          </cell>
          <cell r="AC30">
            <v>52</v>
          </cell>
          <cell r="AD30">
            <v>28</v>
          </cell>
          <cell r="AE30">
            <v>0</v>
          </cell>
          <cell r="AF30">
            <v>0</v>
          </cell>
          <cell r="AG30">
            <v>0</v>
          </cell>
          <cell r="AH30"/>
          <cell r="AI30">
            <v>238</v>
          </cell>
          <cell r="AJ30">
            <v>52</v>
          </cell>
          <cell r="AK30">
            <v>14</v>
          </cell>
        </row>
        <row r="31">
          <cell r="C31">
            <v>350124006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17</v>
          </cell>
          <cell r="J31">
            <v>0</v>
          </cell>
          <cell r="K31">
            <v>13</v>
          </cell>
          <cell r="L31">
            <v>0</v>
          </cell>
          <cell r="M31">
            <v>27</v>
          </cell>
          <cell r="N31">
            <v>0</v>
          </cell>
          <cell r="O31">
            <v>0</v>
          </cell>
          <cell r="P31">
            <v>0</v>
          </cell>
          <cell r="Q31">
            <v>4</v>
          </cell>
          <cell r="R31">
            <v>0</v>
          </cell>
          <cell r="S31">
            <v>3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10</v>
          </cell>
          <cell r="AE31">
            <v>54</v>
          </cell>
          <cell r="AF31">
            <v>0</v>
          </cell>
          <cell r="AG31">
            <v>0</v>
          </cell>
          <cell r="AH31"/>
          <cell r="AI31">
            <v>128</v>
          </cell>
          <cell r="AJ31">
            <v>54</v>
          </cell>
          <cell r="AK31">
            <v>7</v>
          </cell>
        </row>
        <row r="32">
          <cell r="C32">
            <v>350124005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12</v>
          </cell>
          <cell r="J32">
            <v>6</v>
          </cell>
          <cell r="K32">
            <v>0</v>
          </cell>
          <cell r="L32">
            <v>0</v>
          </cell>
          <cell r="M32">
            <v>10</v>
          </cell>
          <cell r="N32">
            <v>5</v>
          </cell>
          <cell r="O32">
            <v>0</v>
          </cell>
          <cell r="P32">
            <v>8</v>
          </cell>
          <cell r="Q32">
            <v>0</v>
          </cell>
          <cell r="R32">
            <v>0</v>
          </cell>
          <cell r="S32">
            <v>0</v>
          </cell>
          <cell r="T32">
            <v>8</v>
          </cell>
          <cell r="U32">
            <v>4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4</v>
          </cell>
          <cell r="AE32">
            <v>12</v>
          </cell>
          <cell r="AF32">
            <v>0</v>
          </cell>
          <cell r="AG32">
            <v>0</v>
          </cell>
          <cell r="AH32"/>
          <cell r="AI32">
            <v>69</v>
          </cell>
          <cell r="AJ32">
            <v>12</v>
          </cell>
          <cell r="AK32">
            <v>9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39</v>
          </cell>
          <cell r="I33">
            <v>24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3</v>
          </cell>
          <cell r="P33">
            <v>5</v>
          </cell>
          <cell r="Q33">
            <v>7</v>
          </cell>
          <cell r="R33">
            <v>2</v>
          </cell>
          <cell r="S33">
            <v>0</v>
          </cell>
          <cell r="T33">
            <v>4</v>
          </cell>
          <cell r="U33">
            <v>0</v>
          </cell>
          <cell r="V33">
            <v>0</v>
          </cell>
          <cell r="W33">
            <v>3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30</v>
          </cell>
          <cell r="AE33">
            <v>2</v>
          </cell>
          <cell r="AF33">
            <v>0</v>
          </cell>
          <cell r="AG33">
            <v>27</v>
          </cell>
          <cell r="AH33"/>
          <cell r="AI33">
            <v>146</v>
          </cell>
          <cell r="AJ33">
            <v>39</v>
          </cell>
          <cell r="AK33">
            <v>11</v>
          </cell>
        </row>
        <row r="34">
          <cell r="C34">
            <v>350124003</v>
          </cell>
          <cell r="D34">
            <v>0</v>
          </cell>
          <cell r="E34">
            <v>0</v>
          </cell>
          <cell r="F34">
            <v>0</v>
          </cell>
          <cell r="G34">
            <v>12</v>
          </cell>
          <cell r="H34">
            <v>12</v>
          </cell>
          <cell r="I34">
            <v>15</v>
          </cell>
          <cell r="J34">
            <v>7</v>
          </cell>
          <cell r="K34">
            <v>0</v>
          </cell>
          <cell r="L34">
            <v>2</v>
          </cell>
          <cell r="M34">
            <v>4</v>
          </cell>
          <cell r="N34">
            <v>5</v>
          </cell>
          <cell r="O34">
            <v>2</v>
          </cell>
          <cell r="P34">
            <v>6</v>
          </cell>
          <cell r="Q34">
            <v>14</v>
          </cell>
          <cell r="R34">
            <v>0</v>
          </cell>
          <cell r="S34">
            <v>9</v>
          </cell>
          <cell r="T34">
            <v>7</v>
          </cell>
          <cell r="U34">
            <v>3</v>
          </cell>
          <cell r="V34">
            <v>0</v>
          </cell>
          <cell r="W34">
            <v>3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37</v>
          </cell>
          <cell r="AD34">
            <v>27</v>
          </cell>
          <cell r="AE34">
            <v>0</v>
          </cell>
          <cell r="AF34">
            <v>0</v>
          </cell>
          <cell r="AG34">
            <v>0</v>
          </cell>
          <cell r="AH34"/>
          <cell r="AI34">
            <v>165</v>
          </cell>
          <cell r="AJ34">
            <v>37</v>
          </cell>
          <cell r="AK34">
            <v>16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4</v>
          </cell>
          <cell r="I35">
            <v>0</v>
          </cell>
          <cell r="J35">
            <v>1</v>
          </cell>
          <cell r="K35">
            <v>0</v>
          </cell>
          <cell r="L35">
            <v>0</v>
          </cell>
          <cell r="M35">
            <v>14</v>
          </cell>
          <cell r="N35">
            <v>0</v>
          </cell>
          <cell r="O35">
            <v>1</v>
          </cell>
          <cell r="P35">
            <v>1</v>
          </cell>
          <cell r="Q35">
            <v>3</v>
          </cell>
          <cell r="R35">
            <v>1</v>
          </cell>
          <cell r="S35">
            <v>16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/>
          <cell r="AI35">
            <v>41</v>
          </cell>
          <cell r="AJ35">
            <v>16</v>
          </cell>
          <cell r="AK35">
            <v>8</v>
          </cell>
        </row>
        <row r="36">
          <cell r="C36">
            <v>350124001</v>
          </cell>
          <cell r="D36">
            <v>1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45</v>
          </cell>
          <cell r="J36">
            <v>0</v>
          </cell>
          <cell r="K36">
            <v>11</v>
          </cell>
          <cell r="L36">
            <v>2</v>
          </cell>
          <cell r="M36">
            <v>3</v>
          </cell>
          <cell r="N36">
            <v>0</v>
          </cell>
          <cell r="O36">
            <v>0</v>
          </cell>
          <cell r="P36">
            <v>3</v>
          </cell>
          <cell r="Q36">
            <v>5</v>
          </cell>
          <cell r="R36">
            <v>0</v>
          </cell>
          <cell r="S36">
            <v>2</v>
          </cell>
          <cell r="T36">
            <v>8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1</v>
          </cell>
          <cell r="AC36">
            <v>30</v>
          </cell>
          <cell r="AD36">
            <v>25</v>
          </cell>
          <cell r="AE36">
            <v>15</v>
          </cell>
          <cell r="AF36">
            <v>0</v>
          </cell>
          <cell r="AG36">
            <v>0</v>
          </cell>
          <cell r="AH36"/>
          <cell r="AI36">
            <v>152</v>
          </cell>
          <cell r="AJ36">
            <v>45</v>
          </cell>
          <cell r="AK36">
            <v>14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29</v>
          </cell>
          <cell r="M37">
            <v>5</v>
          </cell>
          <cell r="N37">
            <v>0</v>
          </cell>
          <cell r="O37">
            <v>0</v>
          </cell>
          <cell r="P37">
            <v>0</v>
          </cell>
          <cell r="Q37">
            <v>3</v>
          </cell>
          <cell r="R37">
            <v>0</v>
          </cell>
          <cell r="S37">
            <v>0</v>
          </cell>
          <cell r="T37">
            <v>13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4</v>
          </cell>
          <cell r="AB37">
            <v>0</v>
          </cell>
          <cell r="AC37">
            <v>0</v>
          </cell>
          <cell r="AD37">
            <v>12</v>
          </cell>
          <cell r="AE37">
            <v>30</v>
          </cell>
          <cell r="AF37">
            <v>0</v>
          </cell>
          <cell r="AG37">
            <v>0</v>
          </cell>
          <cell r="AH37"/>
          <cell r="AI37">
            <v>101</v>
          </cell>
          <cell r="AJ37">
            <v>30</v>
          </cell>
          <cell r="AK37">
            <v>8</v>
          </cell>
        </row>
        <row r="38">
          <cell r="C38">
            <v>350123036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6</v>
          </cell>
          <cell r="J38">
            <v>0</v>
          </cell>
          <cell r="K38">
            <v>0</v>
          </cell>
          <cell r="L38">
            <v>11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2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3</v>
          </cell>
          <cell r="Y38">
            <v>0</v>
          </cell>
          <cell r="Z38">
            <v>0</v>
          </cell>
          <cell r="AA38">
            <v>4</v>
          </cell>
          <cell r="AB38">
            <v>0</v>
          </cell>
          <cell r="AC38">
            <v>35</v>
          </cell>
          <cell r="AD38">
            <v>28</v>
          </cell>
          <cell r="AE38">
            <v>5</v>
          </cell>
          <cell r="AF38">
            <v>0</v>
          </cell>
          <cell r="AG38">
            <v>0</v>
          </cell>
          <cell r="AH38"/>
          <cell r="AI38">
            <v>94</v>
          </cell>
          <cell r="AJ38">
            <v>35</v>
          </cell>
          <cell r="AK38">
            <v>8</v>
          </cell>
        </row>
        <row r="39">
          <cell r="C39">
            <v>350123035</v>
          </cell>
          <cell r="D39">
            <v>157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7</v>
          </cell>
          <cell r="J39">
            <v>0</v>
          </cell>
          <cell r="K39">
            <v>0</v>
          </cell>
          <cell r="L39">
            <v>106</v>
          </cell>
          <cell r="M39">
            <v>4</v>
          </cell>
          <cell r="N39">
            <v>0</v>
          </cell>
          <cell r="O39">
            <v>5</v>
          </cell>
          <cell r="P39">
            <v>1</v>
          </cell>
          <cell r="Q39">
            <v>1</v>
          </cell>
          <cell r="R39">
            <v>0</v>
          </cell>
          <cell r="S39">
            <v>2</v>
          </cell>
          <cell r="T39">
            <v>2</v>
          </cell>
          <cell r="U39">
            <v>10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23</v>
          </cell>
          <cell r="AD39">
            <v>2</v>
          </cell>
          <cell r="AE39">
            <v>0</v>
          </cell>
          <cell r="AF39">
            <v>0</v>
          </cell>
          <cell r="AG39">
            <v>0</v>
          </cell>
          <cell r="AH39"/>
          <cell r="AI39">
            <v>320</v>
          </cell>
          <cell r="AJ39">
            <v>157</v>
          </cell>
          <cell r="AK39">
            <v>12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19</v>
          </cell>
          <cell r="H40">
            <v>0</v>
          </cell>
          <cell r="I40">
            <v>3</v>
          </cell>
          <cell r="J40">
            <v>4</v>
          </cell>
          <cell r="K40">
            <v>0</v>
          </cell>
          <cell r="L40">
            <v>0</v>
          </cell>
          <cell r="M40">
            <v>6</v>
          </cell>
          <cell r="N40">
            <v>0</v>
          </cell>
          <cell r="O40">
            <v>4</v>
          </cell>
          <cell r="P40">
            <v>0</v>
          </cell>
          <cell r="Q40">
            <v>33</v>
          </cell>
          <cell r="R40">
            <v>0</v>
          </cell>
          <cell r="S40">
            <v>0</v>
          </cell>
          <cell r="T40">
            <v>9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18</v>
          </cell>
          <cell r="AB40">
            <v>0</v>
          </cell>
          <cell r="AC40">
            <v>0</v>
          </cell>
          <cell r="AD40">
            <v>22</v>
          </cell>
          <cell r="AE40">
            <v>9</v>
          </cell>
          <cell r="AF40">
            <v>0</v>
          </cell>
          <cell r="AG40">
            <v>0</v>
          </cell>
          <cell r="AH40"/>
          <cell r="AI40">
            <v>127</v>
          </cell>
          <cell r="AJ40">
            <v>33</v>
          </cell>
          <cell r="AK40">
            <v>10</v>
          </cell>
        </row>
        <row r="41">
          <cell r="C41">
            <v>350123033</v>
          </cell>
          <cell r="D41">
            <v>4</v>
          </cell>
          <cell r="E41">
            <v>0</v>
          </cell>
          <cell r="F41">
            <v>0</v>
          </cell>
          <cell r="G41">
            <v>8</v>
          </cell>
          <cell r="H41">
            <v>0</v>
          </cell>
          <cell r="I41">
            <v>4</v>
          </cell>
          <cell r="J41">
            <v>0</v>
          </cell>
          <cell r="K41">
            <v>0</v>
          </cell>
          <cell r="L41">
            <v>35</v>
          </cell>
          <cell r="M41">
            <v>12</v>
          </cell>
          <cell r="N41">
            <v>0</v>
          </cell>
          <cell r="O41">
            <v>0</v>
          </cell>
          <cell r="P41">
            <v>5</v>
          </cell>
          <cell r="Q41">
            <v>5.5</v>
          </cell>
          <cell r="R41">
            <v>0</v>
          </cell>
          <cell r="S41">
            <v>10</v>
          </cell>
          <cell r="T41">
            <v>3</v>
          </cell>
          <cell r="U41">
            <v>5.5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47</v>
          </cell>
          <cell r="AD41">
            <v>19</v>
          </cell>
          <cell r="AE41">
            <v>7</v>
          </cell>
          <cell r="AF41">
            <v>0</v>
          </cell>
          <cell r="AG41">
            <v>0</v>
          </cell>
          <cell r="AH41"/>
          <cell r="AI41">
            <v>165</v>
          </cell>
          <cell r="AJ41">
            <v>47</v>
          </cell>
          <cell r="AK41">
            <v>13</v>
          </cell>
        </row>
        <row r="42">
          <cell r="C42">
            <v>350123032</v>
          </cell>
          <cell r="D42">
            <v>54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6</v>
          </cell>
          <cell r="J42">
            <v>15</v>
          </cell>
          <cell r="K42">
            <v>0</v>
          </cell>
          <cell r="L42">
            <v>11</v>
          </cell>
          <cell r="M42">
            <v>22</v>
          </cell>
          <cell r="N42">
            <v>0</v>
          </cell>
          <cell r="O42">
            <v>4</v>
          </cell>
          <cell r="P42">
            <v>0</v>
          </cell>
          <cell r="Q42">
            <v>2</v>
          </cell>
          <cell r="R42">
            <v>0</v>
          </cell>
          <cell r="S42">
            <v>5</v>
          </cell>
          <cell r="T42">
            <v>17</v>
          </cell>
          <cell r="U42">
            <v>9</v>
          </cell>
          <cell r="V42">
            <v>0</v>
          </cell>
          <cell r="W42">
            <v>0</v>
          </cell>
          <cell r="X42">
            <v>9</v>
          </cell>
          <cell r="Y42">
            <v>0</v>
          </cell>
          <cell r="Z42">
            <v>0</v>
          </cell>
          <cell r="AA42">
            <v>3</v>
          </cell>
          <cell r="AB42">
            <v>9</v>
          </cell>
          <cell r="AC42">
            <v>14</v>
          </cell>
          <cell r="AD42">
            <v>12</v>
          </cell>
          <cell r="AE42">
            <v>0</v>
          </cell>
          <cell r="AF42">
            <v>0</v>
          </cell>
          <cell r="AG42">
            <v>0</v>
          </cell>
          <cell r="AH42"/>
          <cell r="AI42">
            <v>192</v>
          </cell>
          <cell r="AJ42">
            <v>54</v>
          </cell>
          <cell r="AK42">
            <v>15</v>
          </cell>
        </row>
        <row r="43">
          <cell r="C43">
            <v>350123031</v>
          </cell>
          <cell r="D43">
            <v>17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40</v>
          </cell>
          <cell r="J43">
            <v>0</v>
          </cell>
          <cell r="K43">
            <v>5</v>
          </cell>
          <cell r="L43">
            <v>0</v>
          </cell>
          <cell r="M43">
            <v>4</v>
          </cell>
          <cell r="N43">
            <v>0</v>
          </cell>
          <cell r="O43">
            <v>0</v>
          </cell>
          <cell r="P43">
            <v>4</v>
          </cell>
          <cell r="Q43">
            <v>18</v>
          </cell>
          <cell r="R43">
            <v>0</v>
          </cell>
          <cell r="S43">
            <v>2</v>
          </cell>
          <cell r="T43">
            <v>3</v>
          </cell>
          <cell r="U43">
            <v>0</v>
          </cell>
          <cell r="V43">
            <v>0</v>
          </cell>
          <cell r="W43">
            <v>0</v>
          </cell>
          <cell r="X43">
            <v>2</v>
          </cell>
          <cell r="Y43">
            <v>0</v>
          </cell>
          <cell r="Z43">
            <v>0</v>
          </cell>
          <cell r="AA43">
            <v>1</v>
          </cell>
          <cell r="AB43">
            <v>7</v>
          </cell>
          <cell r="AC43">
            <v>23</v>
          </cell>
          <cell r="AD43">
            <v>26</v>
          </cell>
          <cell r="AE43">
            <v>54</v>
          </cell>
          <cell r="AF43">
            <v>0</v>
          </cell>
          <cell r="AG43">
            <v>0</v>
          </cell>
          <cell r="AH43"/>
          <cell r="AI43">
            <v>208</v>
          </cell>
          <cell r="AJ43">
            <v>54</v>
          </cell>
          <cell r="AK43">
            <v>15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7</v>
          </cell>
          <cell r="I44">
            <v>12</v>
          </cell>
          <cell r="J44">
            <v>0</v>
          </cell>
          <cell r="K44">
            <v>10</v>
          </cell>
          <cell r="L44">
            <v>14</v>
          </cell>
          <cell r="M44">
            <v>7</v>
          </cell>
          <cell r="N44">
            <v>13</v>
          </cell>
          <cell r="O44">
            <v>8</v>
          </cell>
          <cell r="P44">
            <v>0</v>
          </cell>
          <cell r="Q44">
            <v>0</v>
          </cell>
          <cell r="R44">
            <v>0</v>
          </cell>
          <cell r="S44">
            <v>3</v>
          </cell>
          <cell r="T44">
            <v>3</v>
          </cell>
          <cell r="U44">
            <v>4</v>
          </cell>
          <cell r="V44">
            <v>0</v>
          </cell>
          <cell r="W44">
            <v>0</v>
          </cell>
          <cell r="X44">
            <v>5</v>
          </cell>
          <cell r="Y44">
            <v>0</v>
          </cell>
          <cell r="Z44">
            <v>0</v>
          </cell>
          <cell r="AA44">
            <v>7</v>
          </cell>
          <cell r="AB44">
            <v>8</v>
          </cell>
          <cell r="AC44">
            <v>27</v>
          </cell>
          <cell r="AD44">
            <v>28</v>
          </cell>
          <cell r="AE44">
            <v>16</v>
          </cell>
          <cell r="AF44">
            <v>0</v>
          </cell>
          <cell r="AG44">
            <v>0</v>
          </cell>
          <cell r="AH44"/>
          <cell r="AI44">
            <v>172</v>
          </cell>
          <cell r="AJ44">
            <v>28</v>
          </cell>
          <cell r="AK44">
            <v>16</v>
          </cell>
        </row>
        <row r="45">
          <cell r="C45">
            <v>350123029</v>
          </cell>
          <cell r="D45">
            <v>0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3</v>
          </cell>
          <cell r="R45">
            <v>0</v>
          </cell>
          <cell r="S45">
            <v>0</v>
          </cell>
          <cell r="T45">
            <v>1</v>
          </cell>
          <cell r="U45">
            <v>0</v>
          </cell>
          <cell r="V45">
            <v>0</v>
          </cell>
          <cell r="W45">
            <v>0</v>
          </cell>
          <cell r="X45">
            <v>1</v>
          </cell>
          <cell r="Y45">
            <v>0</v>
          </cell>
          <cell r="Z45">
            <v>0</v>
          </cell>
          <cell r="AA45">
            <v>0</v>
          </cell>
          <cell r="AB45">
            <v>1</v>
          </cell>
          <cell r="AC45">
            <v>0</v>
          </cell>
          <cell r="AD45">
            <v>22</v>
          </cell>
          <cell r="AE45">
            <v>20</v>
          </cell>
          <cell r="AF45">
            <v>0</v>
          </cell>
          <cell r="AG45">
            <v>0</v>
          </cell>
          <cell r="AH45"/>
          <cell r="AI45">
            <v>49</v>
          </cell>
          <cell r="AJ45">
            <v>22</v>
          </cell>
          <cell r="AK45">
            <v>7</v>
          </cell>
        </row>
        <row r="46">
          <cell r="C46">
            <v>350123028</v>
          </cell>
          <cell r="D46">
            <v>0</v>
          </cell>
          <cell r="E46">
            <v>21</v>
          </cell>
          <cell r="F46">
            <v>0</v>
          </cell>
          <cell r="G46">
            <v>0</v>
          </cell>
          <cell r="H46">
            <v>0</v>
          </cell>
          <cell r="I46">
            <v>4</v>
          </cell>
          <cell r="J46">
            <v>0</v>
          </cell>
          <cell r="K46">
            <v>8</v>
          </cell>
          <cell r="L46">
            <v>10</v>
          </cell>
          <cell r="M46">
            <v>1</v>
          </cell>
          <cell r="N46">
            <v>0</v>
          </cell>
          <cell r="O46">
            <v>2</v>
          </cell>
          <cell r="P46">
            <v>3</v>
          </cell>
          <cell r="Q46">
            <v>0</v>
          </cell>
          <cell r="R46">
            <v>0</v>
          </cell>
          <cell r="S46">
            <v>0</v>
          </cell>
          <cell r="T46">
            <v>4</v>
          </cell>
          <cell r="U46">
            <v>0</v>
          </cell>
          <cell r="V46">
            <v>0</v>
          </cell>
          <cell r="W46">
            <v>1</v>
          </cell>
          <cell r="X46">
            <v>2</v>
          </cell>
          <cell r="Y46">
            <v>0</v>
          </cell>
          <cell r="Z46">
            <v>0</v>
          </cell>
          <cell r="AA46">
            <v>1</v>
          </cell>
          <cell r="AB46">
            <v>0</v>
          </cell>
          <cell r="AC46">
            <v>7</v>
          </cell>
          <cell r="AD46">
            <v>30</v>
          </cell>
          <cell r="AE46">
            <v>4</v>
          </cell>
          <cell r="AF46">
            <v>0</v>
          </cell>
          <cell r="AG46">
            <v>0</v>
          </cell>
          <cell r="AH46"/>
          <cell r="AI46">
            <v>98</v>
          </cell>
          <cell r="AJ46">
            <v>30</v>
          </cell>
          <cell r="AK46">
            <v>14</v>
          </cell>
        </row>
        <row r="47">
          <cell r="C47">
            <v>350123027</v>
          </cell>
          <cell r="D47">
            <v>2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9</v>
          </cell>
          <cell r="J47">
            <v>0</v>
          </cell>
          <cell r="K47">
            <v>0</v>
          </cell>
          <cell r="L47">
            <v>7</v>
          </cell>
          <cell r="M47">
            <v>49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47</v>
          </cell>
          <cell r="V47">
            <v>0</v>
          </cell>
          <cell r="W47">
            <v>0</v>
          </cell>
          <cell r="X47">
            <v>0</v>
          </cell>
          <cell r="Y47">
            <v>22</v>
          </cell>
          <cell r="Z47">
            <v>0</v>
          </cell>
          <cell r="AA47">
            <v>25</v>
          </cell>
          <cell r="AB47">
            <v>0</v>
          </cell>
          <cell r="AC47">
            <v>27</v>
          </cell>
          <cell r="AD47">
            <v>31</v>
          </cell>
          <cell r="AE47">
            <v>4</v>
          </cell>
          <cell r="AF47">
            <v>0</v>
          </cell>
          <cell r="AG47">
            <v>0</v>
          </cell>
          <cell r="AH47"/>
          <cell r="AI47">
            <v>223</v>
          </cell>
          <cell r="AJ47">
            <v>49</v>
          </cell>
          <cell r="AK47">
            <v>10</v>
          </cell>
        </row>
        <row r="48">
          <cell r="C48">
            <v>350123026</v>
          </cell>
          <cell r="D48">
            <v>4</v>
          </cell>
          <cell r="E48">
            <v>0</v>
          </cell>
          <cell r="F48">
            <v>0</v>
          </cell>
          <cell r="G48">
            <v>1</v>
          </cell>
          <cell r="H48">
            <v>0</v>
          </cell>
          <cell r="I48">
            <v>2</v>
          </cell>
          <cell r="J48">
            <v>9</v>
          </cell>
          <cell r="K48">
            <v>0</v>
          </cell>
          <cell r="L48">
            <v>22</v>
          </cell>
          <cell r="M48">
            <v>0</v>
          </cell>
          <cell r="N48">
            <v>0</v>
          </cell>
          <cell r="O48">
            <v>5</v>
          </cell>
          <cell r="P48">
            <v>0</v>
          </cell>
          <cell r="Q48">
            <v>2</v>
          </cell>
          <cell r="R48">
            <v>0</v>
          </cell>
          <cell r="S48">
            <v>16</v>
          </cell>
          <cell r="T48">
            <v>7</v>
          </cell>
          <cell r="U48">
            <v>16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1</v>
          </cell>
          <cell r="AC48">
            <v>15</v>
          </cell>
          <cell r="AD48">
            <v>12</v>
          </cell>
          <cell r="AE48">
            <v>0</v>
          </cell>
          <cell r="AF48">
            <v>0</v>
          </cell>
          <cell r="AG48">
            <v>0</v>
          </cell>
          <cell r="AH48"/>
          <cell r="AI48">
            <v>112</v>
          </cell>
          <cell r="AJ48">
            <v>22</v>
          </cell>
          <cell r="AK48">
            <v>13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28</v>
          </cell>
          <cell r="P49">
            <v>0</v>
          </cell>
          <cell r="Q49">
            <v>0</v>
          </cell>
          <cell r="R49">
            <v>0</v>
          </cell>
          <cell r="S49">
            <v>36</v>
          </cell>
          <cell r="T49">
            <v>4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30</v>
          </cell>
          <cell r="AF49">
            <v>0</v>
          </cell>
          <cell r="AG49">
            <v>0</v>
          </cell>
          <cell r="AH49"/>
          <cell r="AI49">
            <v>98</v>
          </cell>
          <cell r="AJ49">
            <v>36</v>
          </cell>
          <cell r="AK49">
            <v>4</v>
          </cell>
        </row>
        <row r="50">
          <cell r="C50">
            <v>350123024</v>
          </cell>
          <cell r="D50">
            <v>28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7</v>
          </cell>
          <cell r="J50">
            <v>1</v>
          </cell>
          <cell r="K50">
            <v>0</v>
          </cell>
          <cell r="L50">
            <v>17</v>
          </cell>
          <cell r="M50">
            <v>7</v>
          </cell>
          <cell r="N50">
            <v>0</v>
          </cell>
          <cell r="O50">
            <v>0</v>
          </cell>
          <cell r="P50">
            <v>0</v>
          </cell>
          <cell r="Q50">
            <v>1</v>
          </cell>
          <cell r="R50">
            <v>0</v>
          </cell>
          <cell r="S50">
            <v>4</v>
          </cell>
          <cell r="T50">
            <v>5</v>
          </cell>
          <cell r="U50">
            <v>5</v>
          </cell>
          <cell r="V50">
            <v>0</v>
          </cell>
          <cell r="W50">
            <v>0</v>
          </cell>
          <cell r="X50">
            <v>3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37</v>
          </cell>
          <cell r="AD50">
            <v>5</v>
          </cell>
          <cell r="AE50">
            <v>0</v>
          </cell>
          <cell r="AF50">
            <v>0</v>
          </cell>
          <cell r="AG50">
            <v>0</v>
          </cell>
          <cell r="AH50"/>
          <cell r="AI50">
            <v>120</v>
          </cell>
          <cell r="AJ50">
            <v>37</v>
          </cell>
          <cell r="AK50">
            <v>12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5</v>
          </cell>
          <cell r="J51">
            <v>0</v>
          </cell>
          <cell r="K51">
            <v>6</v>
          </cell>
          <cell r="L51">
            <v>4</v>
          </cell>
          <cell r="M51">
            <v>3</v>
          </cell>
          <cell r="N51">
            <v>3</v>
          </cell>
          <cell r="O51">
            <v>8</v>
          </cell>
          <cell r="P51">
            <v>0</v>
          </cell>
          <cell r="Q51">
            <v>10</v>
          </cell>
          <cell r="R51">
            <v>0</v>
          </cell>
          <cell r="S51">
            <v>3</v>
          </cell>
          <cell r="T51">
            <v>4</v>
          </cell>
          <cell r="U51">
            <v>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4</v>
          </cell>
          <cell r="AD51">
            <v>45</v>
          </cell>
          <cell r="AE51">
            <v>20</v>
          </cell>
          <cell r="AF51">
            <v>0</v>
          </cell>
          <cell r="AG51">
            <v>0</v>
          </cell>
          <cell r="AH51"/>
          <cell r="AI51">
            <v>121</v>
          </cell>
          <cell r="AJ51">
            <v>45</v>
          </cell>
          <cell r="AK51">
            <v>13</v>
          </cell>
        </row>
        <row r="52">
          <cell r="C52">
            <v>350123022</v>
          </cell>
          <cell r="D52">
            <v>5</v>
          </cell>
          <cell r="E52">
            <v>0</v>
          </cell>
          <cell r="F52">
            <v>0</v>
          </cell>
          <cell r="G52">
            <v>5</v>
          </cell>
          <cell r="H52">
            <v>0</v>
          </cell>
          <cell r="I52">
            <v>5</v>
          </cell>
          <cell r="J52">
            <v>3</v>
          </cell>
          <cell r="K52">
            <v>0</v>
          </cell>
          <cell r="L52">
            <v>59</v>
          </cell>
          <cell r="M52">
            <v>2</v>
          </cell>
          <cell r="N52">
            <v>0</v>
          </cell>
          <cell r="O52">
            <v>0</v>
          </cell>
          <cell r="P52">
            <v>1</v>
          </cell>
          <cell r="Q52">
            <v>9</v>
          </cell>
          <cell r="R52">
            <v>0</v>
          </cell>
          <cell r="S52">
            <v>9</v>
          </cell>
          <cell r="T52">
            <v>9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2</v>
          </cell>
          <cell r="AB52">
            <v>0</v>
          </cell>
          <cell r="AC52">
            <v>12</v>
          </cell>
          <cell r="AD52">
            <v>4</v>
          </cell>
          <cell r="AE52">
            <v>9</v>
          </cell>
          <cell r="AF52">
            <v>0</v>
          </cell>
          <cell r="AG52">
            <v>0</v>
          </cell>
          <cell r="AH52"/>
          <cell r="AI52">
            <v>134</v>
          </cell>
          <cell r="AJ52">
            <v>59</v>
          </cell>
          <cell r="AK52">
            <v>14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11</v>
          </cell>
          <cell r="J53">
            <v>0</v>
          </cell>
          <cell r="K53">
            <v>0</v>
          </cell>
          <cell r="L53">
            <v>3</v>
          </cell>
          <cell r="M53">
            <v>2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3</v>
          </cell>
          <cell r="T53">
            <v>12</v>
          </cell>
          <cell r="U53">
            <v>24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6</v>
          </cell>
          <cell r="AC53">
            <v>14</v>
          </cell>
          <cell r="AD53">
            <v>11</v>
          </cell>
          <cell r="AE53">
            <v>0</v>
          </cell>
          <cell r="AF53">
            <v>0</v>
          </cell>
          <cell r="AG53">
            <v>0</v>
          </cell>
          <cell r="AH53"/>
          <cell r="AI53">
            <v>86</v>
          </cell>
          <cell r="AJ53">
            <v>24</v>
          </cell>
          <cell r="AK53">
            <v>9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4</v>
          </cell>
          <cell r="J54">
            <v>0</v>
          </cell>
          <cell r="K54">
            <v>7</v>
          </cell>
          <cell r="L54">
            <v>0</v>
          </cell>
          <cell r="M54">
            <v>5</v>
          </cell>
          <cell r="N54">
            <v>7</v>
          </cell>
          <cell r="O54">
            <v>3</v>
          </cell>
          <cell r="P54">
            <v>2</v>
          </cell>
          <cell r="Q54">
            <v>1</v>
          </cell>
          <cell r="R54">
            <v>0</v>
          </cell>
          <cell r="S54">
            <v>9</v>
          </cell>
          <cell r="T54">
            <v>2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2</v>
          </cell>
          <cell r="AB54">
            <v>3</v>
          </cell>
          <cell r="AC54">
            <v>2</v>
          </cell>
          <cell r="AD54">
            <v>52</v>
          </cell>
          <cell r="AE54">
            <v>29</v>
          </cell>
          <cell r="AF54">
            <v>0</v>
          </cell>
          <cell r="AG54">
            <v>0</v>
          </cell>
          <cell r="AH54"/>
          <cell r="AI54">
            <v>128</v>
          </cell>
          <cell r="AJ54">
            <v>52</v>
          </cell>
          <cell r="AK54">
            <v>14</v>
          </cell>
        </row>
        <row r="55">
          <cell r="C55">
            <v>350123019</v>
          </cell>
          <cell r="D55">
            <v>46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11</v>
          </cell>
          <cell r="J55">
            <v>0</v>
          </cell>
          <cell r="K55">
            <v>0</v>
          </cell>
          <cell r="L55">
            <v>1</v>
          </cell>
          <cell r="M55">
            <v>1</v>
          </cell>
          <cell r="N55">
            <v>0</v>
          </cell>
          <cell r="O55">
            <v>1</v>
          </cell>
          <cell r="P55">
            <v>0</v>
          </cell>
          <cell r="Q55">
            <v>10</v>
          </cell>
          <cell r="R55">
            <v>0</v>
          </cell>
          <cell r="S55">
            <v>1</v>
          </cell>
          <cell r="T55">
            <v>0</v>
          </cell>
          <cell r="U55">
            <v>1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19</v>
          </cell>
          <cell r="AD55">
            <v>1</v>
          </cell>
          <cell r="AE55">
            <v>9</v>
          </cell>
          <cell r="AF55">
            <v>0</v>
          </cell>
          <cell r="AG55">
            <v>0</v>
          </cell>
          <cell r="AH55"/>
          <cell r="AI55">
            <v>101</v>
          </cell>
          <cell r="AJ55">
            <v>46</v>
          </cell>
          <cell r="AK55">
            <v>11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4</v>
          </cell>
          <cell r="I56">
            <v>24</v>
          </cell>
          <cell r="J56">
            <v>0</v>
          </cell>
          <cell r="K56">
            <v>4</v>
          </cell>
          <cell r="L56">
            <v>7</v>
          </cell>
          <cell r="M56">
            <v>3</v>
          </cell>
          <cell r="N56">
            <v>3</v>
          </cell>
          <cell r="O56">
            <v>4</v>
          </cell>
          <cell r="P56">
            <v>0</v>
          </cell>
          <cell r="Q56">
            <v>1</v>
          </cell>
          <cell r="R56">
            <v>0</v>
          </cell>
          <cell r="S56">
            <v>0</v>
          </cell>
          <cell r="T56">
            <v>0</v>
          </cell>
          <cell r="U56">
            <v>29</v>
          </cell>
          <cell r="V56">
            <v>0</v>
          </cell>
          <cell r="W56">
            <v>13</v>
          </cell>
          <cell r="X56">
            <v>7</v>
          </cell>
          <cell r="Y56">
            <v>0</v>
          </cell>
          <cell r="Z56">
            <v>0</v>
          </cell>
          <cell r="AA56">
            <v>6</v>
          </cell>
          <cell r="AB56">
            <v>0</v>
          </cell>
          <cell r="AC56">
            <v>15</v>
          </cell>
          <cell r="AD56">
            <v>17</v>
          </cell>
          <cell r="AE56">
            <v>3</v>
          </cell>
          <cell r="AF56">
            <v>0</v>
          </cell>
          <cell r="AG56">
            <v>0</v>
          </cell>
          <cell r="AH56"/>
          <cell r="AI56">
            <v>140</v>
          </cell>
          <cell r="AJ56">
            <v>29</v>
          </cell>
          <cell r="AK56">
            <v>15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3</v>
          </cell>
          <cell r="J57">
            <v>0</v>
          </cell>
          <cell r="K57">
            <v>0</v>
          </cell>
          <cell r="L57">
            <v>2</v>
          </cell>
          <cell r="M57">
            <v>4</v>
          </cell>
          <cell r="N57">
            <v>0</v>
          </cell>
          <cell r="O57">
            <v>7</v>
          </cell>
          <cell r="P57">
            <v>0</v>
          </cell>
          <cell r="Q57">
            <v>0</v>
          </cell>
          <cell r="R57">
            <v>0</v>
          </cell>
          <cell r="S57">
            <v>2</v>
          </cell>
          <cell r="T57">
            <v>1</v>
          </cell>
          <cell r="U57">
            <v>3</v>
          </cell>
          <cell r="V57">
            <v>0</v>
          </cell>
          <cell r="W57">
            <v>0</v>
          </cell>
          <cell r="X57">
            <v>8</v>
          </cell>
          <cell r="Y57">
            <v>0</v>
          </cell>
          <cell r="Z57">
            <v>0</v>
          </cell>
          <cell r="AA57">
            <v>0</v>
          </cell>
          <cell r="AB57">
            <v>6</v>
          </cell>
          <cell r="AC57">
            <v>8</v>
          </cell>
          <cell r="AD57">
            <v>16</v>
          </cell>
          <cell r="AE57">
            <v>5</v>
          </cell>
          <cell r="AF57">
            <v>0</v>
          </cell>
          <cell r="AG57">
            <v>0</v>
          </cell>
          <cell r="AH57"/>
          <cell r="AI57">
            <v>65</v>
          </cell>
          <cell r="AJ57">
            <v>16</v>
          </cell>
          <cell r="AK57">
            <v>12</v>
          </cell>
        </row>
        <row r="58">
          <cell r="C58">
            <v>350123016</v>
          </cell>
          <cell r="D58">
            <v>21</v>
          </cell>
          <cell r="E58">
            <v>0</v>
          </cell>
          <cell r="F58">
            <v>0</v>
          </cell>
          <cell r="G58">
            <v>1.5</v>
          </cell>
          <cell r="H58">
            <v>0</v>
          </cell>
          <cell r="I58">
            <v>1</v>
          </cell>
          <cell r="J58">
            <v>18.5</v>
          </cell>
          <cell r="K58">
            <v>0</v>
          </cell>
          <cell r="L58">
            <v>22</v>
          </cell>
          <cell r="M58">
            <v>7</v>
          </cell>
          <cell r="N58">
            <v>0</v>
          </cell>
          <cell r="O58">
            <v>0</v>
          </cell>
          <cell r="P58">
            <v>0</v>
          </cell>
          <cell r="Q58">
            <v>2</v>
          </cell>
          <cell r="R58">
            <v>0</v>
          </cell>
          <cell r="S58">
            <v>11.5</v>
          </cell>
          <cell r="T58">
            <v>13.5</v>
          </cell>
          <cell r="U58">
            <v>6.5</v>
          </cell>
          <cell r="V58">
            <v>0</v>
          </cell>
          <cell r="W58">
            <v>0</v>
          </cell>
          <cell r="X58">
            <v>7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12</v>
          </cell>
          <cell r="AD58">
            <v>15</v>
          </cell>
          <cell r="AE58">
            <v>0</v>
          </cell>
          <cell r="AF58">
            <v>0</v>
          </cell>
          <cell r="AG58">
            <v>0</v>
          </cell>
          <cell r="AH58"/>
          <cell r="AI58">
            <v>138.5</v>
          </cell>
          <cell r="AJ58">
            <v>22</v>
          </cell>
          <cell r="AK58">
            <v>13</v>
          </cell>
        </row>
        <row r="59">
          <cell r="C59">
            <v>350123015</v>
          </cell>
          <cell r="D59">
            <v>3</v>
          </cell>
          <cell r="E59">
            <v>0</v>
          </cell>
          <cell r="F59">
            <v>0</v>
          </cell>
          <cell r="G59">
            <v>0</v>
          </cell>
          <cell r="H59">
            <v>2</v>
          </cell>
          <cell r="I59">
            <v>6</v>
          </cell>
          <cell r="J59">
            <v>0</v>
          </cell>
          <cell r="K59">
            <v>4</v>
          </cell>
          <cell r="L59">
            <v>5</v>
          </cell>
          <cell r="M59">
            <v>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14</v>
          </cell>
          <cell r="V59">
            <v>0</v>
          </cell>
          <cell r="W59">
            <v>6</v>
          </cell>
          <cell r="X59">
            <v>3</v>
          </cell>
          <cell r="Y59">
            <v>0</v>
          </cell>
          <cell r="Z59">
            <v>0</v>
          </cell>
          <cell r="AA59">
            <v>2</v>
          </cell>
          <cell r="AB59">
            <v>0</v>
          </cell>
          <cell r="AC59">
            <v>0</v>
          </cell>
          <cell r="AD59">
            <v>22</v>
          </cell>
          <cell r="AE59">
            <v>0</v>
          </cell>
          <cell r="AF59">
            <v>0</v>
          </cell>
          <cell r="AG59">
            <v>0</v>
          </cell>
          <cell r="AH59"/>
          <cell r="AI59">
            <v>70</v>
          </cell>
          <cell r="AJ59">
            <v>22</v>
          </cell>
          <cell r="AK59">
            <v>11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28</v>
          </cell>
          <cell r="J60">
            <v>0</v>
          </cell>
          <cell r="K60">
            <v>8</v>
          </cell>
          <cell r="L60">
            <v>16</v>
          </cell>
          <cell r="M60">
            <v>6</v>
          </cell>
          <cell r="N60">
            <v>22</v>
          </cell>
          <cell r="O60">
            <v>0</v>
          </cell>
          <cell r="P60">
            <v>0</v>
          </cell>
          <cell r="Q60">
            <v>6</v>
          </cell>
          <cell r="R60">
            <v>0</v>
          </cell>
          <cell r="S60">
            <v>0</v>
          </cell>
          <cell r="T60">
            <v>4</v>
          </cell>
          <cell r="U60">
            <v>28</v>
          </cell>
          <cell r="V60">
            <v>0</v>
          </cell>
          <cell r="W60">
            <v>0</v>
          </cell>
          <cell r="X60">
            <v>38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14</v>
          </cell>
          <cell r="AD60">
            <v>8</v>
          </cell>
          <cell r="AE60">
            <v>32</v>
          </cell>
          <cell r="AF60">
            <v>0</v>
          </cell>
          <cell r="AG60">
            <v>0</v>
          </cell>
          <cell r="AH60"/>
          <cell r="AI60">
            <v>210</v>
          </cell>
          <cell r="AJ60">
            <v>38</v>
          </cell>
          <cell r="AK60">
            <v>12</v>
          </cell>
        </row>
        <row r="61">
          <cell r="C61">
            <v>350123013</v>
          </cell>
          <cell r="D61">
            <v>20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18</v>
          </cell>
          <cell r="J61">
            <v>0</v>
          </cell>
          <cell r="K61">
            <v>0</v>
          </cell>
          <cell r="L61">
            <v>7</v>
          </cell>
          <cell r="M61">
            <v>7</v>
          </cell>
          <cell r="N61">
            <v>0</v>
          </cell>
          <cell r="O61">
            <v>0</v>
          </cell>
          <cell r="P61">
            <v>0</v>
          </cell>
          <cell r="Q61">
            <v>38</v>
          </cell>
          <cell r="R61">
            <v>0</v>
          </cell>
          <cell r="S61">
            <v>3</v>
          </cell>
          <cell r="T61">
            <v>2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14</v>
          </cell>
          <cell r="AB61">
            <v>0</v>
          </cell>
          <cell r="AC61">
            <v>22</v>
          </cell>
          <cell r="AD61">
            <v>2</v>
          </cell>
          <cell r="AE61">
            <v>3</v>
          </cell>
          <cell r="AF61">
            <v>0</v>
          </cell>
          <cell r="AG61">
            <v>0</v>
          </cell>
          <cell r="AH61"/>
          <cell r="AI61">
            <v>136</v>
          </cell>
          <cell r="AJ61">
            <v>38</v>
          </cell>
          <cell r="AK61">
            <v>11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3</v>
          </cell>
          <cell r="L62">
            <v>8</v>
          </cell>
          <cell r="M62">
            <v>0</v>
          </cell>
          <cell r="N62">
            <v>0</v>
          </cell>
          <cell r="O62">
            <v>0</v>
          </cell>
          <cell r="P62">
            <v>16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3</v>
          </cell>
          <cell r="V62">
            <v>0</v>
          </cell>
          <cell r="W62">
            <v>0</v>
          </cell>
          <cell r="X62">
            <v>25</v>
          </cell>
          <cell r="Y62">
            <v>0</v>
          </cell>
          <cell r="Z62">
            <v>0</v>
          </cell>
          <cell r="AA62">
            <v>0</v>
          </cell>
          <cell r="AB62">
            <v>61</v>
          </cell>
          <cell r="AC62">
            <v>5</v>
          </cell>
          <cell r="AD62">
            <v>36</v>
          </cell>
          <cell r="AE62">
            <v>0</v>
          </cell>
          <cell r="AF62">
            <v>0</v>
          </cell>
          <cell r="AG62">
            <v>0</v>
          </cell>
          <cell r="AH62"/>
          <cell r="AI62">
            <v>157</v>
          </cell>
          <cell r="AJ62">
            <v>61</v>
          </cell>
          <cell r="AK62">
            <v>8</v>
          </cell>
        </row>
        <row r="63">
          <cell r="C63">
            <v>350123011</v>
          </cell>
          <cell r="D63">
            <v>0</v>
          </cell>
          <cell r="E63">
            <v>0</v>
          </cell>
          <cell r="F63">
            <v>0</v>
          </cell>
          <cell r="G63">
            <v>6</v>
          </cell>
          <cell r="H63">
            <v>0</v>
          </cell>
          <cell r="I63">
            <v>4</v>
          </cell>
          <cell r="J63">
            <v>0</v>
          </cell>
          <cell r="K63">
            <v>0</v>
          </cell>
          <cell r="L63">
            <v>8</v>
          </cell>
          <cell r="M63">
            <v>1</v>
          </cell>
          <cell r="N63">
            <v>0</v>
          </cell>
          <cell r="O63">
            <v>0</v>
          </cell>
          <cell r="P63">
            <v>0</v>
          </cell>
          <cell r="Q63">
            <v>7</v>
          </cell>
          <cell r="R63">
            <v>1</v>
          </cell>
          <cell r="S63">
            <v>1</v>
          </cell>
          <cell r="T63">
            <v>4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3</v>
          </cell>
          <cell r="AB63">
            <v>0</v>
          </cell>
          <cell r="AC63">
            <v>4</v>
          </cell>
          <cell r="AD63">
            <v>33</v>
          </cell>
          <cell r="AE63">
            <v>8</v>
          </cell>
          <cell r="AF63">
            <v>0</v>
          </cell>
          <cell r="AG63">
            <v>0</v>
          </cell>
          <cell r="AH63"/>
          <cell r="AI63">
            <v>80</v>
          </cell>
          <cell r="AJ63">
            <v>33</v>
          </cell>
          <cell r="AK63">
            <v>12</v>
          </cell>
        </row>
        <row r="64">
          <cell r="C64">
            <v>350123010</v>
          </cell>
          <cell r="D64">
            <v>16</v>
          </cell>
          <cell r="E64">
            <v>0</v>
          </cell>
          <cell r="F64">
            <v>0</v>
          </cell>
          <cell r="G64">
            <v>0</v>
          </cell>
          <cell r="H64">
            <v>9</v>
          </cell>
          <cell r="I64">
            <v>10</v>
          </cell>
          <cell r="J64">
            <v>0</v>
          </cell>
          <cell r="K64">
            <v>8</v>
          </cell>
          <cell r="L64">
            <v>10</v>
          </cell>
          <cell r="M64">
            <v>4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19</v>
          </cell>
          <cell r="V64">
            <v>0</v>
          </cell>
          <cell r="W64">
            <v>3</v>
          </cell>
          <cell r="X64">
            <v>0</v>
          </cell>
          <cell r="Y64">
            <v>0</v>
          </cell>
          <cell r="Z64">
            <v>0</v>
          </cell>
          <cell r="AA64">
            <v>4</v>
          </cell>
          <cell r="AB64">
            <v>0</v>
          </cell>
          <cell r="AC64">
            <v>13</v>
          </cell>
          <cell r="AD64">
            <v>11</v>
          </cell>
          <cell r="AE64">
            <v>0</v>
          </cell>
          <cell r="AF64">
            <v>0</v>
          </cell>
          <cell r="AG64">
            <v>0</v>
          </cell>
          <cell r="AH64"/>
          <cell r="AI64">
            <v>107</v>
          </cell>
          <cell r="AJ64">
            <v>19</v>
          </cell>
          <cell r="AK64">
            <v>11</v>
          </cell>
        </row>
        <row r="65">
          <cell r="C65">
            <v>350123009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22</v>
          </cell>
          <cell r="I65">
            <v>7</v>
          </cell>
          <cell r="J65">
            <v>0</v>
          </cell>
          <cell r="K65">
            <v>0</v>
          </cell>
          <cell r="L65">
            <v>2.5</v>
          </cell>
          <cell r="M65">
            <v>1</v>
          </cell>
          <cell r="N65">
            <v>0</v>
          </cell>
          <cell r="O65">
            <v>0</v>
          </cell>
          <cell r="P65">
            <v>0</v>
          </cell>
          <cell r="Q65">
            <v>6</v>
          </cell>
          <cell r="R65">
            <v>0</v>
          </cell>
          <cell r="S65">
            <v>0</v>
          </cell>
          <cell r="T65">
            <v>2</v>
          </cell>
          <cell r="U65">
            <v>11</v>
          </cell>
          <cell r="V65">
            <v>0</v>
          </cell>
          <cell r="W65">
            <v>0</v>
          </cell>
          <cell r="X65">
            <v>3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9</v>
          </cell>
          <cell r="AD65">
            <v>30</v>
          </cell>
          <cell r="AE65">
            <v>32</v>
          </cell>
          <cell r="AF65">
            <v>0</v>
          </cell>
          <cell r="AG65">
            <v>0</v>
          </cell>
          <cell r="AH65"/>
          <cell r="AI65">
            <v>125.5</v>
          </cell>
          <cell r="AJ65">
            <v>32</v>
          </cell>
          <cell r="AK65">
            <v>11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2</v>
          </cell>
          <cell r="I66">
            <v>12</v>
          </cell>
          <cell r="J66">
            <v>0</v>
          </cell>
          <cell r="K66">
            <v>0</v>
          </cell>
          <cell r="L66">
            <v>7</v>
          </cell>
          <cell r="M66">
            <v>10</v>
          </cell>
          <cell r="N66">
            <v>0</v>
          </cell>
          <cell r="O66">
            <v>7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5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28</v>
          </cell>
          <cell r="AD66">
            <v>0</v>
          </cell>
          <cell r="AE66">
            <v>3</v>
          </cell>
          <cell r="AF66">
            <v>0</v>
          </cell>
          <cell r="AG66">
            <v>0</v>
          </cell>
          <cell r="AH66"/>
          <cell r="AI66">
            <v>74</v>
          </cell>
          <cell r="AJ66">
            <v>28</v>
          </cell>
          <cell r="AK66">
            <v>8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13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20</v>
          </cell>
          <cell r="P67">
            <v>0</v>
          </cell>
          <cell r="Q67">
            <v>0</v>
          </cell>
          <cell r="R67">
            <v>0</v>
          </cell>
          <cell r="S67">
            <v>23</v>
          </cell>
          <cell r="T67">
            <v>8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5</v>
          </cell>
          <cell r="AE67">
            <v>0</v>
          </cell>
          <cell r="AF67">
            <v>0</v>
          </cell>
          <cell r="AG67">
            <v>0</v>
          </cell>
          <cell r="AH67"/>
          <cell r="AI67">
            <v>69</v>
          </cell>
          <cell r="AJ67">
            <v>23</v>
          </cell>
          <cell r="AK67">
            <v>5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24</v>
          </cell>
          <cell r="J68">
            <v>0</v>
          </cell>
          <cell r="K68">
            <v>2</v>
          </cell>
          <cell r="L68">
            <v>7</v>
          </cell>
          <cell r="M68">
            <v>1</v>
          </cell>
          <cell r="N68">
            <v>1</v>
          </cell>
          <cell r="O68">
            <v>6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8</v>
          </cell>
          <cell r="V68">
            <v>0</v>
          </cell>
          <cell r="W68">
            <v>0</v>
          </cell>
          <cell r="X68">
            <v>32</v>
          </cell>
          <cell r="Y68">
            <v>0</v>
          </cell>
          <cell r="Z68">
            <v>0</v>
          </cell>
          <cell r="AA68">
            <v>2</v>
          </cell>
          <cell r="AB68">
            <v>4</v>
          </cell>
          <cell r="AC68">
            <v>20</v>
          </cell>
          <cell r="AD68">
            <v>4</v>
          </cell>
          <cell r="AE68">
            <v>18</v>
          </cell>
          <cell r="AF68">
            <v>0</v>
          </cell>
          <cell r="AG68">
            <v>0</v>
          </cell>
          <cell r="AH68"/>
          <cell r="AI68">
            <v>129</v>
          </cell>
          <cell r="AJ68">
            <v>32</v>
          </cell>
          <cell r="AK68">
            <v>13</v>
          </cell>
        </row>
        <row r="69">
          <cell r="C69">
            <v>350123005</v>
          </cell>
          <cell r="D69">
            <v>24</v>
          </cell>
          <cell r="E69">
            <v>0</v>
          </cell>
          <cell r="F69">
            <v>0</v>
          </cell>
          <cell r="G69">
            <v>4</v>
          </cell>
          <cell r="H69">
            <v>0</v>
          </cell>
          <cell r="I69">
            <v>7</v>
          </cell>
          <cell r="J69">
            <v>0</v>
          </cell>
          <cell r="K69">
            <v>0</v>
          </cell>
          <cell r="L69">
            <v>26</v>
          </cell>
          <cell r="M69">
            <v>7</v>
          </cell>
          <cell r="N69">
            <v>0</v>
          </cell>
          <cell r="O69">
            <v>0</v>
          </cell>
          <cell r="P69">
            <v>5</v>
          </cell>
          <cell r="Q69">
            <v>3</v>
          </cell>
          <cell r="R69">
            <v>0</v>
          </cell>
          <cell r="S69">
            <v>3</v>
          </cell>
          <cell r="T69">
            <v>2</v>
          </cell>
          <cell r="U69">
            <v>14</v>
          </cell>
          <cell r="V69">
            <v>0</v>
          </cell>
          <cell r="W69">
            <v>0</v>
          </cell>
          <cell r="X69">
            <v>3</v>
          </cell>
          <cell r="Y69">
            <v>0</v>
          </cell>
          <cell r="Z69">
            <v>0</v>
          </cell>
          <cell r="AA69">
            <v>1</v>
          </cell>
          <cell r="AB69">
            <v>0</v>
          </cell>
          <cell r="AC69">
            <v>21</v>
          </cell>
          <cell r="AD69">
            <v>6</v>
          </cell>
          <cell r="AE69">
            <v>4</v>
          </cell>
          <cell r="AF69">
            <v>0</v>
          </cell>
          <cell r="AG69">
            <v>0</v>
          </cell>
          <cell r="AH69"/>
          <cell r="AI69">
            <v>130</v>
          </cell>
          <cell r="AJ69">
            <v>26</v>
          </cell>
          <cell r="AK69">
            <v>15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2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3</v>
          </cell>
          <cell r="N70">
            <v>0</v>
          </cell>
          <cell r="O70">
            <v>0</v>
          </cell>
          <cell r="P70">
            <v>0</v>
          </cell>
          <cell r="Q70">
            <v>4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23</v>
          </cell>
          <cell r="AD70">
            <v>29</v>
          </cell>
          <cell r="AE70">
            <v>16</v>
          </cell>
          <cell r="AF70">
            <v>0</v>
          </cell>
          <cell r="AG70">
            <v>0</v>
          </cell>
          <cell r="AH70"/>
          <cell r="AI70">
            <v>77</v>
          </cell>
          <cell r="AJ70">
            <v>29</v>
          </cell>
          <cell r="AK70">
            <v>6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14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20</v>
          </cell>
          <cell r="Y71">
            <v>0</v>
          </cell>
          <cell r="Z71">
            <v>0</v>
          </cell>
          <cell r="AA71">
            <v>3</v>
          </cell>
          <cell r="AB71">
            <v>0</v>
          </cell>
          <cell r="AC71">
            <v>19</v>
          </cell>
          <cell r="AD71">
            <v>8</v>
          </cell>
          <cell r="AE71">
            <v>15</v>
          </cell>
          <cell r="AF71">
            <v>0</v>
          </cell>
          <cell r="AG71">
            <v>0</v>
          </cell>
          <cell r="AH71"/>
          <cell r="AI71">
            <v>79</v>
          </cell>
          <cell r="AJ71">
            <v>20</v>
          </cell>
          <cell r="AK71">
            <v>6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11</v>
          </cell>
          <cell r="P72">
            <v>0</v>
          </cell>
          <cell r="Q72">
            <v>0</v>
          </cell>
          <cell r="R72">
            <v>0</v>
          </cell>
          <cell r="S72">
            <v>14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3</v>
          </cell>
          <cell r="AC72">
            <v>0</v>
          </cell>
          <cell r="AD72">
            <v>7</v>
          </cell>
          <cell r="AE72">
            <v>20</v>
          </cell>
          <cell r="AF72">
            <v>0</v>
          </cell>
          <cell r="AG72">
            <v>0</v>
          </cell>
          <cell r="AH72"/>
          <cell r="AI72">
            <v>55</v>
          </cell>
          <cell r="AJ72">
            <v>20</v>
          </cell>
          <cell r="AK72">
            <v>5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10</v>
          </cell>
          <cell r="J73">
            <v>0</v>
          </cell>
          <cell r="K73">
            <v>0</v>
          </cell>
          <cell r="L73">
            <v>9</v>
          </cell>
          <cell r="M73">
            <v>0</v>
          </cell>
          <cell r="N73">
            <v>0</v>
          </cell>
          <cell r="O73">
            <v>13</v>
          </cell>
          <cell r="P73">
            <v>0</v>
          </cell>
          <cell r="Q73">
            <v>0</v>
          </cell>
          <cell r="R73">
            <v>19</v>
          </cell>
          <cell r="S73">
            <v>0</v>
          </cell>
          <cell r="T73">
            <v>0</v>
          </cell>
          <cell r="U73">
            <v>82</v>
          </cell>
          <cell r="V73">
            <v>0</v>
          </cell>
          <cell r="W73">
            <v>0</v>
          </cell>
          <cell r="X73">
            <v>8</v>
          </cell>
          <cell r="Y73">
            <v>0</v>
          </cell>
          <cell r="Z73">
            <v>0</v>
          </cell>
          <cell r="AA73">
            <v>3</v>
          </cell>
          <cell r="AB73">
            <v>0</v>
          </cell>
          <cell r="AC73">
            <v>0</v>
          </cell>
          <cell r="AD73">
            <v>3</v>
          </cell>
          <cell r="AE73">
            <v>30</v>
          </cell>
          <cell r="AF73">
            <v>0</v>
          </cell>
          <cell r="AG73">
            <v>0</v>
          </cell>
          <cell r="AH73"/>
          <cell r="AI73">
            <v>177</v>
          </cell>
          <cell r="AJ73">
            <v>82</v>
          </cell>
          <cell r="AK73">
            <v>9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3</v>
          </cell>
          <cell r="J74">
            <v>0</v>
          </cell>
          <cell r="K74">
            <v>0</v>
          </cell>
          <cell r="L74">
            <v>2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14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2</v>
          </cell>
          <cell r="AB74">
            <v>14</v>
          </cell>
          <cell r="AC74">
            <v>5</v>
          </cell>
          <cell r="AD74">
            <v>2</v>
          </cell>
          <cell r="AE74">
            <v>0</v>
          </cell>
          <cell r="AF74">
            <v>0</v>
          </cell>
          <cell r="AG74">
            <v>0</v>
          </cell>
          <cell r="AH74"/>
          <cell r="AI74">
            <v>42</v>
          </cell>
          <cell r="AJ74">
            <v>14</v>
          </cell>
          <cell r="AK74">
            <v>7</v>
          </cell>
        </row>
        <row r="75">
          <cell r="C75">
            <v>350122030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12</v>
          </cell>
          <cell r="I75">
            <v>17</v>
          </cell>
          <cell r="J75">
            <v>0</v>
          </cell>
          <cell r="K75">
            <v>0</v>
          </cell>
          <cell r="L75">
            <v>9</v>
          </cell>
          <cell r="M75">
            <v>0</v>
          </cell>
          <cell r="N75">
            <v>13</v>
          </cell>
          <cell r="O75">
            <v>9</v>
          </cell>
          <cell r="P75">
            <v>0</v>
          </cell>
          <cell r="Q75">
            <v>32</v>
          </cell>
          <cell r="R75">
            <v>0</v>
          </cell>
          <cell r="S75">
            <v>28</v>
          </cell>
          <cell r="T75">
            <v>0</v>
          </cell>
          <cell r="U75">
            <v>4</v>
          </cell>
          <cell r="V75">
            <v>0</v>
          </cell>
          <cell r="W75">
            <v>5</v>
          </cell>
          <cell r="X75">
            <v>0</v>
          </cell>
          <cell r="Y75">
            <v>0</v>
          </cell>
          <cell r="Z75">
            <v>0</v>
          </cell>
          <cell r="AA75">
            <v>4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/>
          <cell r="AI75">
            <v>133</v>
          </cell>
          <cell r="AJ75">
            <v>32</v>
          </cell>
          <cell r="AK75">
            <v>10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0</v>
          </cell>
          <cell r="G76">
            <v>4</v>
          </cell>
          <cell r="H76">
            <v>24</v>
          </cell>
          <cell r="I76">
            <v>20</v>
          </cell>
          <cell r="J76">
            <v>1</v>
          </cell>
          <cell r="K76">
            <v>0</v>
          </cell>
          <cell r="L76">
            <v>35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</v>
          </cell>
          <cell r="R76">
            <v>0</v>
          </cell>
          <cell r="S76">
            <v>2</v>
          </cell>
          <cell r="T76">
            <v>19</v>
          </cell>
          <cell r="U76">
            <v>4</v>
          </cell>
          <cell r="V76">
            <v>0</v>
          </cell>
          <cell r="W76">
            <v>20</v>
          </cell>
          <cell r="X76">
            <v>0</v>
          </cell>
          <cell r="Y76">
            <v>0</v>
          </cell>
          <cell r="Z76">
            <v>0</v>
          </cell>
          <cell r="AA76">
            <v>19</v>
          </cell>
          <cell r="AB76">
            <v>31</v>
          </cell>
          <cell r="AC76">
            <v>0</v>
          </cell>
          <cell r="AD76">
            <v>67</v>
          </cell>
          <cell r="AE76">
            <v>0</v>
          </cell>
          <cell r="AF76">
            <v>0</v>
          </cell>
          <cell r="AG76">
            <v>0</v>
          </cell>
          <cell r="AH76"/>
          <cell r="AI76">
            <v>252</v>
          </cell>
          <cell r="AJ76">
            <v>67</v>
          </cell>
          <cell r="AK76">
            <v>14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4</v>
          </cell>
          <cell r="I77">
            <v>40</v>
          </cell>
          <cell r="J77">
            <v>0</v>
          </cell>
          <cell r="K77">
            <v>0</v>
          </cell>
          <cell r="L77">
            <v>3</v>
          </cell>
          <cell r="M77">
            <v>8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11</v>
          </cell>
          <cell r="U77">
            <v>9</v>
          </cell>
          <cell r="V77">
            <v>0</v>
          </cell>
          <cell r="W77">
            <v>3</v>
          </cell>
          <cell r="X77">
            <v>7</v>
          </cell>
          <cell r="Y77">
            <v>0</v>
          </cell>
          <cell r="Z77">
            <v>0</v>
          </cell>
          <cell r="AA77">
            <v>25</v>
          </cell>
          <cell r="AB77">
            <v>7</v>
          </cell>
          <cell r="AC77">
            <v>0</v>
          </cell>
          <cell r="AD77">
            <v>11</v>
          </cell>
          <cell r="AE77">
            <v>0</v>
          </cell>
          <cell r="AF77">
            <v>0</v>
          </cell>
          <cell r="AG77">
            <v>0</v>
          </cell>
          <cell r="AH77"/>
          <cell r="AI77">
            <v>128</v>
          </cell>
          <cell r="AJ77">
            <v>40</v>
          </cell>
          <cell r="AK77">
            <v>11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4</v>
          </cell>
          <cell r="I78">
            <v>20</v>
          </cell>
          <cell r="J78">
            <v>0.5</v>
          </cell>
          <cell r="K78">
            <v>0</v>
          </cell>
          <cell r="L78">
            <v>0</v>
          </cell>
          <cell r="M78">
            <v>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1</v>
          </cell>
          <cell r="S78">
            <v>1</v>
          </cell>
          <cell r="T78">
            <v>12</v>
          </cell>
          <cell r="U78">
            <v>18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7</v>
          </cell>
          <cell r="AC78">
            <v>2</v>
          </cell>
          <cell r="AD78">
            <v>27</v>
          </cell>
          <cell r="AE78">
            <v>0</v>
          </cell>
          <cell r="AF78">
            <v>0</v>
          </cell>
          <cell r="AG78">
            <v>0</v>
          </cell>
          <cell r="AH78"/>
          <cell r="AI78">
            <v>95.5</v>
          </cell>
          <cell r="AJ78">
            <v>27</v>
          </cell>
          <cell r="AK78">
            <v>11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0</v>
          </cell>
          <cell r="G79">
            <v>0.5</v>
          </cell>
          <cell r="H79">
            <v>0</v>
          </cell>
          <cell r="I79">
            <v>0.5</v>
          </cell>
          <cell r="J79">
            <v>0</v>
          </cell>
          <cell r="K79">
            <v>0</v>
          </cell>
          <cell r="L79">
            <v>7</v>
          </cell>
          <cell r="M79">
            <v>14.5</v>
          </cell>
          <cell r="N79">
            <v>25</v>
          </cell>
          <cell r="O79">
            <v>56</v>
          </cell>
          <cell r="P79">
            <v>0</v>
          </cell>
          <cell r="Q79">
            <v>18</v>
          </cell>
          <cell r="R79">
            <v>4</v>
          </cell>
          <cell r="S79">
            <v>22</v>
          </cell>
          <cell r="T79">
            <v>1</v>
          </cell>
          <cell r="U79">
            <v>0</v>
          </cell>
          <cell r="V79">
            <v>0</v>
          </cell>
          <cell r="W79">
            <v>31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28.5</v>
          </cell>
          <cell r="AE79">
            <v>0</v>
          </cell>
          <cell r="AF79">
            <v>0</v>
          </cell>
          <cell r="AG79">
            <v>0</v>
          </cell>
          <cell r="AH79"/>
          <cell r="AI79">
            <v>208</v>
          </cell>
          <cell r="AJ79">
            <v>56</v>
          </cell>
          <cell r="AK79">
            <v>12</v>
          </cell>
        </row>
        <row r="80">
          <cell r="C80">
            <v>350122025</v>
          </cell>
          <cell r="D80">
            <v>3</v>
          </cell>
          <cell r="E80">
            <v>0</v>
          </cell>
          <cell r="F80">
            <v>0</v>
          </cell>
          <cell r="G80">
            <v>0</v>
          </cell>
          <cell r="H80">
            <v>7</v>
          </cell>
          <cell r="I80">
            <v>13</v>
          </cell>
          <cell r="J80">
            <v>5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18</v>
          </cell>
          <cell r="P80">
            <v>0</v>
          </cell>
          <cell r="Q80">
            <v>0</v>
          </cell>
          <cell r="R80">
            <v>0</v>
          </cell>
          <cell r="S80">
            <v>4</v>
          </cell>
          <cell r="T80">
            <v>13</v>
          </cell>
          <cell r="U80">
            <v>6</v>
          </cell>
          <cell r="V80">
            <v>0</v>
          </cell>
          <cell r="W80">
            <v>1</v>
          </cell>
          <cell r="X80">
            <v>0</v>
          </cell>
          <cell r="Y80">
            <v>0</v>
          </cell>
          <cell r="Z80">
            <v>0</v>
          </cell>
          <cell r="AA80">
            <v>11</v>
          </cell>
          <cell r="AB80">
            <v>20</v>
          </cell>
          <cell r="AC80">
            <v>0</v>
          </cell>
          <cell r="AD80">
            <v>49</v>
          </cell>
          <cell r="AE80">
            <v>0</v>
          </cell>
          <cell r="AF80">
            <v>0</v>
          </cell>
          <cell r="AG80">
            <v>0</v>
          </cell>
          <cell r="AH80"/>
          <cell r="AI80">
            <v>150</v>
          </cell>
          <cell r="AJ80">
            <v>49</v>
          </cell>
          <cell r="AK80">
            <v>12</v>
          </cell>
        </row>
        <row r="81">
          <cell r="C81">
            <v>350122024</v>
          </cell>
          <cell r="D81">
            <v>13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3</v>
          </cell>
          <cell r="J81">
            <v>0</v>
          </cell>
          <cell r="K81">
            <v>0</v>
          </cell>
          <cell r="L81">
            <v>0</v>
          </cell>
          <cell r="M81">
            <v>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</v>
          </cell>
          <cell r="U81">
            <v>35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2</v>
          </cell>
          <cell r="AB81">
            <v>0</v>
          </cell>
          <cell r="AC81">
            <v>29</v>
          </cell>
          <cell r="AD81">
            <v>38</v>
          </cell>
          <cell r="AE81">
            <v>0</v>
          </cell>
          <cell r="AF81">
            <v>0</v>
          </cell>
          <cell r="AG81">
            <v>0</v>
          </cell>
          <cell r="AH81"/>
          <cell r="AI81">
            <v>138</v>
          </cell>
          <cell r="AJ81">
            <v>38</v>
          </cell>
          <cell r="AK81">
            <v>8</v>
          </cell>
        </row>
        <row r="82">
          <cell r="C82">
            <v>350122023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1.6</v>
          </cell>
          <cell r="I82">
            <v>24</v>
          </cell>
          <cell r="J82">
            <v>1</v>
          </cell>
          <cell r="K82">
            <v>0</v>
          </cell>
          <cell r="L82">
            <v>1</v>
          </cell>
          <cell r="M82">
            <v>2</v>
          </cell>
          <cell r="N82">
            <v>0</v>
          </cell>
          <cell r="O82">
            <v>27.5</v>
          </cell>
          <cell r="P82">
            <v>0</v>
          </cell>
          <cell r="Q82">
            <v>61.5</v>
          </cell>
          <cell r="R82">
            <v>0</v>
          </cell>
          <cell r="S82">
            <v>11.5</v>
          </cell>
          <cell r="T82">
            <v>0</v>
          </cell>
          <cell r="U82">
            <v>0</v>
          </cell>
          <cell r="V82">
            <v>0</v>
          </cell>
          <cell r="W82">
            <v>4.5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3.8</v>
          </cell>
          <cell r="AE82">
            <v>0</v>
          </cell>
          <cell r="AF82">
            <v>0</v>
          </cell>
          <cell r="AG82">
            <v>0</v>
          </cell>
          <cell r="AH82"/>
          <cell r="AI82">
            <v>138.4</v>
          </cell>
          <cell r="AJ82">
            <v>61.5</v>
          </cell>
          <cell r="AK82">
            <v>10</v>
          </cell>
        </row>
        <row r="83">
          <cell r="C83">
            <v>350122022</v>
          </cell>
          <cell r="D83">
            <v>1</v>
          </cell>
          <cell r="E83">
            <v>0</v>
          </cell>
          <cell r="F83">
            <v>0</v>
          </cell>
          <cell r="G83">
            <v>38</v>
          </cell>
          <cell r="H83">
            <v>15</v>
          </cell>
          <cell r="I83">
            <v>1</v>
          </cell>
          <cell r="J83">
            <v>12</v>
          </cell>
          <cell r="K83">
            <v>0.5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0.4</v>
          </cell>
          <cell r="Q83">
            <v>29</v>
          </cell>
          <cell r="R83">
            <v>0.6</v>
          </cell>
          <cell r="S83">
            <v>0</v>
          </cell>
          <cell r="T83">
            <v>2</v>
          </cell>
          <cell r="U83">
            <v>22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0.6</v>
          </cell>
          <cell r="AB83">
            <v>0</v>
          </cell>
          <cell r="AC83">
            <v>12</v>
          </cell>
          <cell r="AD83">
            <v>9</v>
          </cell>
          <cell r="AE83">
            <v>0</v>
          </cell>
          <cell r="AF83">
            <v>0</v>
          </cell>
          <cell r="AG83">
            <v>0</v>
          </cell>
          <cell r="AH83"/>
          <cell r="AI83">
            <v>143.1</v>
          </cell>
          <cell r="AJ83">
            <v>38</v>
          </cell>
          <cell r="AK83">
            <v>14</v>
          </cell>
        </row>
        <row r="84">
          <cell r="C84">
            <v>350122021</v>
          </cell>
          <cell r="D84">
            <v>11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4</v>
          </cell>
          <cell r="M84">
            <v>0</v>
          </cell>
          <cell r="N84">
            <v>0</v>
          </cell>
          <cell r="O84">
            <v>19</v>
          </cell>
          <cell r="P84">
            <v>0</v>
          </cell>
          <cell r="Q84">
            <v>8</v>
          </cell>
          <cell r="R84">
            <v>0</v>
          </cell>
          <cell r="S84">
            <v>14</v>
          </cell>
          <cell r="T84">
            <v>0</v>
          </cell>
          <cell r="U84">
            <v>2</v>
          </cell>
          <cell r="V84">
            <v>0</v>
          </cell>
          <cell r="W84">
            <v>27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51</v>
          </cell>
          <cell r="AE84">
            <v>0</v>
          </cell>
          <cell r="AF84">
            <v>0</v>
          </cell>
          <cell r="AG84">
            <v>0</v>
          </cell>
          <cell r="AH84"/>
          <cell r="AI84">
            <v>136</v>
          </cell>
          <cell r="AJ84">
            <v>51</v>
          </cell>
          <cell r="AK84">
            <v>8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3</v>
          </cell>
          <cell r="I85">
            <v>13</v>
          </cell>
          <cell r="J85">
            <v>5</v>
          </cell>
          <cell r="K85">
            <v>0</v>
          </cell>
          <cell r="L85">
            <v>12</v>
          </cell>
          <cell r="M85">
            <v>3</v>
          </cell>
          <cell r="N85">
            <v>0</v>
          </cell>
          <cell r="O85">
            <v>17</v>
          </cell>
          <cell r="P85">
            <v>0</v>
          </cell>
          <cell r="Q85">
            <v>31</v>
          </cell>
          <cell r="R85">
            <v>0</v>
          </cell>
          <cell r="S85">
            <v>10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17</v>
          </cell>
          <cell r="AE85">
            <v>0</v>
          </cell>
          <cell r="AF85">
            <v>0</v>
          </cell>
          <cell r="AG85">
            <v>0</v>
          </cell>
          <cell r="AH85"/>
          <cell r="AI85">
            <v>111</v>
          </cell>
          <cell r="AJ85">
            <v>31</v>
          </cell>
          <cell r="AK85">
            <v>9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62</v>
          </cell>
          <cell r="J86">
            <v>0</v>
          </cell>
          <cell r="K86">
            <v>0</v>
          </cell>
          <cell r="L86">
            <v>3</v>
          </cell>
          <cell r="M86">
            <v>9</v>
          </cell>
          <cell r="N86">
            <v>6</v>
          </cell>
          <cell r="O86">
            <v>3</v>
          </cell>
          <cell r="P86">
            <v>1</v>
          </cell>
          <cell r="Q86">
            <v>1</v>
          </cell>
          <cell r="R86">
            <v>1</v>
          </cell>
          <cell r="S86">
            <v>13</v>
          </cell>
          <cell r="T86">
            <v>3</v>
          </cell>
          <cell r="U86">
            <v>15</v>
          </cell>
          <cell r="V86">
            <v>0</v>
          </cell>
          <cell r="W86">
            <v>31</v>
          </cell>
          <cell r="X86">
            <v>0</v>
          </cell>
          <cell r="Y86">
            <v>0</v>
          </cell>
          <cell r="Z86">
            <v>0</v>
          </cell>
          <cell r="AA86">
            <v>4</v>
          </cell>
          <cell r="AB86">
            <v>1</v>
          </cell>
          <cell r="AC86">
            <v>0</v>
          </cell>
          <cell r="AD86">
            <v>33.5</v>
          </cell>
          <cell r="AE86">
            <v>0</v>
          </cell>
          <cell r="AF86">
            <v>0</v>
          </cell>
          <cell r="AG86">
            <v>0</v>
          </cell>
          <cell r="AH86"/>
          <cell r="AI86">
            <v>186.5</v>
          </cell>
          <cell r="AJ86">
            <v>62</v>
          </cell>
          <cell r="AK86">
            <v>15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0</v>
          </cell>
          <cell r="G87">
            <v>22</v>
          </cell>
          <cell r="H87">
            <v>0</v>
          </cell>
          <cell r="I87">
            <v>0</v>
          </cell>
          <cell r="J87">
            <v>10</v>
          </cell>
          <cell r="K87">
            <v>0</v>
          </cell>
          <cell r="L87">
            <v>0</v>
          </cell>
          <cell r="M87">
            <v>28</v>
          </cell>
          <cell r="N87">
            <v>14</v>
          </cell>
          <cell r="O87">
            <v>0</v>
          </cell>
          <cell r="P87">
            <v>6</v>
          </cell>
          <cell r="Q87">
            <v>25</v>
          </cell>
          <cell r="R87">
            <v>6</v>
          </cell>
          <cell r="S87">
            <v>10</v>
          </cell>
          <cell r="T87">
            <v>10</v>
          </cell>
          <cell r="U87">
            <v>13</v>
          </cell>
          <cell r="V87">
            <v>0</v>
          </cell>
          <cell r="W87">
            <v>6</v>
          </cell>
          <cell r="X87">
            <v>0</v>
          </cell>
          <cell r="Y87">
            <v>0</v>
          </cell>
          <cell r="Z87">
            <v>0</v>
          </cell>
          <cell r="AA87">
            <v>14</v>
          </cell>
          <cell r="AB87">
            <v>0</v>
          </cell>
          <cell r="AC87">
            <v>0</v>
          </cell>
          <cell r="AD87">
            <v>23</v>
          </cell>
          <cell r="AE87">
            <v>0</v>
          </cell>
          <cell r="AF87">
            <v>0</v>
          </cell>
          <cell r="AG87">
            <v>0</v>
          </cell>
          <cell r="AH87"/>
          <cell r="AI87">
            <v>187</v>
          </cell>
          <cell r="AJ87">
            <v>28</v>
          </cell>
          <cell r="AK87">
            <v>13</v>
          </cell>
        </row>
        <row r="88">
          <cell r="C88">
            <v>350122017</v>
          </cell>
          <cell r="D88">
            <v>9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7</v>
          </cell>
          <cell r="J88">
            <v>0</v>
          </cell>
          <cell r="K88">
            <v>0</v>
          </cell>
          <cell r="L88">
            <v>17</v>
          </cell>
          <cell r="M88">
            <v>3</v>
          </cell>
          <cell r="N88">
            <v>15</v>
          </cell>
          <cell r="O88">
            <v>22</v>
          </cell>
          <cell r="P88">
            <v>0</v>
          </cell>
          <cell r="Q88">
            <v>30</v>
          </cell>
          <cell r="R88">
            <v>0</v>
          </cell>
          <cell r="S88">
            <v>5</v>
          </cell>
          <cell r="T88">
            <v>0</v>
          </cell>
          <cell r="U88">
            <v>6</v>
          </cell>
          <cell r="V88">
            <v>0</v>
          </cell>
          <cell r="W88">
            <v>24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24</v>
          </cell>
          <cell r="AE88">
            <v>0</v>
          </cell>
          <cell r="AF88">
            <v>0</v>
          </cell>
          <cell r="AG88">
            <v>0</v>
          </cell>
          <cell r="AH88"/>
          <cell r="AI88">
            <v>162</v>
          </cell>
          <cell r="AJ88">
            <v>30</v>
          </cell>
          <cell r="AK88">
            <v>11</v>
          </cell>
        </row>
        <row r="89">
          <cell r="C89">
            <v>350122016</v>
          </cell>
          <cell r="D89">
            <v>4</v>
          </cell>
          <cell r="E89">
            <v>0</v>
          </cell>
          <cell r="F89">
            <v>0</v>
          </cell>
          <cell r="G89">
            <v>7</v>
          </cell>
          <cell r="H89">
            <v>2</v>
          </cell>
          <cell r="I89">
            <v>2</v>
          </cell>
          <cell r="J89">
            <v>22</v>
          </cell>
          <cell r="K89">
            <v>0</v>
          </cell>
          <cell r="L89">
            <v>23</v>
          </cell>
          <cell r="M89">
            <v>0</v>
          </cell>
          <cell r="N89">
            <v>0</v>
          </cell>
          <cell r="O89">
            <v>0</v>
          </cell>
          <cell r="P89">
            <v>5</v>
          </cell>
          <cell r="Q89">
            <v>11</v>
          </cell>
          <cell r="R89">
            <v>0</v>
          </cell>
          <cell r="S89">
            <v>12</v>
          </cell>
          <cell r="T89">
            <v>2</v>
          </cell>
          <cell r="U89">
            <v>22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1</v>
          </cell>
          <cell r="AB89">
            <v>0</v>
          </cell>
          <cell r="AC89">
            <v>9</v>
          </cell>
          <cell r="AD89">
            <v>32</v>
          </cell>
          <cell r="AE89">
            <v>0</v>
          </cell>
          <cell r="AF89">
            <v>0</v>
          </cell>
          <cell r="AG89">
            <v>0</v>
          </cell>
          <cell r="AH89"/>
          <cell r="AI89">
            <v>154</v>
          </cell>
          <cell r="AJ89">
            <v>32</v>
          </cell>
          <cell r="AK89">
            <v>14</v>
          </cell>
        </row>
        <row r="90">
          <cell r="C90">
            <v>350122015</v>
          </cell>
          <cell r="D90">
            <v>0</v>
          </cell>
          <cell r="E90">
            <v>6</v>
          </cell>
          <cell r="F90">
            <v>0</v>
          </cell>
          <cell r="G90">
            <v>0</v>
          </cell>
          <cell r="H90">
            <v>3</v>
          </cell>
          <cell r="I90">
            <v>9</v>
          </cell>
          <cell r="J90">
            <v>1</v>
          </cell>
          <cell r="K90">
            <v>0</v>
          </cell>
          <cell r="L90">
            <v>2</v>
          </cell>
          <cell r="M90">
            <v>2</v>
          </cell>
          <cell r="N90">
            <v>0</v>
          </cell>
          <cell r="O90">
            <v>0</v>
          </cell>
          <cell r="P90">
            <v>0</v>
          </cell>
          <cell r="Q90">
            <v>3</v>
          </cell>
          <cell r="R90">
            <v>13</v>
          </cell>
          <cell r="S90">
            <v>20</v>
          </cell>
          <cell r="T90">
            <v>1</v>
          </cell>
          <cell r="U90">
            <v>14</v>
          </cell>
          <cell r="V90">
            <v>0</v>
          </cell>
          <cell r="W90">
            <v>0</v>
          </cell>
          <cell r="X90">
            <v>1</v>
          </cell>
          <cell r="Y90">
            <v>0</v>
          </cell>
          <cell r="Z90">
            <v>0</v>
          </cell>
          <cell r="AA90">
            <v>14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0</v>
          </cell>
          <cell r="AG90">
            <v>0</v>
          </cell>
          <cell r="AH90"/>
          <cell r="AI90">
            <v>119</v>
          </cell>
          <cell r="AJ90">
            <v>30</v>
          </cell>
          <cell r="AK90">
            <v>14</v>
          </cell>
        </row>
        <row r="91">
          <cell r="C91">
            <v>350122014</v>
          </cell>
          <cell r="D91">
            <v>10</v>
          </cell>
          <cell r="E91">
            <v>0</v>
          </cell>
          <cell r="F91">
            <v>0</v>
          </cell>
          <cell r="G91">
            <v>3</v>
          </cell>
          <cell r="H91">
            <v>4</v>
          </cell>
          <cell r="I91">
            <v>5</v>
          </cell>
          <cell r="J91">
            <v>3</v>
          </cell>
          <cell r="K91">
            <v>0</v>
          </cell>
          <cell r="L91">
            <v>13</v>
          </cell>
          <cell r="M91">
            <v>0</v>
          </cell>
          <cell r="N91">
            <v>0</v>
          </cell>
          <cell r="O91">
            <v>0</v>
          </cell>
          <cell r="P91">
            <v>2</v>
          </cell>
          <cell r="Q91">
            <v>3</v>
          </cell>
          <cell r="R91">
            <v>0</v>
          </cell>
          <cell r="S91">
            <v>17</v>
          </cell>
          <cell r="T91">
            <v>3</v>
          </cell>
          <cell r="U91">
            <v>30</v>
          </cell>
          <cell r="V91">
            <v>0</v>
          </cell>
          <cell r="W91">
            <v>0</v>
          </cell>
          <cell r="X91">
            <v>0</v>
          </cell>
          <cell r="Y91">
            <v>2</v>
          </cell>
          <cell r="Z91">
            <v>0</v>
          </cell>
          <cell r="AA91">
            <v>10</v>
          </cell>
          <cell r="AB91">
            <v>7</v>
          </cell>
          <cell r="AC91">
            <v>0</v>
          </cell>
          <cell r="AD91">
            <v>17</v>
          </cell>
          <cell r="AE91">
            <v>0</v>
          </cell>
          <cell r="AF91">
            <v>0</v>
          </cell>
          <cell r="AG91">
            <v>0</v>
          </cell>
          <cell r="AH91"/>
          <cell r="AI91">
            <v>129</v>
          </cell>
          <cell r="AJ91">
            <v>30</v>
          </cell>
          <cell r="AK91">
            <v>15</v>
          </cell>
        </row>
        <row r="92">
          <cell r="C92">
            <v>350122013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3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</v>
          </cell>
          <cell r="Q92">
            <v>21</v>
          </cell>
          <cell r="R92">
            <v>0</v>
          </cell>
          <cell r="S92">
            <v>7</v>
          </cell>
          <cell r="T92">
            <v>3</v>
          </cell>
          <cell r="U92">
            <v>9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5</v>
          </cell>
          <cell r="AB92">
            <v>0</v>
          </cell>
          <cell r="AC92">
            <v>13</v>
          </cell>
          <cell r="AD92">
            <v>10</v>
          </cell>
          <cell r="AE92">
            <v>4</v>
          </cell>
          <cell r="AF92">
            <v>0</v>
          </cell>
          <cell r="AG92">
            <v>0</v>
          </cell>
          <cell r="AH92"/>
          <cell r="AI92">
            <v>81</v>
          </cell>
          <cell r="AJ92">
            <v>21</v>
          </cell>
          <cell r="AK92">
            <v>10</v>
          </cell>
        </row>
        <row r="93">
          <cell r="C93">
            <v>350122012</v>
          </cell>
          <cell r="D93">
            <v>2</v>
          </cell>
          <cell r="E93">
            <v>0</v>
          </cell>
          <cell r="F93">
            <v>0</v>
          </cell>
          <cell r="G93">
            <v>0</v>
          </cell>
          <cell r="H93">
            <v>3</v>
          </cell>
          <cell r="I93">
            <v>5</v>
          </cell>
          <cell r="J93">
            <v>10</v>
          </cell>
          <cell r="K93">
            <v>0</v>
          </cell>
          <cell r="L93">
            <v>3</v>
          </cell>
          <cell r="M93">
            <v>0</v>
          </cell>
          <cell r="N93">
            <v>47</v>
          </cell>
          <cell r="O93">
            <v>0</v>
          </cell>
          <cell r="P93">
            <v>0</v>
          </cell>
          <cell r="Q93">
            <v>42</v>
          </cell>
          <cell r="R93">
            <v>0</v>
          </cell>
          <cell r="S93">
            <v>24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8</v>
          </cell>
          <cell r="AE93">
            <v>0</v>
          </cell>
          <cell r="AF93">
            <v>0</v>
          </cell>
          <cell r="AG93">
            <v>0</v>
          </cell>
          <cell r="AH93"/>
          <cell r="AI93">
            <v>144</v>
          </cell>
          <cell r="AJ93">
            <v>47</v>
          </cell>
          <cell r="AK93">
            <v>9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4.5</v>
          </cell>
          <cell r="I94">
            <v>42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56</v>
          </cell>
          <cell r="R94">
            <v>1.5</v>
          </cell>
          <cell r="S94">
            <v>20</v>
          </cell>
          <cell r="T94">
            <v>7</v>
          </cell>
          <cell r="U94">
            <v>6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22</v>
          </cell>
          <cell r="AB94">
            <v>19</v>
          </cell>
          <cell r="AC94">
            <v>0</v>
          </cell>
          <cell r="AD94">
            <v>54</v>
          </cell>
          <cell r="AE94">
            <v>14</v>
          </cell>
          <cell r="AF94">
            <v>0</v>
          </cell>
          <cell r="AG94">
            <v>0</v>
          </cell>
          <cell r="AH94"/>
          <cell r="AI94">
            <v>247</v>
          </cell>
          <cell r="AJ94">
            <v>56</v>
          </cell>
          <cell r="AK94">
            <v>12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14</v>
          </cell>
          <cell r="H95">
            <v>10</v>
          </cell>
          <cell r="I95">
            <v>2</v>
          </cell>
          <cell r="J95">
            <v>23</v>
          </cell>
          <cell r="K95">
            <v>0</v>
          </cell>
          <cell r="L95">
            <v>9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9</v>
          </cell>
          <cell r="R95">
            <v>0</v>
          </cell>
          <cell r="S95">
            <v>10</v>
          </cell>
          <cell r="T95">
            <v>3</v>
          </cell>
          <cell r="U95">
            <v>28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</v>
          </cell>
          <cell r="AB95">
            <v>0</v>
          </cell>
          <cell r="AC95">
            <v>9</v>
          </cell>
          <cell r="AD95">
            <v>40</v>
          </cell>
          <cell r="AE95">
            <v>0</v>
          </cell>
          <cell r="AF95">
            <v>0</v>
          </cell>
          <cell r="AG95">
            <v>0</v>
          </cell>
          <cell r="AH95"/>
          <cell r="AI95">
            <v>161</v>
          </cell>
          <cell r="AJ95">
            <v>40</v>
          </cell>
          <cell r="AK95">
            <v>12</v>
          </cell>
        </row>
        <row r="96">
          <cell r="C96">
            <v>350122009</v>
          </cell>
          <cell r="D96">
            <v>4</v>
          </cell>
          <cell r="E96">
            <v>0</v>
          </cell>
          <cell r="F96">
            <v>0</v>
          </cell>
          <cell r="G96">
            <v>5</v>
          </cell>
          <cell r="H96">
            <v>0</v>
          </cell>
          <cell r="I96">
            <v>4</v>
          </cell>
          <cell r="J96">
            <v>18</v>
          </cell>
          <cell r="K96">
            <v>3</v>
          </cell>
          <cell r="L96">
            <v>10</v>
          </cell>
          <cell r="M96">
            <v>2</v>
          </cell>
          <cell r="N96">
            <v>0</v>
          </cell>
          <cell r="O96">
            <v>0</v>
          </cell>
          <cell r="P96">
            <v>0</v>
          </cell>
          <cell r="Q96">
            <v>16</v>
          </cell>
          <cell r="R96">
            <v>0</v>
          </cell>
          <cell r="S96">
            <v>5</v>
          </cell>
          <cell r="T96">
            <v>3</v>
          </cell>
          <cell r="U96">
            <v>1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17</v>
          </cell>
          <cell r="AC96">
            <v>38</v>
          </cell>
          <cell r="AD96">
            <v>5</v>
          </cell>
          <cell r="AE96">
            <v>0</v>
          </cell>
          <cell r="AF96">
            <v>0</v>
          </cell>
          <cell r="AG96">
            <v>0</v>
          </cell>
          <cell r="AH96"/>
          <cell r="AI96">
            <v>131</v>
          </cell>
          <cell r="AJ96">
            <v>38</v>
          </cell>
          <cell r="AK96">
            <v>14</v>
          </cell>
        </row>
        <row r="97"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1</v>
          </cell>
          <cell r="I97">
            <v>8</v>
          </cell>
          <cell r="J97">
            <v>0</v>
          </cell>
          <cell r="K97">
            <v>0</v>
          </cell>
          <cell r="L97">
            <v>9</v>
          </cell>
          <cell r="M97">
            <v>0</v>
          </cell>
          <cell r="N97">
            <v>1</v>
          </cell>
          <cell r="O97">
            <v>0</v>
          </cell>
          <cell r="P97">
            <v>0</v>
          </cell>
          <cell r="Q97">
            <v>2</v>
          </cell>
          <cell r="R97">
            <v>0</v>
          </cell>
          <cell r="S97">
            <v>5</v>
          </cell>
          <cell r="T97">
            <v>2</v>
          </cell>
          <cell r="U97">
            <v>14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12</v>
          </cell>
          <cell r="AB97">
            <v>0</v>
          </cell>
          <cell r="AC97">
            <v>0</v>
          </cell>
          <cell r="AD97">
            <v>14</v>
          </cell>
          <cell r="AE97">
            <v>0</v>
          </cell>
          <cell r="AF97">
            <v>0</v>
          </cell>
          <cell r="AG97">
            <v>0</v>
          </cell>
          <cell r="AH97"/>
          <cell r="AI97">
            <v>69</v>
          </cell>
          <cell r="AJ97">
            <v>14</v>
          </cell>
          <cell r="AK97">
            <v>11</v>
          </cell>
        </row>
        <row r="98">
          <cell r="C98">
            <v>350122007</v>
          </cell>
          <cell r="D98">
            <v>5</v>
          </cell>
          <cell r="E98">
            <v>0</v>
          </cell>
          <cell r="F98">
            <v>0</v>
          </cell>
          <cell r="G98">
            <v>0</v>
          </cell>
          <cell r="H98">
            <v>5</v>
          </cell>
          <cell r="I98">
            <v>0</v>
          </cell>
          <cell r="J98">
            <v>0</v>
          </cell>
          <cell r="K98">
            <v>0</v>
          </cell>
          <cell r="L98">
            <v>19</v>
          </cell>
          <cell r="M98">
            <v>8</v>
          </cell>
          <cell r="N98">
            <v>0</v>
          </cell>
          <cell r="O98">
            <v>46</v>
          </cell>
          <cell r="P98">
            <v>0</v>
          </cell>
          <cell r="Q98">
            <v>35</v>
          </cell>
          <cell r="R98">
            <v>0</v>
          </cell>
          <cell r="S98">
            <v>9</v>
          </cell>
          <cell r="T98">
            <v>0</v>
          </cell>
          <cell r="U98">
            <v>0</v>
          </cell>
          <cell r="V98">
            <v>0</v>
          </cell>
          <cell r="W98">
            <v>13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2</v>
          </cell>
          <cell r="AE98">
            <v>0</v>
          </cell>
          <cell r="AF98">
            <v>0</v>
          </cell>
          <cell r="AG98">
            <v>0</v>
          </cell>
          <cell r="AH98"/>
          <cell r="AI98">
            <v>142</v>
          </cell>
          <cell r="AJ98">
            <v>46</v>
          </cell>
          <cell r="AK98">
            <v>9</v>
          </cell>
        </row>
        <row r="99">
          <cell r="C99">
            <v>350122006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2</v>
          </cell>
          <cell r="I99">
            <v>44</v>
          </cell>
          <cell r="J99">
            <v>1</v>
          </cell>
          <cell r="K99">
            <v>0</v>
          </cell>
          <cell r="L99">
            <v>3</v>
          </cell>
          <cell r="M99">
            <v>3</v>
          </cell>
          <cell r="N99">
            <v>0</v>
          </cell>
          <cell r="O99">
            <v>11</v>
          </cell>
          <cell r="P99">
            <v>0</v>
          </cell>
          <cell r="Q99">
            <v>41</v>
          </cell>
          <cell r="R99">
            <v>0</v>
          </cell>
          <cell r="S99">
            <v>13</v>
          </cell>
          <cell r="T99">
            <v>0</v>
          </cell>
          <cell r="U99">
            <v>0</v>
          </cell>
          <cell r="V99">
            <v>0</v>
          </cell>
          <cell r="W99">
            <v>1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/>
          <cell r="AI99">
            <v>119</v>
          </cell>
          <cell r="AJ99">
            <v>44</v>
          </cell>
          <cell r="AK99">
            <v>9</v>
          </cell>
        </row>
        <row r="100">
          <cell r="C100">
            <v>350122005</v>
          </cell>
          <cell r="D100">
            <v>1</v>
          </cell>
          <cell r="E100">
            <v>0</v>
          </cell>
          <cell r="F100">
            <v>0</v>
          </cell>
          <cell r="G100">
            <v>0</v>
          </cell>
          <cell r="H100">
            <v>1</v>
          </cell>
          <cell r="I100">
            <v>15</v>
          </cell>
          <cell r="J100">
            <v>3</v>
          </cell>
          <cell r="K100">
            <v>0</v>
          </cell>
          <cell r="L100">
            <v>13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1</v>
          </cell>
          <cell r="R100">
            <v>6</v>
          </cell>
          <cell r="S100">
            <v>6</v>
          </cell>
          <cell r="T100">
            <v>2</v>
          </cell>
          <cell r="U100">
            <v>12</v>
          </cell>
          <cell r="V100">
            <v>0</v>
          </cell>
          <cell r="W100">
            <v>1</v>
          </cell>
          <cell r="X100">
            <v>0</v>
          </cell>
          <cell r="Y100">
            <v>0</v>
          </cell>
          <cell r="Z100">
            <v>0</v>
          </cell>
          <cell r="AA100">
            <v>32</v>
          </cell>
          <cell r="AB100">
            <v>9</v>
          </cell>
          <cell r="AC100">
            <v>0</v>
          </cell>
          <cell r="AD100">
            <v>16</v>
          </cell>
          <cell r="AE100">
            <v>0</v>
          </cell>
          <cell r="AF100">
            <v>0</v>
          </cell>
          <cell r="AG100">
            <v>0</v>
          </cell>
          <cell r="AH100"/>
          <cell r="AI100">
            <v>118</v>
          </cell>
          <cell r="AJ100">
            <v>32</v>
          </cell>
          <cell r="AK100">
            <v>14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43</v>
          </cell>
          <cell r="I101">
            <v>7</v>
          </cell>
          <cell r="J101">
            <v>0</v>
          </cell>
          <cell r="K101">
            <v>0</v>
          </cell>
          <cell r="L101">
            <v>3</v>
          </cell>
          <cell r="M101">
            <v>0</v>
          </cell>
          <cell r="N101">
            <v>0</v>
          </cell>
          <cell r="O101">
            <v>0</v>
          </cell>
          <cell r="P101">
            <v>2</v>
          </cell>
          <cell r="Q101">
            <v>24</v>
          </cell>
          <cell r="R101">
            <v>0</v>
          </cell>
          <cell r="S101">
            <v>5</v>
          </cell>
          <cell r="T101">
            <v>6</v>
          </cell>
          <cell r="U101">
            <v>3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28</v>
          </cell>
          <cell r="AD101">
            <v>22</v>
          </cell>
          <cell r="AE101">
            <v>0</v>
          </cell>
          <cell r="AF101">
            <v>0</v>
          </cell>
          <cell r="AG101">
            <v>0</v>
          </cell>
          <cell r="AH101"/>
          <cell r="AI101">
            <v>143</v>
          </cell>
          <cell r="AJ101">
            <v>43</v>
          </cell>
          <cell r="AK101">
            <v>10</v>
          </cell>
        </row>
        <row r="102">
          <cell r="C102">
            <v>350122003</v>
          </cell>
          <cell r="D102">
            <v>7</v>
          </cell>
          <cell r="E102">
            <v>0</v>
          </cell>
          <cell r="F102">
            <v>0</v>
          </cell>
          <cell r="G102">
            <v>0</v>
          </cell>
          <cell r="H102">
            <v>1</v>
          </cell>
          <cell r="I102">
            <v>0</v>
          </cell>
          <cell r="J102">
            <v>6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2</v>
          </cell>
          <cell r="S102">
            <v>11</v>
          </cell>
          <cell r="T102">
            <v>3</v>
          </cell>
          <cell r="U102">
            <v>25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3</v>
          </cell>
          <cell r="AB102">
            <v>0</v>
          </cell>
          <cell r="AC102">
            <v>34</v>
          </cell>
          <cell r="AD102">
            <v>20</v>
          </cell>
          <cell r="AE102">
            <v>0</v>
          </cell>
          <cell r="AF102">
            <v>0</v>
          </cell>
          <cell r="AG102">
            <v>0</v>
          </cell>
          <cell r="AH102"/>
          <cell r="AI102">
            <v>112</v>
          </cell>
          <cell r="AJ102">
            <v>34</v>
          </cell>
          <cell r="AK102">
            <v>10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0</v>
          </cell>
          <cell r="G103">
            <v>1</v>
          </cell>
          <cell r="H103">
            <v>0</v>
          </cell>
          <cell r="I103">
            <v>13</v>
          </cell>
          <cell r="J103">
            <v>0</v>
          </cell>
          <cell r="K103">
            <v>7</v>
          </cell>
          <cell r="L103">
            <v>0</v>
          </cell>
          <cell r="M103">
            <v>2</v>
          </cell>
          <cell r="N103">
            <v>0</v>
          </cell>
          <cell r="O103">
            <v>0</v>
          </cell>
          <cell r="P103">
            <v>0</v>
          </cell>
          <cell r="Q103">
            <v>2</v>
          </cell>
          <cell r="R103">
            <v>0</v>
          </cell>
          <cell r="S103">
            <v>0</v>
          </cell>
          <cell r="T103">
            <v>3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</v>
          </cell>
          <cell r="AC103">
            <v>83</v>
          </cell>
          <cell r="AD103">
            <v>3</v>
          </cell>
          <cell r="AE103">
            <v>0</v>
          </cell>
          <cell r="AF103">
            <v>0</v>
          </cell>
          <cell r="AG103">
            <v>0</v>
          </cell>
          <cell r="AH103"/>
          <cell r="AI103">
            <v>115</v>
          </cell>
          <cell r="AJ103">
            <v>83</v>
          </cell>
          <cell r="AK103">
            <v>9</v>
          </cell>
        </row>
        <row r="104">
          <cell r="C104">
            <v>350122001</v>
          </cell>
          <cell r="D104">
            <v>2</v>
          </cell>
          <cell r="E104">
            <v>0</v>
          </cell>
          <cell r="F104">
            <v>0</v>
          </cell>
          <cell r="G104">
            <v>17</v>
          </cell>
          <cell r="H104">
            <v>6</v>
          </cell>
          <cell r="I104">
            <v>1</v>
          </cell>
          <cell r="J104">
            <v>25</v>
          </cell>
          <cell r="K104">
            <v>0</v>
          </cell>
          <cell r="L104">
            <v>2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16</v>
          </cell>
          <cell r="R104">
            <v>0</v>
          </cell>
          <cell r="S104">
            <v>5</v>
          </cell>
          <cell r="T104">
            <v>3</v>
          </cell>
          <cell r="U104">
            <v>42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4</v>
          </cell>
          <cell r="AB104">
            <v>0</v>
          </cell>
          <cell r="AC104">
            <v>29</v>
          </cell>
          <cell r="AD104">
            <v>34</v>
          </cell>
          <cell r="AE104">
            <v>0</v>
          </cell>
          <cell r="AF104">
            <v>0</v>
          </cell>
          <cell r="AG104">
            <v>0</v>
          </cell>
          <cell r="AH104"/>
          <cell r="AI104">
            <v>186</v>
          </cell>
          <cell r="AJ104">
            <v>42</v>
          </cell>
          <cell r="AK104">
            <v>13</v>
          </cell>
        </row>
        <row r="105">
          <cell r="C105">
            <v>350619001</v>
          </cell>
          <cell r="D105">
            <v>9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5</v>
          </cell>
          <cell r="M105">
            <v>9</v>
          </cell>
          <cell r="N105">
            <v>0</v>
          </cell>
          <cell r="O105">
            <v>7</v>
          </cell>
          <cell r="P105">
            <v>0</v>
          </cell>
          <cell r="Q105">
            <v>5.5</v>
          </cell>
          <cell r="R105">
            <v>0</v>
          </cell>
          <cell r="S105">
            <v>19</v>
          </cell>
          <cell r="T105">
            <v>2.5</v>
          </cell>
          <cell r="U105">
            <v>0</v>
          </cell>
          <cell r="V105">
            <v>0</v>
          </cell>
          <cell r="W105">
            <v>5</v>
          </cell>
          <cell r="X105">
            <v>0</v>
          </cell>
          <cell r="Y105">
            <v>0</v>
          </cell>
          <cell r="Z105">
            <v>0</v>
          </cell>
          <cell r="AA105">
            <v>5</v>
          </cell>
          <cell r="AB105">
            <v>0</v>
          </cell>
          <cell r="AC105">
            <v>0</v>
          </cell>
          <cell r="AD105">
            <v>5.3</v>
          </cell>
          <cell r="AE105">
            <v>0</v>
          </cell>
          <cell r="AF105">
            <v>0</v>
          </cell>
          <cell r="AG105">
            <v>0</v>
          </cell>
          <cell r="AH105"/>
          <cell r="AI105">
            <v>72.3</v>
          </cell>
          <cell r="AJ105">
            <v>19</v>
          </cell>
          <cell r="AK105">
            <v>10</v>
          </cell>
        </row>
        <row r="106">
          <cell r="C106">
            <v>350619002</v>
          </cell>
          <cell r="D106">
            <v>9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7</v>
          </cell>
          <cell r="J106">
            <v>2</v>
          </cell>
          <cell r="K106">
            <v>0</v>
          </cell>
          <cell r="L106">
            <v>6</v>
          </cell>
          <cell r="M106">
            <v>2</v>
          </cell>
          <cell r="N106">
            <v>3</v>
          </cell>
          <cell r="O106">
            <v>37</v>
          </cell>
          <cell r="P106">
            <v>8</v>
          </cell>
          <cell r="Q106">
            <v>18</v>
          </cell>
          <cell r="R106">
            <v>5</v>
          </cell>
          <cell r="S106">
            <v>8</v>
          </cell>
          <cell r="T106">
            <v>0</v>
          </cell>
          <cell r="U106">
            <v>3</v>
          </cell>
          <cell r="V106">
            <v>0</v>
          </cell>
          <cell r="W106">
            <v>32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24</v>
          </cell>
          <cell r="AE106">
            <v>0</v>
          </cell>
          <cell r="AF106">
            <v>0</v>
          </cell>
          <cell r="AG106">
            <v>0</v>
          </cell>
          <cell r="AH106"/>
          <cell r="AI106">
            <v>164</v>
          </cell>
          <cell r="AJ106">
            <v>37</v>
          </cell>
          <cell r="AK106">
            <v>14</v>
          </cell>
        </row>
        <row r="107">
          <cell r="C107">
            <v>350619003</v>
          </cell>
          <cell r="D107">
            <v>11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16</v>
          </cell>
          <cell r="J107">
            <v>0</v>
          </cell>
          <cell r="K107">
            <v>0</v>
          </cell>
          <cell r="L107">
            <v>9</v>
          </cell>
          <cell r="M107">
            <v>0</v>
          </cell>
          <cell r="N107">
            <v>0</v>
          </cell>
          <cell r="O107">
            <v>29</v>
          </cell>
          <cell r="P107">
            <v>0</v>
          </cell>
          <cell r="Q107">
            <v>21</v>
          </cell>
          <cell r="R107">
            <v>0</v>
          </cell>
          <cell r="S107">
            <v>22</v>
          </cell>
          <cell r="T107">
            <v>0</v>
          </cell>
          <cell r="U107">
            <v>0</v>
          </cell>
          <cell r="V107">
            <v>0</v>
          </cell>
          <cell r="W107">
            <v>38</v>
          </cell>
          <cell r="X107">
            <v>12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36</v>
          </cell>
          <cell r="AE107">
            <v>0</v>
          </cell>
          <cell r="AF107">
            <v>0</v>
          </cell>
          <cell r="AG107">
            <v>0</v>
          </cell>
          <cell r="AH107"/>
          <cell r="AI107">
            <v>194</v>
          </cell>
          <cell r="AJ107">
            <v>38</v>
          </cell>
          <cell r="AK107">
            <v>9</v>
          </cell>
        </row>
        <row r="108">
          <cell r="C108">
            <v>350619004</v>
          </cell>
          <cell r="D108">
            <v>6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6</v>
          </cell>
          <cell r="J108">
            <v>0</v>
          </cell>
          <cell r="K108">
            <v>0</v>
          </cell>
          <cell r="L108">
            <v>6</v>
          </cell>
          <cell r="M108">
            <v>0</v>
          </cell>
          <cell r="N108">
            <v>0</v>
          </cell>
          <cell r="O108">
            <v>17</v>
          </cell>
          <cell r="P108">
            <v>0</v>
          </cell>
          <cell r="Q108">
            <v>0</v>
          </cell>
          <cell r="R108">
            <v>0</v>
          </cell>
          <cell r="S108">
            <v>25</v>
          </cell>
          <cell r="T108">
            <v>0</v>
          </cell>
          <cell r="U108">
            <v>7</v>
          </cell>
          <cell r="V108">
            <v>0</v>
          </cell>
          <cell r="W108">
            <v>43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/>
          <cell r="AI108">
            <v>115</v>
          </cell>
          <cell r="AJ108">
            <v>43</v>
          </cell>
          <cell r="AK108">
            <v>8</v>
          </cell>
        </row>
        <row r="109">
          <cell r="C109">
            <v>350619005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10</v>
          </cell>
          <cell r="P109">
            <v>5</v>
          </cell>
          <cell r="Q109">
            <v>15</v>
          </cell>
          <cell r="R109">
            <v>5</v>
          </cell>
          <cell r="S109">
            <v>10</v>
          </cell>
          <cell r="T109">
            <v>0</v>
          </cell>
          <cell r="U109">
            <v>5</v>
          </cell>
          <cell r="V109">
            <v>0</v>
          </cell>
          <cell r="W109">
            <v>35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10</v>
          </cell>
          <cell r="AE109">
            <v>0</v>
          </cell>
          <cell r="AF109">
            <v>0</v>
          </cell>
          <cell r="AG109">
            <v>0</v>
          </cell>
          <cell r="AH109"/>
          <cell r="AI109">
            <v>95</v>
          </cell>
          <cell r="AJ109">
            <v>35</v>
          </cell>
          <cell r="AK109">
            <v>8</v>
          </cell>
        </row>
        <row r="110">
          <cell r="C110">
            <v>350619006</v>
          </cell>
          <cell r="D110">
            <v>16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23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88</v>
          </cell>
          <cell r="P110">
            <v>14</v>
          </cell>
          <cell r="Q110">
            <v>43</v>
          </cell>
          <cell r="R110">
            <v>6</v>
          </cell>
          <cell r="S110">
            <v>17</v>
          </cell>
          <cell r="T110">
            <v>0</v>
          </cell>
          <cell r="U110">
            <v>7</v>
          </cell>
          <cell r="V110">
            <v>0</v>
          </cell>
          <cell r="W110">
            <v>42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72</v>
          </cell>
          <cell r="AE110">
            <v>0</v>
          </cell>
          <cell r="AF110">
            <v>0</v>
          </cell>
          <cell r="AG110">
            <v>0</v>
          </cell>
          <cell r="AH110"/>
          <cell r="AI110">
            <v>328</v>
          </cell>
          <cell r="AJ110">
            <v>88</v>
          </cell>
          <cell r="AK110">
            <v>10</v>
          </cell>
        </row>
        <row r="111">
          <cell r="C111">
            <v>350619007</v>
          </cell>
          <cell r="D111">
            <v>15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9</v>
          </cell>
          <cell r="J111">
            <v>0</v>
          </cell>
          <cell r="K111">
            <v>0</v>
          </cell>
          <cell r="L111">
            <v>16</v>
          </cell>
          <cell r="M111">
            <v>10</v>
          </cell>
          <cell r="N111">
            <v>0</v>
          </cell>
          <cell r="O111">
            <v>28</v>
          </cell>
          <cell r="P111">
            <v>0</v>
          </cell>
          <cell r="Q111">
            <v>14</v>
          </cell>
          <cell r="R111">
            <v>0</v>
          </cell>
          <cell r="S111">
            <v>16</v>
          </cell>
          <cell r="T111">
            <v>8</v>
          </cell>
          <cell r="U111">
            <v>0</v>
          </cell>
          <cell r="V111">
            <v>0</v>
          </cell>
          <cell r="W111">
            <v>59</v>
          </cell>
          <cell r="X111">
            <v>17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23</v>
          </cell>
          <cell r="AE111">
            <v>0</v>
          </cell>
          <cell r="AF111">
            <v>0</v>
          </cell>
          <cell r="AG111">
            <v>0</v>
          </cell>
          <cell r="AH111"/>
          <cell r="AI111">
            <v>215</v>
          </cell>
          <cell r="AJ111">
            <v>59</v>
          </cell>
          <cell r="AK111">
            <v>11</v>
          </cell>
        </row>
        <row r="112">
          <cell r="C112">
            <v>350619008</v>
          </cell>
          <cell r="D112">
            <v>8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5</v>
          </cell>
          <cell r="J112">
            <v>0</v>
          </cell>
          <cell r="K112">
            <v>0</v>
          </cell>
          <cell r="L112">
            <v>8</v>
          </cell>
          <cell r="M112">
            <v>7</v>
          </cell>
          <cell r="N112">
            <v>0</v>
          </cell>
          <cell r="O112">
            <v>8</v>
          </cell>
          <cell r="P112">
            <v>0</v>
          </cell>
          <cell r="Q112">
            <v>35</v>
          </cell>
          <cell r="R112">
            <v>0</v>
          </cell>
          <cell r="S112">
            <v>30</v>
          </cell>
          <cell r="T112">
            <v>0</v>
          </cell>
          <cell r="U112">
            <v>0</v>
          </cell>
          <cell r="V112">
            <v>0</v>
          </cell>
          <cell r="W112">
            <v>48</v>
          </cell>
          <cell r="X112">
            <v>6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10</v>
          </cell>
          <cell r="AE112">
            <v>0</v>
          </cell>
          <cell r="AF112">
            <v>0</v>
          </cell>
          <cell r="AG112">
            <v>0</v>
          </cell>
          <cell r="AH112"/>
          <cell r="AI112">
            <v>165</v>
          </cell>
          <cell r="AJ112">
            <v>48</v>
          </cell>
          <cell r="AK112">
            <v>10</v>
          </cell>
        </row>
        <row r="113">
          <cell r="C113">
            <v>350619009</v>
          </cell>
          <cell r="D113">
            <v>8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5</v>
          </cell>
          <cell r="J113">
            <v>0</v>
          </cell>
          <cell r="K113">
            <v>0</v>
          </cell>
          <cell r="L113">
            <v>8</v>
          </cell>
          <cell r="M113">
            <v>7</v>
          </cell>
          <cell r="N113">
            <v>0</v>
          </cell>
          <cell r="O113">
            <v>10</v>
          </cell>
          <cell r="P113">
            <v>0</v>
          </cell>
          <cell r="Q113">
            <v>18</v>
          </cell>
          <cell r="R113">
            <v>0</v>
          </cell>
          <cell r="S113">
            <v>8</v>
          </cell>
          <cell r="T113">
            <v>0</v>
          </cell>
          <cell r="U113">
            <v>0</v>
          </cell>
          <cell r="V113">
            <v>0</v>
          </cell>
          <cell r="W113">
            <v>32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18</v>
          </cell>
          <cell r="AF113">
            <v>0</v>
          </cell>
          <cell r="AG113">
            <v>0</v>
          </cell>
          <cell r="AH113"/>
          <cell r="AI113">
            <v>114</v>
          </cell>
          <cell r="AJ113">
            <v>32</v>
          </cell>
          <cell r="AK113">
            <v>9</v>
          </cell>
        </row>
        <row r="114">
          <cell r="C114">
            <v>350619010</v>
          </cell>
          <cell r="D114">
            <v>18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12</v>
          </cell>
          <cell r="M114">
            <v>8</v>
          </cell>
          <cell r="N114">
            <v>0</v>
          </cell>
          <cell r="O114">
            <v>7</v>
          </cell>
          <cell r="P114">
            <v>0</v>
          </cell>
          <cell r="Q114">
            <v>30</v>
          </cell>
          <cell r="R114">
            <v>0</v>
          </cell>
          <cell r="S114">
            <v>14</v>
          </cell>
          <cell r="T114">
            <v>5</v>
          </cell>
          <cell r="U114">
            <v>0</v>
          </cell>
          <cell r="V114">
            <v>0</v>
          </cell>
          <cell r="W114">
            <v>39</v>
          </cell>
          <cell r="X114">
            <v>6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12</v>
          </cell>
          <cell r="AE114">
            <v>0</v>
          </cell>
          <cell r="AF114">
            <v>0</v>
          </cell>
          <cell r="AG114">
            <v>0</v>
          </cell>
          <cell r="AH114"/>
          <cell r="AI114">
            <v>151</v>
          </cell>
          <cell r="AJ114">
            <v>39</v>
          </cell>
          <cell r="AK114">
            <v>10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24</v>
          </cell>
          <cell r="P115">
            <v>0</v>
          </cell>
          <cell r="Q115">
            <v>16</v>
          </cell>
          <cell r="R115">
            <v>8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32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54</v>
          </cell>
          <cell r="AE115">
            <v>0</v>
          </cell>
          <cell r="AF115">
            <v>0</v>
          </cell>
          <cell r="AG115">
            <v>0</v>
          </cell>
          <cell r="AH115"/>
          <cell r="AI115">
            <v>134</v>
          </cell>
          <cell r="AJ115">
            <v>54</v>
          </cell>
          <cell r="AK115">
            <v>5</v>
          </cell>
        </row>
        <row r="116">
          <cell r="C116">
            <v>350619012</v>
          </cell>
          <cell r="D116">
            <v>20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6</v>
          </cell>
          <cell r="J116">
            <v>0</v>
          </cell>
          <cell r="K116">
            <v>0</v>
          </cell>
          <cell r="L116">
            <v>14</v>
          </cell>
          <cell r="M116">
            <v>9</v>
          </cell>
          <cell r="N116">
            <v>0</v>
          </cell>
          <cell r="O116">
            <v>10</v>
          </cell>
          <cell r="P116">
            <v>0</v>
          </cell>
          <cell r="Q116">
            <v>44</v>
          </cell>
          <cell r="R116">
            <v>0</v>
          </cell>
          <cell r="S116">
            <v>20</v>
          </cell>
          <cell r="T116">
            <v>6</v>
          </cell>
          <cell r="U116">
            <v>5</v>
          </cell>
          <cell r="V116">
            <v>0</v>
          </cell>
          <cell r="W116">
            <v>35</v>
          </cell>
          <cell r="X116">
            <v>7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10</v>
          </cell>
          <cell r="AE116">
            <v>0</v>
          </cell>
          <cell r="AF116">
            <v>0</v>
          </cell>
          <cell r="AG116">
            <v>0</v>
          </cell>
          <cell r="AH116"/>
          <cell r="AI116">
            <v>186</v>
          </cell>
          <cell r="AJ116">
            <v>44</v>
          </cell>
          <cell r="AK116">
            <v>12</v>
          </cell>
        </row>
        <row r="117">
          <cell r="C117">
            <v>350619013</v>
          </cell>
          <cell r="D117">
            <v>50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11</v>
          </cell>
          <cell r="J117">
            <v>0</v>
          </cell>
          <cell r="K117">
            <v>0</v>
          </cell>
          <cell r="L117">
            <v>12</v>
          </cell>
          <cell r="M117">
            <v>7</v>
          </cell>
          <cell r="N117">
            <v>0</v>
          </cell>
          <cell r="O117">
            <v>42</v>
          </cell>
          <cell r="P117">
            <v>0</v>
          </cell>
          <cell r="Q117">
            <v>5</v>
          </cell>
          <cell r="R117">
            <v>0</v>
          </cell>
          <cell r="S117">
            <v>0</v>
          </cell>
          <cell r="T117">
            <v>20</v>
          </cell>
          <cell r="U117">
            <v>7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/>
          <cell r="AI117">
            <v>154</v>
          </cell>
          <cell r="AJ117">
            <v>50</v>
          </cell>
          <cell r="AK117">
            <v>8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5</v>
          </cell>
          <cell r="K118">
            <v>0</v>
          </cell>
          <cell r="L118">
            <v>10</v>
          </cell>
          <cell r="M118">
            <v>0</v>
          </cell>
          <cell r="N118">
            <v>10</v>
          </cell>
          <cell r="O118">
            <v>0</v>
          </cell>
          <cell r="P118">
            <v>5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12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11</v>
          </cell>
          <cell r="AE118">
            <v>0</v>
          </cell>
          <cell r="AF118">
            <v>0</v>
          </cell>
          <cell r="AG118">
            <v>0</v>
          </cell>
          <cell r="AH118"/>
          <cell r="AI118">
            <v>53</v>
          </cell>
          <cell r="AJ118">
            <v>12</v>
          </cell>
          <cell r="AK118">
            <v>6</v>
          </cell>
        </row>
        <row r="119">
          <cell r="C119">
            <v>350619015</v>
          </cell>
          <cell r="D119">
            <v>14</v>
          </cell>
          <cell r="E119">
            <v>0</v>
          </cell>
          <cell r="F119">
            <v>0</v>
          </cell>
          <cell r="G119">
            <v>0</v>
          </cell>
          <cell r="H119">
            <v>5</v>
          </cell>
          <cell r="I119">
            <v>4</v>
          </cell>
          <cell r="J119">
            <v>0</v>
          </cell>
          <cell r="K119">
            <v>0</v>
          </cell>
          <cell r="L119">
            <v>23</v>
          </cell>
          <cell r="M119">
            <v>3</v>
          </cell>
          <cell r="N119">
            <v>0</v>
          </cell>
          <cell r="O119">
            <v>17</v>
          </cell>
          <cell r="P119">
            <v>0</v>
          </cell>
          <cell r="Q119">
            <v>7</v>
          </cell>
          <cell r="R119">
            <v>0</v>
          </cell>
          <cell r="S119">
            <v>5</v>
          </cell>
          <cell r="T119">
            <v>10</v>
          </cell>
          <cell r="U119">
            <v>1.5</v>
          </cell>
          <cell r="V119">
            <v>0</v>
          </cell>
          <cell r="W119">
            <v>26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7</v>
          </cell>
          <cell r="AE119">
            <v>0</v>
          </cell>
          <cell r="AF119">
            <v>0</v>
          </cell>
          <cell r="AG119">
            <v>0</v>
          </cell>
          <cell r="AH119"/>
          <cell r="AI119">
            <v>122.5</v>
          </cell>
          <cell r="AJ119">
            <v>26</v>
          </cell>
          <cell r="AK119">
            <v>12</v>
          </cell>
        </row>
        <row r="120">
          <cell r="C120">
            <v>350619016</v>
          </cell>
          <cell r="D120">
            <v>27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4</v>
          </cell>
          <cell r="M120">
            <v>0</v>
          </cell>
          <cell r="N120">
            <v>0</v>
          </cell>
          <cell r="O120">
            <v>46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16</v>
          </cell>
          <cell r="U120">
            <v>0</v>
          </cell>
          <cell r="V120">
            <v>0</v>
          </cell>
          <cell r="W120">
            <v>34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3</v>
          </cell>
          <cell r="AE120">
            <v>0</v>
          </cell>
          <cell r="AF120">
            <v>0</v>
          </cell>
          <cell r="AG120">
            <v>0</v>
          </cell>
          <cell r="AH120"/>
          <cell r="AI120">
            <v>130</v>
          </cell>
          <cell r="AJ120">
            <v>46</v>
          </cell>
          <cell r="AK120">
            <v>6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6</v>
          </cell>
          <cell r="K121">
            <v>0</v>
          </cell>
          <cell r="L121">
            <v>0</v>
          </cell>
          <cell r="M121">
            <v>7</v>
          </cell>
          <cell r="N121">
            <v>12</v>
          </cell>
          <cell r="O121">
            <v>0</v>
          </cell>
          <cell r="P121">
            <v>4</v>
          </cell>
          <cell r="Q121">
            <v>0</v>
          </cell>
          <cell r="R121">
            <v>0</v>
          </cell>
          <cell r="S121">
            <v>10</v>
          </cell>
          <cell r="T121">
            <v>0</v>
          </cell>
          <cell r="U121">
            <v>0</v>
          </cell>
          <cell r="V121">
            <v>0</v>
          </cell>
          <cell r="W121">
            <v>30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12</v>
          </cell>
          <cell r="AE121">
            <v>0</v>
          </cell>
          <cell r="AF121">
            <v>0</v>
          </cell>
          <cell r="AG121">
            <v>0</v>
          </cell>
          <cell r="AH121"/>
          <cell r="AI121">
            <v>81</v>
          </cell>
          <cell r="AJ121">
            <v>30</v>
          </cell>
          <cell r="AK121">
            <v>7</v>
          </cell>
        </row>
        <row r="122">
          <cell r="C122">
            <v>350619018</v>
          </cell>
          <cell r="D122">
            <v>62</v>
          </cell>
          <cell r="E122">
            <v>0</v>
          </cell>
          <cell r="F122">
            <v>0</v>
          </cell>
          <cell r="G122">
            <v>0</v>
          </cell>
          <cell r="H122">
            <v>3</v>
          </cell>
          <cell r="I122">
            <v>7</v>
          </cell>
          <cell r="J122">
            <v>0</v>
          </cell>
          <cell r="K122">
            <v>0</v>
          </cell>
          <cell r="L122">
            <v>0</v>
          </cell>
          <cell r="M122">
            <v>8</v>
          </cell>
          <cell r="N122">
            <v>0</v>
          </cell>
          <cell r="O122">
            <v>10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3</v>
          </cell>
          <cell r="U122">
            <v>9</v>
          </cell>
          <cell r="V122">
            <v>0</v>
          </cell>
          <cell r="W122">
            <v>4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/>
          <cell r="AI122">
            <v>106</v>
          </cell>
          <cell r="AJ122">
            <v>62</v>
          </cell>
          <cell r="AK122">
            <v>8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4</v>
          </cell>
          <cell r="K123">
            <v>0</v>
          </cell>
          <cell r="L123">
            <v>9</v>
          </cell>
          <cell r="M123">
            <v>0</v>
          </cell>
          <cell r="N123">
            <v>11</v>
          </cell>
          <cell r="O123">
            <v>0</v>
          </cell>
          <cell r="P123">
            <v>0</v>
          </cell>
          <cell r="Q123">
            <v>3</v>
          </cell>
          <cell r="R123">
            <v>0</v>
          </cell>
          <cell r="S123">
            <v>2</v>
          </cell>
          <cell r="T123">
            <v>3</v>
          </cell>
          <cell r="U123">
            <v>0</v>
          </cell>
          <cell r="V123">
            <v>0</v>
          </cell>
          <cell r="W123">
            <v>10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10</v>
          </cell>
          <cell r="AE123">
            <v>0</v>
          </cell>
          <cell r="AF123">
            <v>0</v>
          </cell>
          <cell r="AG123">
            <v>0</v>
          </cell>
          <cell r="AH123"/>
          <cell r="AI123">
            <v>52</v>
          </cell>
          <cell r="AJ123">
            <v>11</v>
          </cell>
          <cell r="AK123">
            <v>8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35</v>
          </cell>
          <cell r="M124">
            <v>0</v>
          </cell>
          <cell r="N124">
            <v>0</v>
          </cell>
          <cell r="O124">
            <v>7</v>
          </cell>
          <cell r="P124">
            <v>0</v>
          </cell>
          <cell r="Q124">
            <v>4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5</v>
          </cell>
          <cell r="X124">
            <v>0</v>
          </cell>
          <cell r="Y124">
            <v>0</v>
          </cell>
          <cell r="Z124">
            <v>0</v>
          </cell>
          <cell r="AA124">
            <v>25</v>
          </cell>
          <cell r="AB124">
            <v>0</v>
          </cell>
          <cell r="AC124">
            <v>0</v>
          </cell>
          <cell r="AD124">
            <v>15</v>
          </cell>
          <cell r="AE124">
            <v>0</v>
          </cell>
          <cell r="AF124">
            <v>0</v>
          </cell>
          <cell r="AG124">
            <v>0</v>
          </cell>
          <cell r="AH124"/>
          <cell r="AI124">
            <v>91</v>
          </cell>
          <cell r="AJ124">
            <v>35</v>
          </cell>
          <cell r="AK124">
            <v>6</v>
          </cell>
        </row>
        <row r="125">
          <cell r="C125">
            <v>350619021</v>
          </cell>
          <cell r="D125">
            <v>35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2</v>
          </cell>
          <cell r="J125">
            <v>4</v>
          </cell>
          <cell r="K125">
            <v>0</v>
          </cell>
          <cell r="L125">
            <v>5</v>
          </cell>
          <cell r="M125">
            <v>13</v>
          </cell>
          <cell r="N125">
            <v>0</v>
          </cell>
          <cell r="O125">
            <v>7</v>
          </cell>
          <cell r="P125">
            <v>4</v>
          </cell>
          <cell r="Q125">
            <v>6</v>
          </cell>
          <cell r="R125">
            <v>0</v>
          </cell>
          <cell r="S125">
            <v>0</v>
          </cell>
          <cell r="T125">
            <v>41</v>
          </cell>
          <cell r="U125">
            <v>15</v>
          </cell>
          <cell r="V125">
            <v>0</v>
          </cell>
          <cell r="W125">
            <v>2</v>
          </cell>
          <cell r="X125">
            <v>5</v>
          </cell>
          <cell r="Y125">
            <v>0</v>
          </cell>
          <cell r="Z125">
            <v>0</v>
          </cell>
          <cell r="AA125">
            <v>0</v>
          </cell>
          <cell r="AB125">
            <v>13</v>
          </cell>
          <cell r="AC125">
            <v>0</v>
          </cell>
          <cell r="AD125">
            <v>15</v>
          </cell>
          <cell r="AE125">
            <v>0</v>
          </cell>
          <cell r="AF125">
            <v>0</v>
          </cell>
          <cell r="AG125">
            <v>0</v>
          </cell>
          <cell r="AH125"/>
          <cell r="AI125">
            <v>167</v>
          </cell>
          <cell r="AJ125">
            <v>41</v>
          </cell>
          <cell r="AK125">
            <v>14</v>
          </cell>
        </row>
        <row r="126">
          <cell r="C126">
            <v>350619022</v>
          </cell>
          <cell r="D126">
            <v>26</v>
          </cell>
          <cell r="E126">
            <v>0</v>
          </cell>
          <cell r="F126">
            <v>41</v>
          </cell>
          <cell r="G126">
            <v>21</v>
          </cell>
          <cell r="H126">
            <v>0</v>
          </cell>
          <cell r="I126">
            <v>12</v>
          </cell>
          <cell r="J126">
            <v>26</v>
          </cell>
          <cell r="K126">
            <v>0</v>
          </cell>
          <cell r="L126">
            <v>8</v>
          </cell>
          <cell r="M126">
            <v>17</v>
          </cell>
          <cell r="N126">
            <v>0</v>
          </cell>
          <cell r="O126">
            <v>45</v>
          </cell>
          <cell r="P126">
            <v>31</v>
          </cell>
          <cell r="Q126">
            <v>16</v>
          </cell>
          <cell r="R126">
            <v>7</v>
          </cell>
          <cell r="S126">
            <v>0</v>
          </cell>
          <cell r="T126">
            <v>8</v>
          </cell>
          <cell r="U126">
            <v>19</v>
          </cell>
          <cell r="V126">
            <v>0</v>
          </cell>
          <cell r="W126">
            <v>0</v>
          </cell>
          <cell r="X126">
            <v>34</v>
          </cell>
          <cell r="Y126">
            <v>0</v>
          </cell>
          <cell r="Z126">
            <v>0</v>
          </cell>
          <cell r="AA126">
            <v>9</v>
          </cell>
          <cell r="AB126">
            <v>0</v>
          </cell>
          <cell r="AC126">
            <v>0</v>
          </cell>
          <cell r="AD126">
            <v>45</v>
          </cell>
          <cell r="AE126">
            <v>0</v>
          </cell>
          <cell r="AF126">
            <v>0</v>
          </cell>
          <cell r="AG126">
            <v>0</v>
          </cell>
          <cell r="AH126"/>
          <cell r="AI126">
            <v>365</v>
          </cell>
          <cell r="AJ126">
            <v>45</v>
          </cell>
          <cell r="AK126">
            <v>16</v>
          </cell>
        </row>
        <row r="127">
          <cell r="C127">
            <v>350619023</v>
          </cell>
          <cell r="D127">
            <v>23</v>
          </cell>
          <cell r="E127">
            <v>0</v>
          </cell>
          <cell r="F127">
            <v>25</v>
          </cell>
          <cell r="G127">
            <v>16</v>
          </cell>
          <cell r="H127">
            <v>0</v>
          </cell>
          <cell r="I127">
            <v>7</v>
          </cell>
          <cell r="J127">
            <v>21</v>
          </cell>
          <cell r="K127">
            <v>0</v>
          </cell>
          <cell r="L127">
            <v>26</v>
          </cell>
          <cell r="M127">
            <v>10</v>
          </cell>
          <cell r="N127">
            <v>0</v>
          </cell>
          <cell r="O127">
            <v>32</v>
          </cell>
          <cell r="P127">
            <v>23</v>
          </cell>
          <cell r="Q127">
            <v>13</v>
          </cell>
          <cell r="R127">
            <v>5</v>
          </cell>
          <cell r="S127">
            <v>0</v>
          </cell>
          <cell r="T127">
            <v>5</v>
          </cell>
          <cell r="U127">
            <v>16</v>
          </cell>
          <cell r="V127">
            <v>0</v>
          </cell>
          <cell r="W127">
            <v>0</v>
          </cell>
          <cell r="X127">
            <v>25</v>
          </cell>
          <cell r="Y127">
            <v>0</v>
          </cell>
          <cell r="Z127">
            <v>0</v>
          </cell>
          <cell r="AA127">
            <v>4</v>
          </cell>
          <cell r="AB127">
            <v>0</v>
          </cell>
          <cell r="AC127">
            <v>6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/>
          <cell r="AI127">
            <v>257</v>
          </cell>
          <cell r="AJ127">
            <v>32</v>
          </cell>
          <cell r="AK127">
            <v>16</v>
          </cell>
        </row>
        <row r="128">
          <cell r="C128">
            <v>350619024</v>
          </cell>
          <cell r="D128">
            <v>32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8</v>
          </cell>
          <cell r="J128">
            <v>12</v>
          </cell>
          <cell r="K128">
            <v>0</v>
          </cell>
          <cell r="L128">
            <v>9</v>
          </cell>
          <cell r="M128">
            <v>15</v>
          </cell>
          <cell r="N128">
            <v>0</v>
          </cell>
          <cell r="O128">
            <v>6</v>
          </cell>
          <cell r="P128">
            <v>8</v>
          </cell>
          <cell r="Q128">
            <v>10</v>
          </cell>
          <cell r="R128">
            <v>0</v>
          </cell>
          <cell r="S128">
            <v>0</v>
          </cell>
          <cell r="T128">
            <v>38</v>
          </cell>
          <cell r="U128">
            <v>21</v>
          </cell>
          <cell r="V128">
            <v>0</v>
          </cell>
          <cell r="W128">
            <v>6</v>
          </cell>
          <cell r="X128">
            <v>9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36</v>
          </cell>
          <cell r="AE128">
            <v>0</v>
          </cell>
          <cell r="AF128">
            <v>0</v>
          </cell>
          <cell r="AG128">
            <v>0</v>
          </cell>
          <cell r="AH128"/>
          <cell r="AI128">
            <v>210</v>
          </cell>
          <cell r="AJ128">
            <v>38</v>
          </cell>
          <cell r="AK128">
            <v>13</v>
          </cell>
        </row>
        <row r="129">
          <cell r="C129">
            <v>350619025</v>
          </cell>
          <cell r="D129">
            <v>32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9</v>
          </cell>
          <cell r="N129">
            <v>0</v>
          </cell>
          <cell r="O129">
            <v>16</v>
          </cell>
          <cell r="P129">
            <v>0</v>
          </cell>
          <cell r="Q129">
            <v>19</v>
          </cell>
          <cell r="R129">
            <v>4</v>
          </cell>
          <cell r="S129">
            <v>0</v>
          </cell>
          <cell r="T129">
            <v>68</v>
          </cell>
          <cell r="U129">
            <v>16</v>
          </cell>
          <cell r="V129">
            <v>0</v>
          </cell>
          <cell r="W129">
            <v>15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23</v>
          </cell>
          <cell r="AC129">
            <v>0</v>
          </cell>
          <cell r="AD129">
            <v>58</v>
          </cell>
          <cell r="AE129">
            <v>0</v>
          </cell>
          <cell r="AF129">
            <v>0</v>
          </cell>
          <cell r="AG129">
            <v>0</v>
          </cell>
          <cell r="AH129"/>
          <cell r="AI129">
            <v>260</v>
          </cell>
          <cell r="AJ129">
            <v>68</v>
          </cell>
          <cell r="AK129">
            <v>10</v>
          </cell>
        </row>
        <row r="130">
          <cell r="C130">
            <v>350619026</v>
          </cell>
          <cell r="D130">
            <v>67</v>
          </cell>
          <cell r="E130">
            <v>0</v>
          </cell>
          <cell r="F130">
            <v>0</v>
          </cell>
          <cell r="G130">
            <v>0</v>
          </cell>
          <cell r="H130">
            <v>8</v>
          </cell>
          <cell r="I130">
            <v>10</v>
          </cell>
          <cell r="J130">
            <v>15</v>
          </cell>
          <cell r="K130">
            <v>0</v>
          </cell>
          <cell r="L130">
            <v>0</v>
          </cell>
          <cell r="M130">
            <v>11</v>
          </cell>
          <cell r="N130">
            <v>5</v>
          </cell>
          <cell r="O130">
            <v>20</v>
          </cell>
          <cell r="P130">
            <v>18</v>
          </cell>
          <cell r="Q130">
            <v>8</v>
          </cell>
          <cell r="R130">
            <v>25</v>
          </cell>
          <cell r="S130">
            <v>15</v>
          </cell>
          <cell r="T130">
            <v>40</v>
          </cell>
          <cell r="U130">
            <v>45</v>
          </cell>
          <cell r="V130">
            <v>13</v>
          </cell>
          <cell r="W130">
            <v>15</v>
          </cell>
          <cell r="X130">
            <v>6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/>
          <cell r="AI130">
            <v>321</v>
          </cell>
          <cell r="AJ130">
            <v>67</v>
          </cell>
          <cell r="AK130">
            <v>16</v>
          </cell>
        </row>
        <row r="131">
          <cell r="C131">
            <v>350619027</v>
          </cell>
          <cell r="D131">
            <v>3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5</v>
          </cell>
          <cell r="L131">
            <v>2</v>
          </cell>
          <cell r="M131">
            <v>12</v>
          </cell>
          <cell r="N131">
            <v>0</v>
          </cell>
          <cell r="O131">
            <v>9</v>
          </cell>
          <cell r="P131">
            <v>0</v>
          </cell>
          <cell r="Q131">
            <v>4</v>
          </cell>
          <cell r="R131">
            <v>2</v>
          </cell>
          <cell r="S131">
            <v>3</v>
          </cell>
          <cell r="T131">
            <v>0</v>
          </cell>
          <cell r="U131">
            <v>11</v>
          </cell>
          <cell r="V131">
            <v>0</v>
          </cell>
          <cell r="W131">
            <v>9</v>
          </cell>
          <cell r="X131">
            <v>0</v>
          </cell>
          <cell r="Y131">
            <v>0</v>
          </cell>
          <cell r="Z131">
            <v>0</v>
          </cell>
          <cell r="AA131">
            <v>4</v>
          </cell>
          <cell r="AB131">
            <v>1</v>
          </cell>
          <cell r="AC131">
            <v>0</v>
          </cell>
          <cell r="AD131">
            <v>6</v>
          </cell>
          <cell r="AE131">
            <v>0</v>
          </cell>
          <cell r="AF131">
            <v>0</v>
          </cell>
          <cell r="AG131">
            <v>0</v>
          </cell>
          <cell r="AH131"/>
          <cell r="AI131">
            <v>71</v>
          </cell>
          <cell r="AJ131">
            <v>12</v>
          </cell>
          <cell r="AK131">
            <v>13</v>
          </cell>
        </row>
        <row r="132">
          <cell r="C132">
            <v>350619028</v>
          </cell>
          <cell r="D132">
            <v>15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5</v>
          </cell>
          <cell r="M132">
            <v>5</v>
          </cell>
          <cell r="N132">
            <v>6</v>
          </cell>
          <cell r="O132">
            <v>9</v>
          </cell>
          <cell r="P132">
            <v>0</v>
          </cell>
          <cell r="Q132">
            <v>24</v>
          </cell>
          <cell r="R132">
            <v>6</v>
          </cell>
          <cell r="S132">
            <v>5</v>
          </cell>
          <cell r="T132">
            <v>22</v>
          </cell>
          <cell r="U132">
            <v>8</v>
          </cell>
          <cell r="V132">
            <v>0</v>
          </cell>
          <cell r="W132">
            <v>5</v>
          </cell>
          <cell r="X132">
            <v>0</v>
          </cell>
          <cell r="Y132">
            <v>0</v>
          </cell>
          <cell r="Z132">
            <v>5</v>
          </cell>
          <cell r="AA132">
            <v>9</v>
          </cell>
          <cell r="AB132">
            <v>0</v>
          </cell>
          <cell r="AC132">
            <v>0</v>
          </cell>
          <cell r="AD132">
            <v>12</v>
          </cell>
          <cell r="AE132">
            <v>0</v>
          </cell>
          <cell r="AF132">
            <v>0</v>
          </cell>
          <cell r="AG132">
            <v>0</v>
          </cell>
          <cell r="AH132"/>
          <cell r="AI132">
            <v>136</v>
          </cell>
          <cell r="AJ132">
            <v>24</v>
          </cell>
          <cell r="AK132">
            <v>14</v>
          </cell>
        </row>
        <row r="133">
          <cell r="C133">
            <v>350619029</v>
          </cell>
          <cell r="D133">
            <v>27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12</v>
          </cell>
          <cell r="M133">
            <v>0</v>
          </cell>
          <cell r="N133">
            <v>7</v>
          </cell>
          <cell r="O133">
            <v>6</v>
          </cell>
          <cell r="P133">
            <v>0</v>
          </cell>
          <cell r="Q133">
            <v>17</v>
          </cell>
          <cell r="R133">
            <v>8</v>
          </cell>
          <cell r="S133">
            <v>0</v>
          </cell>
          <cell r="T133">
            <v>10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5</v>
          </cell>
          <cell r="AB133">
            <v>0</v>
          </cell>
          <cell r="AC133">
            <v>0</v>
          </cell>
          <cell r="AD133">
            <v>5</v>
          </cell>
          <cell r="AE133">
            <v>0</v>
          </cell>
          <cell r="AF133">
            <v>0</v>
          </cell>
          <cell r="AG133">
            <v>0</v>
          </cell>
          <cell r="AH133"/>
          <cell r="AI133">
            <v>97</v>
          </cell>
          <cell r="AJ133">
            <v>27</v>
          </cell>
          <cell r="AK133">
            <v>9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5</v>
          </cell>
          <cell r="M134">
            <v>5</v>
          </cell>
          <cell r="N134">
            <v>0</v>
          </cell>
          <cell r="O134">
            <v>5</v>
          </cell>
          <cell r="P134">
            <v>0</v>
          </cell>
          <cell r="Q134">
            <v>8</v>
          </cell>
          <cell r="R134">
            <v>0</v>
          </cell>
          <cell r="S134">
            <v>25</v>
          </cell>
          <cell r="T134">
            <v>0</v>
          </cell>
          <cell r="U134">
            <v>0</v>
          </cell>
          <cell r="V134">
            <v>0</v>
          </cell>
          <cell r="W134">
            <v>5</v>
          </cell>
          <cell r="X134">
            <v>0</v>
          </cell>
          <cell r="Y134">
            <v>0</v>
          </cell>
          <cell r="Z134">
            <v>0</v>
          </cell>
          <cell r="AA134">
            <v>5</v>
          </cell>
          <cell r="AB134">
            <v>0</v>
          </cell>
          <cell r="AC134">
            <v>0</v>
          </cell>
          <cell r="AD134">
            <v>7</v>
          </cell>
          <cell r="AE134">
            <v>0</v>
          </cell>
          <cell r="AF134">
            <v>0</v>
          </cell>
          <cell r="AG134">
            <v>0</v>
          </cell>
          <cell r="AH134"/>
          <cell r="AI134">
            <v>65</v>
          </cell>
          <cell r="AJ134">
            <v>25</v>
          </cell>
          <cell r="AK134">
            <v>8</v>
          </cell>
        </row>
        <row r="135">
          <cell r="C135">
            <v>350619031</v>
          </cell>
          <cell r="D135">
            <v>16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2</v>
          </cell>
          <cell r="K135">
            <v>0</v>
          </cell>
          <cell r="L135">
            <v>7</v>
          </cell>
          <cell r="M135">
            <v>2</v>
          </cell>
          <cell r="N135">
            <v>27</v>
          </cell>
          <cell r="O135">
            <v>3</v>
          </cell>
          <cell r="P135">
            <v>0</v>
          </cell>
          <cell r="Q135">
            <v>15</v>
          </cell>
          <cell r="R135">
            <v>6</v>
          </cell>
          <cell r="S135">
            <v>0</v>
          </cell>
          <cell r="T135">
            <v>9</v>
          </cell>
          <cell r="U135">
            <v>4</v>
          </cell>
          <cell r="V135">
            <v>0</v>
          </cell>
          <cell r="W135">
            <v>15</v>
          </cell>
          <cell r="X135">
            <v>5</v>
          </cell>
          <cell r="Y135">
            <v>0</v>
          </cell>
          <cell r="Z135">
            <v>0</v>
          </cell>
          <cell r="AA135">
            <v>9</v>
          </cell>
          <cell r="AB135">
            <v>2</v>
          </cell>
          <cell r="AC135">
            <v>0</v>
          </cell>
          <cell r="AD135">
            <v>2</v>
          </cell>
          <cell r="AE135">
            <v>0</v>
          </cell>
          <cell r="AF135">
            <v>0</v>
          </cell>
          <cell r="AG135">
            <v>0</v>
          </cell>
          <cell r="AH135"/>
          <cell r="AI135">
            <v>124</v>
          </cell>
          <cell r="AJ135">
            <v>27</v>
          </cell>
          <cell r="AK135">
            <v>15</v>
          </cell>
        </row>
        <row r="136">
          <cell r="C136">
            <v>350619032</v>
          </cell>
          <cell r="D136">
            <v>25</v>
          </cell>
          <cell r="E136">
            <v>0</v>
          </cell>
          <cell r="F136">
            <v>0</v>
          </cell>
          <cell r="G136">
            <v>0</v>
          </cell>
          <cell r="H136">
            <v>2</v>
          </cell>
          <cell r="I136">
            <v>2</v>
          </cell>
          <cell r="J136">
            <v>13</v>
          </cell>
          <cell r="K136">
            <v>0</v>
          </cell>
          <cell r="L136">
            <v>0</v>
          </cell>
          <cell r="M136">
            <v>0</v>
          </cell>
          <cell r="N136">
            <v>1</v>
          </cell>
          <cell r="O136">
            <v>5</v>
          </cell>
          <cell r="P136">
            <v>0</v>
          </cell>
          <cell r="Q136">
            <v>7</v>
          </cell>
          <cell r="R136">
            <v>0</v>
          </cell>
          <cell r="S136">
            <v>0</v>
          </cell>
          <cell r="T136">
            <v>0</v>
          </cell>
          <cell r="U136">
            <v>12</v>
          </cell>
          <cell r="V136">
            <v>10</v>
          </cell>
          <cell r="W136">
            <v>14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2</v>
          </cell>
          <cell r="AD136">
            <v>13</v>
          </cell>
          <cell r="AE136">
            <v>0</v>
          </cell>
          <cell r="AF136">
            <v>0</v>
          </cell>
          <cell r="AG136">
            <v>0</v>
          </cell>
          <cell r="AH136"/>
          <cell r="AI136">
            <v>106</v>
          </cell>
          <cell r="AJ136">
            <v>25</v>
          </cell>
          <cell r="AK136">
            <v>12</v>
          </cell>
        </row>
        <row r="137">
          <cell r="C137">
            <v>350619033</v>
          </cell>
          <cell r="D137">
            <v>14</v>
          </cell>
          <cell r="E137">
            <v>0</v>
          </cell>
          <cell r="F137">
            <v>0</v>
          </cell>
          <cell r="G137">
            <v>0</v>
          </cell>
          <cell r="H137">
            <v>3</v>
          </cell>
          <cell r="I137">
            <v>9</v>
          </cell>
          <cell r="J137">
            <v>46</v>
          </cell>
          <cell r="K137">
            <v>0</v>
          </cell>
          <cell r="L137">
            <v>0</v>
          </cell>
          <cell r="M137">
            <v>0</v>
          </cell>
          <cell r="N137">
            <v>11</v>
          </cell>
          <cell r="O137">
            <v>23</v>
          </cell>
          <cell r="P137">
            <v>16</v>
          </cell>
          <cell r="Q137">
            <v>6</v>
          </cell>
          <cell r="R137">
            <v>0</v>
          </cell>
          <cell r="S137">
            <v>0</v>
          </cell>
          <cell r="T137">
            <v>4</v>
          </cell>
          <cell r="U137">
            <v>3</v>
          </cell>
          <cell r="V137">
            <v>5</v>
          </cell>
          <cell r="W137">
            <v>7</v>
          </cell>
          <cell r="X137">
            <v>0</v>
          </cell>
          <cell r="Y137">
            <v>2</v>
          </cell>
          <cell r="Z137">
            <v>6</v>
          </cell>
          <cell r="AA137">
            <v>4</v>
          </cell>
          <cell r="AB137">
            <v>0</v>
          </cell>
          <cell r="AC137">
            <v>0</v>
          </cell>
          <cell r="AD137">
            <v>23</v>
          </cell>
          <cell r="AE137">
            <v>0</v>
          </cell>
          <cell r="AF137">
            <v>0</v>
          </cell>
          <cell r="AG137">
            <v>0</v>
          </cell>
          <cell r="AH137"/>
          <cell r="AI137">
            <v>182</v>
          </cell>
          <cell r="AJ137">
            <v>46</v>
          </cell>
          <cell r="AK137">
            <v>16</v>
          </cell>
        </row>
        <row r="138">
          <cell r="C138">
            <v>350619034</v>
          </cell>
          <cell r="D138">
            <v>11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45</v>
          </cell>
          <cell r="K138">
            <v>0</v>
          </cell>
          <cell r="L138">
            <v>0</v>
          </cell>
          <cell r="M138">
            <v>0</v>
          </cell>
          <cell r="N138">
            <v>9</v>
          </cell>
          <cell r="O138">
            <v>14</v>
          </cell>
          <cell r="P138">
            <v>20</v>
          </cell>
          <cell r="Q138">
            <v>4</v>
          </cell>
          <cell r="R138">
            <v>0</v>
          </cell>
          <cell r="S138">
            <v>0</v>
          </cell>
          <cell r="T138">
            <v>2</v>
          </cell>
          <cell r="U138">
            <v>4</v>
          </cell>
          <cell r="V138">
            <v>0</v>
          </cell>
          <cell r="W138">
            <v>7</v>
          </cell>
          <cell r="X138">
            <v>0</v>
          </cell>
          <cell r="Y138">
            <v>3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18</v>
          </cell>
          <cell r="AE138">
            <v>0</v>
          </cell>
          <cell r="AF138">
            <v>0</v>
          </cell>
          <cell r="AG138">
            <v>0</v>
          </cell>
          <cell r="AH138"/>
          <cell r="AI138">
            <v>137</v>
          </cell>
          <cell r="AJ138">
            <v>45</v>
          </cell>
          <cell r="AK138">
            <v>11</v>
          </cell>
        </row>
        <row r="139">
          <cell r="C139">
            <v>350619035</v>
          </cell>
          <cell r="D139">
            <v>17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6</v>
          </cell>
          <cell r="M139">
            <v>8</v>
          </cell>
          <cell r="N139">
            <v>0</v>
          </cell>
          <cell r="O139">
            <v>0</v>
          </cell>
          <cell r="P139">
            <v>0</v>
          </cell>
          <cell r="Q139">
            <v>16</v>
          </cell>
          <cell r="R139">
            <v>0</v>
          </cell>
          <cell r="S139">
            <v>18</v>
          </cell>
          <cell r="T139">
            <v>13</v>
          </cell>
          <cell r="U139">
            <v>0</v>
          </cell>
          <cell r="V139">
            <v>0</v>
          </cell>
          <cell r="W139">
            <v>20</v>
          </cell>
          <cell r="X139">
            <v>0</v>
          </cell>
          <cell r="Y139">
            <v>0</v>
          </cell>
          <cell r="Z139">
            <v>0</v>
          </cell>
          <cell r="AA139">
            <v>23</v>
          </cell>
          <cell r="AB139">
            <v>0</v>
          </cell>
          <cell r="AC139">
            <v>0</v>
          </cell>
          <cell r="AD139">
            <v>17</v>
          </cell>
          <cell r="AE139">
            <v>8</v>
          </cell>
          <cell r="AF139">
            <v>0</v>
          </cell>
          <cell r="AG139">
            <v>0</v>
          </cell>
          <cell r="AH139"/>
          <cell r="AI139">
            <v>146</v>
          </cell>
          <cell r="AJ139">
            <v>23</v>
          </cell>
          <cell r="AK139">
            <v>10</v>
          </cell>
        </row>
        <row r="140">
          <cell r="C140">
            <v>350619036</v>
          </cell>
          <cell r="D140">
            <v>16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7</v>
          </cell>
          <cell r="M140">
            <v>6</v>
          </cell>
          <cell r="N140">
            <v>9</v>
          </cell>
          <cell r="O140">
            <v>15</v>
          </cell>
          <cell r="P140">
            <v>0</v>
          </cell>
          <cell r="Q140">
            <v>28</v>
          </cell>
          <cell r="R140">
            <v>10</v>
          </cell>
          <cell r="S140">
            <v>5</v>
          </cell>
          <cell r="T140">
            <v>20</v>
          </cell>
          <cell r="U140">
            <v>11</v>
          </cell>
          <cell r="V140">
            <v>0</v>
          </cell>
          <cell r="W140">
            <v>7</v>
          </cell>
          <cell r="X140">
            <v>0</v>
          </cell>
          <cell r="Y140">
            <v>0</v>
          </cell>
          <cell r="Z140">
            <v>5</v>
          </cell>
          <cell r="AA140">
            <v>11</v>
          </cell>
          <cell r="AB140">
            <v>0</v>
          </cell>
          <cell r="AC140">
            <v>0</v>
          </cell>
          <cell r="AD140">
            <v>10</v>
          </cell>
          <cell r="AE140">
            <v>0</v>
          </cell>
          <cell r="AF140">
            <v>0</v>
          </cell>
          <cell r="AG140">
            <v>0</v>
          </cell>
          <cell r="AH140"/>
          <cell r="AI140">
            <v>160</v>
          </cell>
          <cell r="AJ140">
            <v>28</v>
          </cell>
          <cell r="AK140">
            <v>14</v>
          </cell>
        </row>
        <row r="141">
          <cell r="C141">
            <v>350620001</v>
          </cell>
          <cell r="D141">
            <v>16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2</v>
          </cell>
          <cell r="M141">
            <v>0</v>
          </cell>
          <cell r="N141">
            <v>22</v>
          </cell>
          <cell r="O141">
            <v>26</v>
          </cell>
          <cell r="P141">
            <v>0</v>
          </cell>
          <cell r="Q141">
            <v>2</v>
          </cell>
          <cell r="R141">
            <v>3</v>
          </cell>
          <cell r="S141">
            <v>29</v>
          </cell>
          <cell r="T141">
            <v>0</v>
          </cell>
          <cell r="U141">
            <v>31</v>
          </cell>
          <cell r="V141">
            <v>0</v>
          </cell>
          <cell r="W141">
            <v>3</v>
          </cell>
          <cell r="X141">
            <v>0</v>
          </cell>
          <cell r="Y141">
            <v>0</v>
          </cell>
          <cell r="Z141">
            <v>0</v>
          </cell>
          <cell r="AA141">
            <v>2</v>
          </cell>
          <cell r="AB141">
            <v>0</v>
          </cell>
          <cell r="AC141">
            <v>0</v>
          </cell>
          <cell r="AD141">
            <v>2</v>
          </cell>
          <cell r="AE141">
            <v>0</v>
          </cell>
          <cell r="AF141">
            <v>0</v>
          </cell>
          <cell r="AG141">
            <v>0</v>
          </cell>
          <cell r="AH141"/>
          <cell r="AI141">
            <v>138</v>
          </cell>
          <cell r="AJ141">
            <v>31</v>
          </cell>
          <cell r="AK141">
            <v>11</v>
          </cell>
        </row>
        <row r="142">
          <cell r="C142">
            <v>350620002</v>
          </cell>
          <cell r="D142">
            <v>17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2</v>
          </cell>
          <cell r="O142">
            <v>23</v>
          </cell>
          <cell r="P142">
            <v>4</v>
          </cell>
          <cell r="Q142">
            <v>3</v>
          </cell>
          <cell r="R142">
            <v>12</v>
          </cell>
          <cell r="S142">
            <v>22</v>
          </cell>
          <cell r="T142">
            <v>0</v>
          </cell>
          <cell r="U142">
            <v>25</v>
          </cell>
          <cell r="V142">
            <v>0</v>
          </cell>
          <cell r="W142">
            <v>5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10</v>
          </cell>
          <cell r="AE142">
            <v>0</v>
          </cell>
          <cell r="AF142">
            <v>0</v>
          </cell>
          <cell r="AG142">
            <v>0</v>
          </cell>
          <cell r="AH142"/>
          <cell r="AI142">
            <v>123</v>
          </cell>
          <cell r="AJ142">
            <v>25</v>
          </cell>
          <cell r="AK142">
            <v>10</v>
          </cell>
        </row>
        <row r="143">
          <cell r="C143">
            <v>350620003</v>
          </cell>
          <cell r="D143">
            <v>2</v>
          </cell>
          <cell r="E143">
            <v>0</v>
          </cell>
          <cell r="F143">
            <v>0</v>
          </cell>
          <cell r="G143">
            <v>0</v>
          </cell>
          <cell r="H143">
            <v>8</v>
          </cell>
          <cell r="I143">
            <v>3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3</v>
          </cell>
          <cell r="O143">
            <v>39</v>
          </cell>
          <cell r="P143">
            <v>0</v>
          </cell>
          <cell r="Q143">
            <v>50</v>
          </cell>
          <cell r="R143">
            <v>0</v>
          </cell>
          <cell r="S143">
            <v>11</v>
          </cell>
          <cell r="T143">
            <v>0</v>
          </cell>
          <cell r="U143">
            <v>9</v>
          </cell>
          <cell r="V143">
            <v>0</v>
          </cell>
          <cell r="W143">
            <v>1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/>
          <cell r="AI143">
            <v>127</v>
          </cell>
          <cell r="AJ143">
            <v>50</v>
          </cell>
          <cell r="AK143">
            <v>10</v>
          </cell>
        </row>
        <row r="144">
          <cell r="C144">
            <v>350620004</v>
          </cell>
          <cell r="D144">
            <v>17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9</v>
          </cell>
          <cell r="J144">
            <v>0</v>
          </cell>
          <cell r="K144">
            <v>0</v>
          </cell>
          <cell r="L144">
            <v>4</v>
          </cell>
          <cell r="M144">
            <v>0</v>
          </cell>
          <cell r="N144">
            <v>30</v>
          </cell>
          <cell r="O144">
            <v>21</v>
          </cell>
          <cell r="P144">
            <v>1</v>
          </cell>
          <cell r="Q144">
            <v>4</v>
          </cell>
          <cell r="R144">
            <v>4</v>
          </cell>
          <cell r="S144">
            <v>23</v>
          </cell>
          <cell r="T144">
            <v>0</v>
          </cell>
          <cell r="U144">
            <v>22</v>
          </cell>
          <cell r="V144">
            <v>0</v>
          </cell>
          <cell r="W144">
            <v>3</v>
          </cell>
          <cell r="X144">
            <v>0</v>
          </cell>
          <cell r="Y144">
            <v>0</v>
          </cell>
          <cell r="Z144">
            <v>0</v>
          </cell>
          <cell r="AA144">
            <v>1</v>
          </cell>
          <cell r="AB144">
            <v>0</v>
          </cell>
          <cell r="AC144">
            <v>0</v>
          </cell>
          <cell r="AD144">
            <v>9</v>
          </cell>
          <cell r="AE144">
            <v>0</v>
          </cell>
          <cell r="AF144">
            <v>0</v>
          </cell>
          <cell r="AG144">
            <v>0</v>
          </cell>
          <cell r="AH144"/>
          <cell r="AI144">
            <v>148</v>
          </cell>
          <cell r="AJ144">
            <v>30</v>
          </cell>
          <cell r="AK144">
            <v>13</v>
          </cell>
        </row>
        <row r="145">
          <cell r="C145">
            <v>350620005</v>
          </cell>
          <cell r="D145">
            <v>8</v>
          </cell>
          <cell r="E145">
            <v>0</v>
          </cell>
          <cell r="F145">
            <v>0</v>
          </cell>
          <cell r="G145">
            <v>0</v>
          </cell>
          <cell r="H145">
            <v>2</v>
          </cell>
          <cell r="I145">
            <v>14</v>
          </cell>
          <cell r="J145">
            <v>0</v>
          </cell>
          <cell r="K145">
            <v>0</v>
          </cell>
          <cell r="L145">
            <v>2</v>
          </cell>
          <cell r="M145">
            <v>0</v>
          </cell>
          <cell r="N145">
            <v>19</v>
          </cell>
          <cell r="O145">
            <v>34</v>
          </cell>
          <cell r="P145">
            <v>0</v>
          </cell>
          <cell r="Q145">
            <v>12</v>
          </cell>
          <cell r="R145">
            <v>3</v>
          </cell>
          <cell r="S145">
            <v>27</v>
          </cell>
          <cell r="T145">
            <v>0</v>
          </cell>
          <cell r="U145">
            <v>14</v>
          </cell>
          <cell r="V145">
            <v>0</v>
          </cell>
          <cell r="W145">
            <v>4</v>
          </cell>
          <cell r="X145">
            <v>3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6</v>
          </cell>
          <cell r="AE145">
            <v>0</v>
          </cell>
          <cell r="AF145">
            <v>0</v>
          </cell>
          <cell r="AG145">
            <v>0</v>
          </cell>
          <cell r="AH145"/>
          <cell r="AI145">
            <v>148</v>
          </cell>
          <cell r="AJ145">
            <v>34</v>
          </cell>
          <cell r="AK145">
            <v>13</v>
          </cell>
        </row>
        <row r="146">
          <cell r="C146">
            <v>350620006</v>
          </cell>
          <cell r="D146">
            <v>7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3</v>
          </cell>
          <cell r="J146">
            <v>0</v>
          </cell>
          <cell r="K146">
            <v>0</v>
          </cell>
          <cell r="L146">
            <v>11</v>
          </cell>
          <cell r="M146">
            <v>0</v>
          </cell>
          <cell r="N146">
            <v>12</v>
          </cell>
          <cell r="O146">
            <v>34</v>
          </cell>
          <cell r="P146">
            <v>0</v>
          </cell>
          <cell r="Q146">
            <v>3</v>
          </cell>
          <cell r="R146">
            <v>7</v>
          </cell>
          <cell r="S146">
            <v>8</v>
          </cell>
          <cell r="T146">
            <v>0</v>
          </cell>
          <cell r="U146">
            <v>13</v>
          </cell>
          <cell r="V146">
            <v>0</v>
          </cell>
          <cell r="W146">
            <v>2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8</v>
          </cell>
          <cell r="AE146">
            <v>0</v>
          </cell>
          <cell r="AF146">
            <v>0</v>
          </cell>
          <cell r="AG146">
            <v>0</v>
          </cell>
          <cell r="AH146"/>
          <cell r="AI146">
            <v>108</v>
          </cell>
          <cell r="AJ146">
            <v>34</v>
          </cell>
          <cell r="AK146">
            <v>11</v>
          </cell>
        </row>
        <row r="147">
          <cell r="C147">
            <v>350620007</v>
          </cell>
          <cell r="D147">
            <v>2</v>
          </cell>
          <cell r="E147">
            <v>0</v>
          </cell>
          <cell r="F147">
            <v>0</v>
          </cell>
          <cell r="G147">
            <v>0</v>
          </cell>
          <cell r="H147">
            <v>1</v>
          </cell>
          <cell r="I147">
            <v>0</v>
          </cell>
          <cell r="J147">
            <v>0</v>
          </cell>
          <cell r="K147">
            <v>0</v>
          </cell>
          <cell r="L147">
            <v>5</v>
          </cell>
          <cell r="M147">
            <v>2</v>
          </cell>
          <cell r="N147">
            <v>27</v>
          </cell>
          <cell r="O147">
            <v>35</v>
          </cell>
          <cell r="P147">
            <v>0</v>
          </cell>
          <cell r="Q147">
            <v>6</v>
          </cell>
          <cell r="R147">
            <v>2</v>
          </cell>
          <cell r="S147">
            <v>5</v>
          </cell>
          <cell r="T147">
            <v>0</v>
          </cell>
          <cell r="U147">
            <v>18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15</v>
          </cell>
          <cell r="AE147">
            <v>0</v>
          </cell>
          <cell r="AF147">
            <v>0</v>
          </cell>
          <cell r="AG147">
            <v>0</v>
          </cell>
          <cell r="AH147"/>
          <cell r="AI147">
            <v>118</v>
          </cell>
          <cell r="AJ147">
            <v>35</v>
          </cell>
          <cell r="AK147">
            <v>11</v>
          </cell>
        </row>
        <row r="148">
          <cell r="C148">
            <v>350620008</v>
          </cell>
          <cell r="D148">
            <v>11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8</v>
          </cell>
          <cell r="M148">
            <v>15</v>
          </cell>
          <cell r="N148">
            <v>57</v>
          </cell>
          <cell r="O148">
            <v>20</v>
          </cell>
          <cell r="P148">
            <v>0</v>
          </cell>
          <cell r="Q148">
            <v>10</v>
          </cell>
          <cell r="R148">
            <v>5</v>
          </cell>
          <cell r="S148">
            <v>4</v>
          </cell>
          <cell r="T148">
            <v>0</v>
          </cell>
          <cell r="U148">
            <v>0</v>
          </cell>
          <cell r="V148">
            <v>0</v>
          </cell>
          <cell r="W148">
            <v>3</v>
          </cell>
          <cell r="X148">
            <v>0</v>
          </cell>
          <cell r="Y148">
            <v>0</v>
          </cell>
          <cell r="Z148">
            <v>0</v>
          </cell>
          <cell r="AA148">
            <v>2</v>
          </cell>
          <cell r="AB148">
            <v>0</v>
          </cell>
          <cell r="AC148">
            <v>0</v>
          </cell>
          <cell r="AD148">
            <v>5</v>
          </cell>
          <cell r="AE148">
            <v>0</v>
          </cell>
          <cell r="AF148">
            <v>0</v>
          </cell>
          <cell r="AG148">
            <v>0</v>
          </cell>
          <cell r="AH148"/>
          <cell r="AI148">
            <v>140</v>
          </cell>
          <cell r="AJ148">
            <v>57</v>
          </cell>
          <cell r="AK148">
            <v>11</v>
          </cell>
        </row>
        <row r="149">
          <cell r="C149">
            <v>350620009</v>
          </cell>
          <cell r="D149">
            <v>14</v>
          </cell>
          <cell r="E149">
            <v>0</v>
          </cell>
          <cell r="F149">
            <v>0</v>
          </cell>
          <cell r="G149">
            <v>0</v>
          </cell>
          <cell r="H149">
            <v>57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1</v>
          </cell>
          <cell r="O149">
            <v>26</v>
          </cell>
          <cell r="P149">
            <v>0</v>
          </cell>
          <cell r="Q149">
            <v>50</v>
          </cell>
          <cell r="R149">
            <v>0</v>
          </cell>
          <cell r="S149">
            <v>1</v>
          </cell>
          <cell r="T149">
            <v>6</v>
          </cell>
          <cell r="U149">
            <v>0</v>
          </cell>
          <cell r="V149">
            <v>4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13</v>
          </cell>
          <cell r="AE149">
            <v>0</v>
          </cell>
          <cell r="AF149">
            <v>0</v>
          </cell>
          <cell r="AG149">
            <v>0</v>
          </cell>
          <cell r="AH149"/>
          <cell r="AI149">
            <v>172</v>
          </cell>
          <cell r="AJ149">
            <v>57</v>
          </cell>
          <cell r="AK149">
            <v>9</v>
          </cell>
        </row>
        <row r="150">
          <cell r="C150">
            <v>350620010</v>
          </cell>
          <cell r="D150">
            <v>67</v>
          </cell>
          <cell r="E150">
            <v>0</v>
          </cell>
          <cell r="F150">
            <v>0</v>
          </cell>
          <cell r="G150">
            <v>0</v>
          </cell>
          <cell r="H150">
            <v>34</v>
          </cell>
          <cell r="I150">
            <v>0</v>
          </cell>
          <cell r="J150">
            <v>2</v>
          </cell>
          <cell r="K150">
            <v>0</v>
          </cell>
          <cell r="L150">
            <v>0</v>
          </cell>
          <cell r="M150">
            <v>1</v>
          </cell>
          <cell r="N150">
            <v>8</v>
          </cell>
          <cell r="O150">
            <v>24</v>
          </cell>
          <cell r="P150">
            <v>0</v>
          </cell>
          <cell r="Q150">
            <v>43</v>
          </cell>
          <cell r="R150">
            <v>3</v>
          </cell>
          <cell r="S150">
            <v>0</v>
          </cell>
          <cell r="T150">
            <v>2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11</v>
          </cell>
          <cell r="AE150">
            <v>0</v>
          </cell>
          <cell r="AF150">
            <v>0</v>
          </cell>
          <cell r="AG150">
            <v>0</v>
          </cell>
          <cell r="AH150"/>
          <cell r="AI150">
            <v>195</v>
          </cell>
          <cell r="AJ150">
            <v>67</v>
          </cell>
          <cell r="AK150">
            <v>10</v>
          </cell>
        </row>
        <row r="151">
          <cell r="C151">
            <v>350620011</v>
          </cell>
          <cell r="D151">
            <v>1</v>
          </cell>
          <cell r="E151">
            <v>0</v>
          </cell>
          <cell r="F151">
            <v>0</v>
          </cell>
          <cell r="G151">
            <v>0</v>
          </cell>
          <cell r="H151">
            <v>13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38</v>
          </cell>
          <cell r="O151">
            <v>22</v>
          </cell>
          <cell r="P151">
            <v>6</v>
          </cell>
          <cell r="Q151">
            <v>14</v>
          </cell>
          <cell r="R151">
            <v>0</v>
          </cell>
          <cell r="S151">
            <v>0</v>
          </cell>
          <cell r="T151">
            <v>5</v>
          </cell>
          <cell r="U151">
            <v>0</v>
          </cell>
          <cell r="V151">
            <v>2</v>
          </cell>
          <cell r="W151">
            <v>16</v>
          </cell>
          <cell r="X151">
            <v>0</v>
          </cell>
          <cell r="Y151">
            <v>0</v>
          </cell>
          <cell r="Z151">
            <v>0</v>
          </cell>
          <cell r="AA151">
            <v>2</v>
          </cell>
          <cell r="AB151">
            <v>0</v>
          </cell>
          <cell r="AC151">
            <v>0</v>
          </cell>
          <cell r="AD151">
            <v>32</v>
          </cell>
          <cell r="AE151">
            <v>3</v>
          </cell>
          <cell r="AF151">
            <v>0</v>
          </cell>
          <cell r="AG151">
            <v>0</v>
          </cell>
          <cell r="AH151"/>
          <cell r="AI151">
            <v>154</v>
          </cell>
          <cell r="AJ151">
            <v>38</v>
          </cell>
          <cell r="AK151">
            <v>12</v>
          </cell>
        </row>
        <row r="152">
          <cell r="C152">
            <v>350620012</v>
          </cell>
          <cell r="D152">
            <v>7</v>
          </cell>
          <cell r="E152">
            <v>0</v>
          </cell>
          <cell r="F152">
            <v>0</v>
          </cell>
          <cell r="G152">
            <v>0</v>
          </cell>
          <cell r="H152">
            <v>42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14</v>
          </cell>
          <cell r="P152">
            <v>1</v>
          </cell>
          <cell r="Q152">
            <v>51</v>
          </cell>
          <cell r="R152">
            <v>0</v>
          </cell>
          <cell r="S152">
            <v>0</v>
          </cell>
          <cell r="T152">
            <v>1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/>
          <cell r="AI152">
            <v>116</v>
          </cell>
          <cell r="AJ152">
            <v>51</v>
          </cell>
          <cell r="AK152">
            <v>6</v>
          </cell>
        </row>
        <row r="153">
          <cell r="C153">
            <v>350620013</v>
          </cell>
          <cell r="D153">
            <v>12</v>
          </cell>
          <cell r="E153">
            <v>4</v>
          </cell>
          <cell r="F153">
            <v>0</v>
          </cell>
          <cell r="G153">
            <v>0</v>
          </cell>
          <cell r="H153">
            <v>34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7</v>
          </cell>
          <cell r="O153">
            <v>17</v>
          </cell>
          <cell r="P153">
            <v>4</v>
          </cell>
          <cell r="Q153">
            <v>67</v>
          </cell>
          <cell r="R153">
            <v>0</v>
          </cell>
          <cell r="S153">
            <v>1</v>
          </cell>
          <cell r="T153">
            <v>6</v>
          </cell>
          <cell r="U153">
            <v>0</v>
          </cell>
          <cell r="V153">
            <v>2</v>
          </cell>
          <cell r="W153">
            <v>2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16</v>
          </cell>
          <cell r="AE153">
            <v>0</v>
          </cell>
          <cell r="AF153">
            <v>0</v>
          </cell>
          <cell r="AG153">
            <v>0</v>
          </cell>
          <cell r="AH153"/>
          <cell r="AI153">
            <v>172</v>
          </cell>
          <cell r="AJ153">
            <v>67</v>
          </cell>
          <cell r="AK153">
            <v>12</v>
          </cell>
        </row>
        <row r="154">
          <cell r="C154">
            <v>350620014</v>
          </cell>
          <cell r="D154">
            <v>10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8</v>
          </cell>
          <cell r="L154">
            <v>5</v>
          </cell>
          <cell r="M154">
            <v>2</v>
          </cell>
          <cell r="N154">
            <v>12</v>
          </cell>
          <cell r="O154">
            <v>10</v>
          </cell>
          <cell r="P154">
            <v>0</v>
          </cell>
          <cell r="Q154">
            <v>4</v>
          </cell>
          <cell r="R154">
            <v>0</v>
          </cell>
          <cell r="S154">
            <v>2</v>
          </cell>
          <cell r="T154">
            <v>0</v>
          </cell>
          <cell r="U154">
            <v>3</v>
          </cell>
          <cell r="V154">
            <v>0</v>
          </cell>
          <cell r="W154">
            <v>3</v>
          </cell>
          <cell r="X154">
            <v>0</v>
          </cell>
          <cell r="Y154">
            <v>0</v>
          </cell>
          <cell r="Z154">
            <v>0</v>
          </cell>
          <cell r="AA154">
            <v>2</v>
          </cell>
          <cell r="AB154">
            <v>0</v>
          </cell>
          <cell r="AC154">
            <v>0</v>
          </cell>
          <cell r="AD154">
            <v>4</v>
          </cell>
          <cell r="AE154">
            <v>0</v>
          </cell>
          <cell r="AF154">
            <v>0</v>
          </cell>
          <cell r="AG154">
            <v>0</v>
          </cell>
          <cell r="AH154"/>
          <cell r="AI154">
            <v>65</v>
          </cell>
          <cell r="AJ154">
            <v>12</v>
          </cell>
          <cell r="AK154">
            <v>12</v>
          </cell>
        </row>
        <row r="155">
          <cell r="C155">
            <v>350620015</v>
          </cell>
          <cell r="D155">
            <v>3</v>
          </cell>
          <cell r="E155">
            <v>0</v>
          </cell>
          <cell r="F155">
            <v>0</v>
          </cell>
          <cell r="G155">
            <v>0</v>
          </cell>
          <cell r="H155">
            <v>1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2</v>
          </cell>
          <cell r="N155">
            <v>4</v>
          </cell>
          <cell r="O155">
            <v>16</v>
          </cell>
          <cell r="P155">
            <v>12</v>
          </cell>
          <cell r="Q155">
            <v>22</v>
          </cell>
          <cell r="R155">
            <v>0</v>
          </cell>
          <cell r="S155">
            <v>0</v>
          </cell>
          <cell r="T155">
            <v>0</v>
          </cell>
          <cell r="U155">
            <v>2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</v>
          </cell>
          <cell r="AE155">
            <v>0</v>
          </cell>
          <cell r="AF155">
            <v>0</v>
          </cell>
          <cell r="AG155">
            <v>0</v>
          </cell>
          <cell r="AH155"/>
          <cell r="AI155">
            <v>63</v>
          </cell>
          <cell r="AJ155">
            <v>22</v>
          </cell>
          <cell r="AK155">
            <v>9</v>
          </cell>
        </row>
        <row r="156">
          <cell r="C156">
            <v>350620016</v>
          </cell>
          <cell r="D156">
            <v>4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</v>
          </cell>
          <cell r="L156">
            <v>0</v>
          </cell>
          <cell r="M156">
            <v>3</v>
          </cell>
          <cell r="N156">
            <v>0</v>
          </cell>
          <cell r="O156">
            <v>8</v>
          </cell>
          <cell r="P156">
            <v>31</v>
          </cell>
          <cell r="Q156">
            <v>25</v>
          </cell>
          <cell r="R156">
            <v>0</v>
          </cell>
          <cell r="S156">
            <v>4</v>
          </cell>
          <cell r="T156">
            <v>0</v>
          </cell>
          <cell r="U156">
            <v>0</v>
          </cell>
          <cell r="V156">
            <v>2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2</v>
          </cell>
          <cell r="AE156">
            <v>0</v>
          </cell>
          <cell r="AF156">
            <v>0</v>
          </cell>
          <cell r="AG156">
            <v>0</v>
          </cell>
          <cell r="AH156"/>
          <cell r="AI156">
            <v>80</v>
          </cell>
          <cell r="AJ156">
            <v>31</v>
          </cell>
          <cell r="AK156">
            <v>9</v>
          </cell>
        </row>
        <row r="157">
          <cell r="C157">
            <v>350620017</v>
          </cell>
          <cell r="D157">
            <v>11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4</v>
          </cell>
          <cell r="M157">
            <v>0</v>
          </cell>
          <cell r="N157">
            <v>0</v>
          </cell>
          <cell r="O157">
            <v>7</v>
          </cell>
          <cell r="P157">
            <v>4</v>
          </cell>
          <cell r="Q157">
            <v>32</v>
          </cell>
          <cell r="R157">
            <v>0</v>
          </cell>
          <cell r="S157">
            <v>3</v>
          </cell>
          <cell r="T157">
            <v>0</v>
          </cell>
          <cell r="U157">
            <v>41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</v>
          </cell>
          <cell r="AB157">
            <v>0</v>
          </cell>
          <cell r="AC157">
            <v>0</v>
          </cell>
          <cell r="AD157">
            <v>1</v>
          </cell>
          <cell r="AE157">
            <v>0</v>
          </cell>
          <cell r="AF157">
            <v>0</v>
          </cell>
          <cell r="AG157">
            <v>0</v>
          </cell>
          <cell r="AH157"/>
          <cell r="AI157">
            <v>104</v>
          </cell>
          <cell r="AJ157">
            <v>41</v>
          </cell>
          <cell r="AK157">
            <v>9</v>
          </cell>
        </row>
        <row r="158">
          <cell r="C158">
            <v>350620018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9</v>
          </cell>
          <cell r="I158">
            <v>0</v>
          </cell>
          <cell r="J158">
            <v>0</v>
          </cell>
          <cell r="K158">
            <v>0</v>
          </cell>
          <cell r="L158">
            <v>7</v>
          </cell>
          <cell r="M158">
            <v>0</v>
          </cell>
          <cell r="N158">
            <v>5</v>
          </cell>
          <cell r="O158">
            <v>13</v>
          </cell>
          <cell r="P158">
            <v>0</v>
          </cell>
          <cell r="Q158">
            <v>15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/>
          <cell r="AI158">
            <v>54</v>
          </cell>
          <cell r="AJ158">
            <v>15</v>
          </cell>
          <cell r="AK158">
            <v>6</v>
          </cell>
        </row>
        <row r="159"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9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23</v>
          </cell>
          <cell r="P159">
            <v>27</v>
          </cell>
          <cell r="Q159">
            <v>19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14</v>
          </cell>
          <cell r="AE159">
            <v>0</v>
          </cell>
          <cell r="AF159">
            <v>0</v>
          </cell>
          <cell r="AG159">
            <v>0</v>
          </cell>
          <cell r="AH159"/>
          <cell r="AI159">
            <v>92</v>
          </cell>
          <cell r="AJ159">
            <v>27</v>
          </cell>
          <cell r="AK159">
            <v>5</v>
          </cell>
        </row>
        <row r="160">
          <cell r="C160">
            <v>350620020</v>
          </cell>
          <cell r="D160">
            <v>5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6</v>
          </cell>
          <cell r="M160">
            <v>0</v>
          </cell>
          <cell r="N160">
            <v>0</v>
          </cell>
          <cell r="O160">
            <v>20</v>
          </cell>
          <cell r="P160">
            <v>0</v>
          </cell>
          <cell r="Q160">
            <v>2</v>
          </cell>
          <cell r="R160">
            <v>10</v>
          </cell>
          <cell r="S160">
            <v>21</v>
          </cell>
          <cell r="T160">
            <v>0</v>
          </cell>
          <cell r="U160">
            <v>0</v>
          </cell>
          <cell r="V160">
            <v>0</v>
          </cell>
          <cell r="W160">
            <v>7</v>
          </cell>
          <cell r="X160">
            <v>0</v>
          </cell>
          <cell r="Y160">
            <v>0</v>
          </cell>
          <cell r="Z160">
            <v>0</v>
          </cell>
          <cell r="AA160">
            <v>3</v>
          </cell>
          <cell r="AB160">
            <v>0</v>
          </cell>
          <cell r="AC160">
            <v>0</v>
          </cell>
          <cell r="AD160">
            <v>11</v>
          </cell>
          <cell r="AE160">
            <v>0</v>
          </cell>
          <cell r="AF160">
            <v>0</v>
          </cell>
          <cell r="AG160">
            <v>0</v>
          </cell>
          <cell r="AH160"/>
          <cell r="AI160">
            <v>85</v>
          </cell>
          <cell r="AJ160">
            <v>21</v>
          </cell>
          <cell r="AK160">
            <v>9</v>
          </cell>
        </row>
        <row r="161">
          <cell r="C161">
            <v>350621001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5</v>
          </cell>
          <cell r="I161">
            <v>2</v>
          </cell>
          <cell r="J161">
            <v>3</v>
          </cell>
          <cell r="K161">
            <v>11</v>
          </cell>
          <cell r="L161">
            <v>8</v>
          </cell>
          <cell r="M161">
            <v>4</v>
          </cell>
          <cell r="N161">
            <v>4</v>
          </cell>
          <cell r="O161">
            <v>54</v>
          </cell>
          <cell r="P161">
            <v>2</v>
          </cell>
          <cell r="Q161">
            <v>0</v>
          </cell>
          <cell r="R161">
            <v>0</v>
          </cell>
          <cell r="S161">
            <v>21</v>
          </cell>
          <cell r="T161">
            <v>35</v>
          </cell>
          <cell r="U161">
            <v>53</v>
          </cell>
          <cell r="V161">
            <v>0</v>
          </cell>
          <cell r="W161">
            <v>7</v>
          </cell>
          <cell r="X161">
            <v>0</v>
          </cell>
          <cell r="Y161">
            <v>0</v>
          </cell>
          <cell r="Z161">
            <v>0</v>
          </cell>
          <cell r="AA161">
            <v>33</v>
          </cell>
          <cell r="AB161">
            <v>0</v>
          </cell>
          <cell r="AC161">
            <v>0</v>
          </cell>
          <cell r="AD161">
            <v>14</v>
          </cell>
          <cell r="AE161">
            <v>0</v>
          </cell>
          <cell r="AF161">
            <v>0</v>
          </cell>
          <cell r="AG161">
            <v>0</v>
          </cell>
          <cell r="AH161"/>
          <cell r="AI161">
            <v>256</v>
          </cell>
          <cell r="AJ161">
            <v>54</v>
          </cell>
          <cell r="AK161">
            <v>15</v>
          </cell>
        </row>
        <row r="162">
          <cell r="C162">
            <v>350621002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5</v>
          </cell>
          <cell r="I162">
            <v>2</v>
          </cell>
          <cell r="J162">
            <v>6</v>
          </cell>
          <cell r="K162">
            <v>0</v>
          </cell>
          <cell r="L162">
            <v>6</v>
          </cell>
          <cell r="M162">
            <v>0</v>
          </cell>
          <cell r="N162">
            <v>45</v>
          </cell>
          <cell r="O162">
            <v>3</v>
          </cell>
          <cell r="P162">
            <v>30</v>
          </cell>
          <cell r="Q162">
            <v>3.5</v>
          </cell>
          <cell r="R162">
            <v>13</v>
          </cell>
          <cell r="S162">
            <v>8</v>
          </cell>
          <cell r="T162">
            <v>2</v>
          </cell>
          <cell r="U162">
            <v>5</v>
          </cell>
          <cell r="V162">
            <v>0</v>
          </cell>
          <cell r="W162">
            <v>23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1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/>
          <cell r="AI162">
            <v>173.5</v>
          </cell>
          <cell r="AJ162">
            <v>45</v>
          </cell>
          <cell r="AK162">
            <v>15</v>
          </cell>
        </row>
        <row r="163">
          <cell r="C163">
            <v>350621003</v>
          </cell>
          <cell r="D163">
            <v>25</v>
          </cell>
          <cell r="E163">
            <v>0</v>
          </cell>
          <cell r="F163">
            <v>43</v>
          </cell>
          <cell r="G163">
            <v>10</v>
          </cell>
          <cell r="H163">
            <v>0</v>
          </cell>
          <cell r="I163">
            <v>5</v>
          </cell>
          <cell r="J163">
            <v>0</v>
          </cell>
          <cell r="K163">
            <v>0</v>
          </cell>
          <cell r="L163">
            <v>0</v>
          </cell>
          <cell r="M163">
            <v>5.5</v>
          </cell>
          <cell r="N163">
            <v>9</v>
          </cell>
          <cell r="O163">
            <v>69</v>
          </cell>
          <cell r="P163">
            <v>0</v>
          </cell>
          <cell r="Q163">
            <v>0</v>
          </cell>
          <cell r="R163">
            <v>0</v>
          </cell>
          <cell r="S163">
            <v>9.5</v>
          </cell>
          <cell r="T163">
            <v>0</v>
          </cell>
          <cell r="U163">
            <v>39</v>
          </cell>
          <cell r="V163">
            <v>2</v>
          </cell>
          <cell r="W163">
            <v>2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24</v>
          </cell>
          <cell r="AE163">
            <v>0</v>
          </cell>
          <cell r="AF163">
            <v>0</v>
          </cell>
          <cell r="AG163">
            <v>0</v>
          </cell>
          <cell r="AH163"/>
          <cell r="AI163">
            <v>243</v>
          </cell>
          <cell r="AJ163">
            <v>69</v>
          </cell>
          <cell r="AK163">
            <v>12</v>
          </cell>
        </row>
        <row r="164">
          <cell r="C164">
            <v>350621004</v>
          </cell>
          <cell r="D164">
            <v>22</v>
          </cell>
          <cell r="E164">
            <v>26</v>
          </cell>
          <cell r="F164">
            <v>0</v>
          </cell>
          <cell r="G164">
            <v>0</v>
          </cell>
          <cell r="H164">
            <v>6</v>
          </cell>
          <cell r="I164">
            <v>4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12</v>
          </cell>
          <cell r="O164">
            <v>67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11</v>
          </cell>
          <cell r="U164">
            <v>74</v>
          </cell>
          <cell r="V164">
            <v>0</v>
          </cell>
          <cell r="W164">
            <v>3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60</v>
          </cell>
          <cell r="AE164">
            <v>0</v>
          </cell>
          <cell r="AF164">
            <v>0</v>
          </cell>
          <cell r="AG164">
            <v>0</v>
          </cell>
          <cell r="AH164"/>
          <cell r="AI164">
            <v>285</v>
          </cell>
          <cell r="AJ164">
            <v>74</v>
          </cell>
          <cell r="AK164">
            <v>10</v>
          </cell>
        </row>
        <row r="165">
          <cell r="C165">
            <v>350621005</v>
          </cell>
          <cell r="D165">
            <v>0</v>
          </cell>
          <cell r="E165">
            <v>0</v>
          </cell>
          <cell r="F165">
            <v>7</v>
          </cell>
          <cell r="G165">
            <v>2</v>
          </cell>
          <cell r="H165">
            <v>0</v>
          </cell>
          <cell r="I165">
            <v>12</v>
          </cell>
          <cell r="J165">
            <v>0</v>
          </cell>
          <cell r="K165">
            <v>0</v>
          </cell>
          <cell r="L165">
            <v>0</v>
          </cell>
          <cell r="M165">
            <v>15</v>
          </cell>
          <cell r="N165">
            <v>4</v>
          </cell>
          <cell r="O165">
            <v>18</v>
          </cell>
          <cell r="P165">
            <v>2</v>
          </cell>
          <cell r="Q165">
            <v>2</v>
          </cell>
          <cell r="R165">
            <v>1</v>
          </cell>
          <cell r="S165">
            <v>17</v>
          </cell>
          <cell r="T165">
            <v>14</v>
          </cell>
          <cell r="U165">
            <v>26</v>
          </cell>
          <cell r="V165">
            <v>0</v>
          </cell>
          <cell r="W165">
            <v>45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15</v>
          </cell>
          <cell r="AE165">
            <v>0</v>
          </cell>
          <cell r="AF165">
            <v>0</v>
          </cell>
          <cell r="AG165">
            <v>0</v>
          </cell>
          <cell r="AH165"/>
          <cell r="AI165">
            <v>180</v>
          </cell>
          <cell r="AJ165">
            <v>45</v>
          </cell>
          <cell r="AK165">
            <v>14</v>
          </cell>
        </row>
        <row r="166">
          <cell r="C166">
            <v>350621006</v>
          </cell>
          <cell r="D166">
            <v>0</v>
          </cell>
          <cell r="E166">
            <v>0</v>
          </cell>
          <cell r="F166">
            <v>0</v>
          </cell>
          <cell r="G166">
            <v>10</v>
          </cell>
          <cell r="H166">
            <v>9</v>
          </cell>
          <cell r="I166">
            <v>0</v>
          </cell>
          <cell r="J166">
            <v>9</v>
          </cell>
          <cell r="K166">
            <v>0</v>
          </cell>
          <cell r="L166">
            <v>6</v>
          </cell>
          <cell r="M166">
            <v>23</v>
          </cell>
          <cell r="N166">
            <v>0</v>
          </cell>
          <cell r="O166">
            <v>56</v>
          </cell>
          <cell r="P166">
            <v>18</v>
          </cell>
          <cell r="Q166">
            <v>0</v>
          </cell>
          <cell r="R166">
            <v>0</v>
          </cell>
          <cell r="S166">
            <v>30</v>
          </cell>
          <cell r="T166">
            <v>8</v>
          </cell>
          <cell r="U166">
            <v>15</v>
          </cell>
          <cell r="V166">
            <v>0</v>
          </cell>
          <cell r="W166">
            <v>9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45</v>
          </cell>
          <cell r="AE166">
            <v>0</v>
          </cell>
          <cell r="AF166">
            <v>0</v>
          </cell>
          <cell r="AG166">
            <v>0</v>
          </cell>
          <cell r="AH166"/>
          <cell r="AI166">
            <v>238</v>
          </cell>
          <cell r="AJ166">
            <v>56</v>
          </cell>
          <cell r="AK166">
            <v>12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6</v>
          </cell>
          <cell r="G167">
            <v>12</v>
          </cell>
          <cell r="H167">
            <v>18</v>
          </cell>
          <cell r="I167">
            <v>7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21</v>
          </cell>
          <cell r="P167">
            <v>17</v>
          </cell>
          <cell r="Q167">
            <v>0</v>
          </cell>
          <cell r="R167">
            <v>0</v>
          </cell>
          <cell r="S167">
            <v>2</v>
          </cell>
          <cell r="T167">
            <v>0</v>
          </cell>
          <cell r="U167">
            <v>0</v>
          </cell>
          <cell r="V167">
            <v>3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4</v>
          </cell>
          <cell r="AE167">
            <v>0</v>
          </cell>
          <cell r="AF167">
            <v>0</v>
          </cell>
          <cell r="AG167">
            <v>0</v>
          </cell>
          <cell r="AH167"/>
          <cell r="AI167">
            <v>90</v>
          </cell>
          <cell r="AJ167">
            <v>21</v>
          </cell>
          <cell r="AK167">
            <v>9</v>
          </cell>
        </row>
        <row r="168">
          <cell r="C168">
            <v>350621008</v>
          </cell>
          <cell r="D168">
            <v>5</v>
          </cell>
          <cell r="E168">
            <v>0</v>
          </cell>
          <cell r="F168">
            <v>0</v>
          </cell>
          <cell r="G168">
            <v>64</v>
          </cell>
          <cell r="H168">
            <v>7</v>
          </cell>
          <cell r="I168">
            <v>26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11</v>
          </cell>
          <cell r="O168">
            <v>82</v>
          </cell>
          <cell r="P168">
            <v>13</v>
          </cell>
          <cell r="Q168">
            <v>11</v>
          </cell>
          <cell r="R168">
            <v>0</v>
          </cell>
          <cell r="S168">
            <v>5</v>
          </cell>
          <cell r="T168">
            <v>23</v>
          </cell>
          <cell r="U168">
            <v>4</v>
          </cell>
          <cell r="V168">
            <v>0</v>
          </cell>
          <cell r="W168">
            <v>4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24</v>
          </cell>
          <cell r="AE168">
            <v>0</v>
          </cell>
          <cell r="AF168">
            <v>0</v>
          </cell>
          <cell r="AG168">
            <v>0</v>
          </cell>
          <cell r="AH168"/>
          <cell r="AI168">
            <v>279</v>
          </cell>
          <cell r="AJ168">
            <v>82</v>
          </cell>
          <cell r="AK168">
            <v>13</v>
          </cell>
        </row>
        <row r="169">
          <cell r="C169">
            <v>350621009</v>
          </cell>
          <cell r="D169">
            <v>0</v>
          </cell>
          <cell r="E169">
            <v>0</v>
          </cell>
          <cell r="F169">
            <v>0</v>
          </cell>
          <cell r="G169">
            <v>32</v>
          </cell>
          <cell r="H169">
            <v>8</v>
          </cell>
          <cell r="I169">
            <v>8</v>
          </cell>
          <cell r="J169">
            <v>1</v>
          </cell>
          <cell r="K169">
            <v>0</v>
          </cell>
          <cell r="L169">
            <v>8</v>
          </cell>
          <cell r="M169">
            <v>0</v>
          </cell>
          <cell r="N169">
            <v>0</v>
          </cell>
          <cell r="O169">
            <v>32</v>
          </cell>
          <cell r="P169">
            <v>7</v>
          </cell>
          <cell r="Q169">
            <v>1</v>
          </cell>
          <cell r="R169">
            <v>9</v>
          </cell>
          <cell r="S169">
            <v>6</v>
          </cell>
          <cell r="T169">
            <v>2</v>
          </cell>
          <cell r="U169">
            <v>1</v>
          </cell>
          <cell r="V169">
            <v>0</v>
          </cell>
          <cell r="W169">
            <v>10</v>
          </cell>
          <cell r="X169">
            <v>0</v>
          </cell>
          <cell r="Y169">
            <v>0</v>
          </cell>
          <cell r="Z169">
            <v>0</v>
          </cell>
          <cell r="AA169">
            <v>2</v>
          </cell>
          <cell r="AB169">
            <v>0</v>
          </cell>
          <cell r="AC169">
            <v>0</v>
          </cell>
          <cell r="AD169">
            <v>12</v>
          </cell>
          <cell r="AE169">
            <v>0</v>
          </cell>
          <cell r="AF169">
            <v>0</v>
          </cell>
          <cell r="AG169">
            <v>0</v>
          </cell>
          <cell r="AH169"/>
          <cell r="AI169">
            <v>139</v>
          </cell>
          <cell r="AJ169">
            <v>32</v>
          </cell>
          <cell r="AK169">
            <v>15</v>
          </cell>
        </row>
        <row r="170">
          <cell r="C170">
            <v>350621010</v>
          </cell>
          <cell r="D170">
            <v>8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14</v>
          </cell>
          <cell r="K170">
            <v>0</v>
          </cell>
          <cell r="L170">
            <v>9</v>
          </cell>
          <cell r="M170">
            <v>0</v>
          </cell>
          <cell r="N170">
            <v>0</v>
          </cell>
          <cell r="O170">
            <v>18</v>
          </cell>
          <cell r="P170">
            <v>6</v>
          </cell>
          <cell r="Q170">
            <v>13</v>
          </cell>
          <cell r="R170">
            <v>0</v>
          </cell>
          <cell r="S170">
            <v>7</v>
          </cell>
          <cell r="T170">
            <v>0</v>
          </cell>
          <cell r="U170">
            <v>35</v>
          </cell>
          <cell r="V170">
            <v>0</v>
          </cell>
          <cell r="W170">
            <v>7</v>
          </cell>
          <cell r="X170">
            <v>0</v>
          </cell>
          <cell r="Y170">
            <v>3</v>
          </cell>
          <cell r="Z170">
            <v>0</v>
          </cell>
          <cell r="AA170">
            <v>0</v>
          </cell>
          <cell r="AB170">
            <v>14</v>
          </cell>
          <cell r="AC170">
            <v>0</v>
          </cell>
          <cell r="AD170">
            <v>19</v>
          </cell>
          <cell r="AE170">
            <v>0</v>
          </cell>
          <cell r="AF170">
            <v>0</v>
          </cell>
          <cell r="AG170">
            <v>0</v>
          </cell>
          <cell r="AH170"/>
          <cell r="AI170">
            <v>153</v>
          </cell>
          <cell r="AJ170">
            <v>35</v>
          </cell>
          <cell r="AK170">
            <v>12</v>
          </cell>
        </row>
        <row r="171">
          <cell r="C171">
            <v>350621011</v>
          </cell>
          <cell r="D171">
            <v>0</v>
          </cell>
          <cell r="E171">
            <v>0</v>
          </cell>
          <cell r="F171">
            <v>0</v>
          </cell>
          <cell r="G171">
            <v>6</v>
          </cell>
          <cell r="H171">
            <v>4</v>
          </cell>
          <cell r="I171">
            <v>0</v>
          </cell>
          <cell r="J171">
            <v>0</v>
          </cell>
          <cell r="K171">
            <v>0</v>
          </cell>
          <cell r="L171">
            <v>7</v>
          </cell>
          <cell r="M171">
            <v>0</v>
          </cell>
          <cell r="N171">
            <v>48</v>
          </cell>
          <cell r="O171">
            <v>6</v>
          </cell>
          <cell r="P171">
            <v>14</v>
          </cell>
          <cell r="Q171">
            <v>0</v>
          </cell>
          <cell r="R171">
            <v>0</v>
          </cell>
          <cell r="S171">
            <v>5</v>
          </cell>
          <cell r="T171">
            <v>2</v>
          </cell>
          <cell r="U171">
            <v>3</v>
          </cell>
          <cell r="V171">
            <v>0</v>
          </cell>
          <cell r="W171">
            <v>38</v>
          </cell>
          <cell r="X171">
            <v>0</v>
          </cell>
          <cell r="Y171">
            <v>0</v>
          </cell>
          <cell r="Z171">
            <v>6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/>
          <cell r="AI171">
            <v>139</v>
          </cell>
          <cell r="AJ171">
            <v>48</v>
          </cell>
          <cell r="AK171">
            <v>11</v>
          </cell>
        </row>
        <row r="172">
          <cell r="C172">
            <v>350621012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6</v>
          </cell>
          <cell r="I172">
            <v>2</v>
          </cell>
          <cell r="J172">
            <v>3.5</v>
          </cell>
          <cell r="K172">
            <v>0</v>
          </cell>
          <cell r="L172">
            <v>5</v>
          </cell>
          <cell r="M172">
            <v>0</v>
          </cell>
          <cell r="N172">
            <v>54</v>
          </cell>
          <cell r="O172">
            <v>4</v>
          </cell>
          <cell r="P172">
            <v>12</v>
          </cell>
          <cell r="Q172">
            <v>1</v>
          </cell>
          <cell r="R172">
            <v>0</v>
          </cell>
          <cell r="S172">
            <v>4</v>
          </cell>
          <cell r="T172">
            <v>1</v>
          </cell>
          <cell r="U172">
            <v>4</v>
          </cell>
          <cell r="V172">
            <v>0</v>
          </cell>
          <cell r="W172">
            <v>40</v>
          </cell>
          <cell r="X172">
            <v>0</v>
          </cell>
          <cell r="Y172">
            <v>0</v>
          </cell>
          <cell r="Z172">
            <v>0</v>
          </cell>
          <cell r="AA172">
            <v>9</v>
          </cell>
          <cell r="AB172">
            <v>0.5</v>
          </cell>
          <cell r="AC172">
            <v>0</v>
          </cell>
          <cell r="AD172">
            <v>3.5</v>
          </cell>
          <cell r="AE172">
            <v>0</v>
          </cell>
          <cell r="AF172">
            <v>0</v>
          </cell>
          <cell r="AG172">
            <v>0</v>
          </cell>
          <cell r="AH172"/>
          <cell r="AI172">
            <v>149.5</v>
          </cell>
          <cell r="AJ172">
            <v>54</v>
          </cell>
          <cell r="AK172">
            <v>15</v>
          </cell>
        </row>
        <row r="173">
          <cell r="C173">
            <v>350621013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2</v>
          </cell>
          <cell r="I173">
            <v>1.8</v>
          </cell>
          <cell r="J173">
            <v>6.2</v>
          </cell>
          <cell r="K173">
            <v>0</v>
          </cell>
          <cell r="L173">
            <v>26.3</v>
          </cell>
          <cell r="M173">
            <v>0</v>
          </cell>
          <cell r="N173">
            <v>11</v>
          </cell>
          <cell r="O173">
            <v>10.199999999999999</v>
          </cell>
          <cell r="P173">
            <v>9</v>
          </cell>
          <cell r="Q173">
            <v>2.2000000000000002</v>
          </cell>
          <cell r="R173">
            <v>0</v>
          </cell>
          <cell r="S173">
            <v>6.4</v>
          </cell>
          <cell r="T173">
            <v>0</v>
          </cell>
          <cell r="U173">
            <v>2.8</v>
          </cell>
          <cell r="V173">
            <v>0</v>
          </cell>
          <cell r="W173">
            <v>26.1</v>
          </cell>
          <cell r="X173">
            <v>0</v>
          </cell>
          <cell r="Y173">
            <v>0</v>
          </cell>
          <cell r="Z173">
            <v>0</v>
          </cell>
          <cell r="AA173">
            <v>11.6</v>
          </cell>
          <cell r="AB173">
            <v>0</v>
          </cell>
          <cell r="AC173">
            <v>0</v>
          </cell>
          <cell r="AD173">
            <v>7</v>
          </cell>
          <cell r="AE173">
            <v>0</v>
          </cell>
          <cell r="AF173">
            <v>0</v>
          </cell>
          <cell r="AG173">
            <v>0</v>
          </cell>
          <cell r="AH173"/>
          <cell r="AI173">
            <v>122.6</v>
          </cell>
          <cell r="AJ173">
            <v>26.3</v>
          </cell>
          <cell r="AK173">
            <v>13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9</v>
          </cell>
          <cell r="J174">
            <v>12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14</v>
          </cell>
          <cell r="P174">
            <v>0</v>
          </cell>
          <cell r="Q174">
            <v>8</v>
          </cell>
          <cell r="R174">
            <v>0</v>
          </cell>
          <cell r="S174">
            <v>0</v>
          </cell>
          <cell r="T174">
            <v>0</v>
          </cell>
          <cell r="U174">
            <v>22</v>
          </cell>
          <cell r="V174">
            <v>0</v>
          </cell>
          <cell r="W174">
            <v>12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/>
          <cell r="AI174">
            <v>77</v>
          </cell>
          <cell r="AJ174">
            <v>22</v>
          </cell>
          <cell r="AK174">
            <v>6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1</v>
          </cell>
          <cell r="I175">
            <v>4</v>
          </cell>
          <cell r="J175">
            <v>26</v>
          </cell>
          <cell r="K175">
            <v>0</v>
          </cell>
          <cell r="L175">
            <v>0</v>
          </cell>
          <cell r="M175">
            <v>3</v>
          </cell>
          <cell r="N175">
            <v>0</v>
          </cell>
          <cell r="O175">
            <v>1</v>
          </cell>
          <cell r="P175">
            <v>12</v>
          </cell>
          <cell r="Q175">
            <v>10</v>
          </cell>
          <cell r="R175">
            <v>0</v>
          </cell>
          <cell r="S175">
            <v>22</v>
          </cell>
          <cell r="T175">
            <v>0</v>
          </cell>
          <cell r="U175">
            <v>2</v>
          </cell>
          <cell r="V175">
            <v>5</v>
          </cell>
          <cell r="W175">
            <v>25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10</v>
          </cell>
          <cell r="AE175">
            <v>0</v>
          </cell>
          <cell r="AF175">
            <v>0</v>
          </cell>
          <cell r="AG175">
            <v>0</v>
          </cell>
          <cell r="AH175"/>
          <cell r="AI175">
            <v>121</v>
          </cell>
          <cell r="AJ175">
            <v>26</v>
          </cell>
          <cell r="AK175">
            <v>12</v>
          </cell>
        </row>
        <row r="176">
          <cell r="C176">
            <v>350621016</v>
          </cell>
          <cell r="D176">
            <v>4</v>
          </cell>
          <cell r="E176">
            <v>0</v>
          </cell>
          <cell r="F176">
            <v>0</v>
          </cell>
          <cell r="G176">
            <v>0</v>
          </cell>
          <cell r="H176">
            <v>26</v>
          </cell>
          <cell r="I176">
            <v>0</v>
          </cell>
          <cell r="J176">
            <v>27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54</v>
          </cell>
          <cell r="P176">
            <v>0</v>
          </cell>
          <cell r="Q176">
            <v>0</v>
          </cell>
          <cell r="R176">
            <v>0</v>
          </cell>
          <cell r="S176">
            <v>4</v>
          </cell>
          <cell r="T176">
            <v>0</v>
          </cell>
          <cell r="U176">
            <v>0</v>
          </cell>
          <cell r="V176">
            <v>0</v>
          </cell>
          <cell r="W176">
            <v>19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15</v>
          </cell>
          <cell r="AE176">
            <v>0</v>
          </cell>
          <cell r="AF176">
            <v>0</v>
          </cell>
          <cell r="AG176">
            <v>0</v>
          </cell>
          <cell r="AH176"/>
          <cell r="AI176">
            <v>149</v>
          </cell>
          <cell r="AJ176">
            <v>54</v>
          </cell>
          <cell r="AK176">
            <v>7</v>
          </cell>
        </row>
        <row r="177">
          <cell r="C177">
            <v>350621017</v>
          </cell>
          <cell r="D177">
            <v>11</v>
          </cell>
          <cell r="E177">
            <v>0</v>
          </cell>
          <cell r="F177">
            <v>35</v>
          </cell>
          <cell r="G177">
            <v>18</v>
          </cell>
          <cell r="H177">
            <v>0</v>
          </cell>
          <cell r="I177">
            <v>4</v>
          </cell>
          <cell r="J177">
            <v>0</v>
          </cell>
          <cell r="K177">
            <v>0</v>
          </cell>
          <cell r="L177">
            <v>0</v>
          </cell>
          <cell r="M177">
            <v>3</v>
          </cell>
          <cell r="N177">
            <v>6</v>
          </cell>
          <cell r="O177">
            <v>24</v>
          </cell>
          <cell r="P177">
            <v>0</v>
          </cell>
          <cell r="Q177">
            <v>0</v>
          </cell>
          <cell r="R177">
            <v>0</v>
          </cell>
          <cell r="S177">
            <v>9</v>
          </cell>
          <cell r="T177">
            <v>0</v>
          </cell>
          <cell r="U177">
            <v>31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27</v>
          </cell>
          <cell r="AE177">
            <v>0</v>
          </cell>
          <cell r="AF177">
            <v>0</v>
          </cell>
          <cell r="AG177">
            <v>0</v>
          </cell>
          <cell r="AH177"/>
          <cell r="AI177">
            <v>168</v>
          </cell>
          <cell r="AJ177">
            <v>35</v>
          </cell>
          <cell r="AK177">
            <v>10</v>
          </cell>
        </row>
        <row r="178">
          <cell r="C178">
            <v>350621018</v>
          </cell>
          <cell r="D178">
            <v>0</v>
          </cell>
          <cell r="E178">
            <v>0</v>
          </cell>
          <cell r="F178">
            <v>0</v>
          </cell>
          <cell r="G178">
            <v>29.2</v>
          </cell>
          <cell r="H178">
            <v>5</v>
          </cell>
          <cell r="I178">
            <v>18</v>
          </cell>
          <cell r="J178">
            <v>0</v>
          </cell>
          <cell r="K178">
            <v>0</v>
          </cell>
          <cell r="L178">
            <v>1</v>
          </cell>
          <cell r="M178">
            <v>10</v>
          </cell>
          <cell r="N178">
            <v>0</v>
          </cell>
          <cell r="O178">
            <v>30</v>
          </cell>
          <cell r="P178">
            <v>1</v>
          </cell>
          <cell r="Q178">
            <v>0</v>
          </cell>
          <cell r="R178">
            <v>0</v>
          </cell>
          <cell r="S178">
            <v>1.5</v>
          </cell>
          <cell r="T178">
            <v>3</v>
          </cell>
          <cell r="U178">
            <v>2.9</v>
          </cell>
          <cell r="V178">
            <v>0</v>
          </cell>
          <cell r="W178">
            <v>2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6.4</v>
          </cell>
          <cell r="AE178">
            <v>0</v>
          </cell>
          <cell r="AF178">
            <v>0</v>
          </cell>
          <cell r="AG178">
            <v>0</v>
          </cell>
          <cell r="AH178"/>
          <cell r="AI178">
            <v>110.00000000000001</v>
          </cell>
          <cell r="AJ178">
            <v>30</v>
          </cell>
          <cell r="AK178">
            <v>12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0</v>
          </cell>
          <cell r="G179">
            <v>11</v>
          </cell>
          <cell r="H179">
            <v>4</v>
          </cell>
          <cell r="I179">
            <v>0</v>
          </cell>
          <cell r="J179">
            <v>2</v>
          </cell>
          <cell r="K179">
            <v>0</v>
          </cell>
          <cell r="L179">
            <v>7</v>
          </cell>
          <cell r="M179">
            <v>0</v>
          </cell>
          <cell r="N179">
            <v>18</v>
          </cell>
          <cell r="O179">
            <v>8</v>
          </cell>
          <cell r="P179">
            <v>12</v>
          </cell>
          <cell r="Q179">
            <v>16</v>
          </cell>
          <cell r="R179">
            <v>4</v>
          </cell>
          <cell r="S179">
            <v>0</v>
          </cell>
          <cell r="T179">
            <v>2</v>
          </cell>
          <cell r="U179">
            <v>0</v>
          </cell>
          <cell r="V179">
            <v>0</v>
          </cell>
          <cell r="W179">
            <v>16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14</v>
          </cell>
          <cell r="AE179">
            <v>0</v>
          </cell>
          <cell r="AF179">
            <v>0</v>
          </cell>
          <cell r="AG179">
            <v>0</v>
          </cell>
          <cell r="AH179"/>
          <cell r="AI179">
            <v>114</v>
          </cell>
          <cell r="AJ179">
            <v>18</v>
          </cell>
          <cell r="AK179">
            <v>12</v>
          </cell>
        </row>
        <row r="180">
          <cell r="C180">
            <v>350621020</v>
          </cell>
          <cell r="D180">
            <v>0</v>
          </cell>
          <cell r="E180">
            <v>0</v>
          </cell>
          <cell r="F180">
            <v>0</v>
          </cell>
          <cell r="G180">
            <v>25</v>
          </cell>
          <cell r="H180">
            <v>14</v>
          </cell>
          <cell r="I180">
            <v>10</v>
          </cell>
          <cell r="J180">
            <v>20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25</v>
          </cell>
          <cell r="P180">
            <v>9</v>
          </cell>
          <cell r="Q180">
            <v>5</v>
          </cell>
          <cell r="R180">
            <v>0</v>
          </cell>
          <cell r="S180">
            <v>11</v>
          </cell>
          <cell r="T180">
            <v>5</v>
          </cell>
          <cell r="U180">
            <v>3</v>
          </cell>
          <cell r="V180">
            <v>0</v>
          </cell>
          <cell r="W180">
            <v>22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7</v>
          </cell>
          <cell r="AE180">
            <v>0</v>
          </cell>
          <cell r="AF180">
            <v>0</v>
          </cell>
          <cell r="AG180">
            <v>0</v>
          </cell>
          <cell r="AH180"/>
          <cell r="AI180">
            <v>156</v>
          </cell>
          <cell r="AJ180">
            <v>25</v>
          </cell>
          <cell r="AK180">
            <v>12</v>
          </cell>
        </row>
        <row r="181"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18</v>
          </cell>
          <cell r="H181">
            <v>7</v>
          </cell>
          <cell r="I181">
            <v>6</v>
          </cell>
          <cell r="J181">
            <v>0</v>
          </cell>
          <cell r="K181">
            <v>0</v>
          </cell>
          <cell r="L181">
            <v>4</v>
          </cell>
          <cell r="M181">
            <v>0</v>
          </cell>
          <cell r="N181">
            <v>0</v>
          </cell>
          <cell r="O181">
            <v>21</v>
          </cell>
          <cell r="P181">
            <v>5</v>
          </cell>
          <cell r="Q181">
            <v>0</v>
          </cell>
          <cell r="R181">
            <v>0</v>
          </cell>
          <cell r="S181">
            <v>3</v>
          </cell>
          <cell r="T181">
            <v>0</v>
          </cell>
          <cell r="U181">
            <v>0</v>
          </cell>
          <cell r="V181">
            <v>0</v>
          </cell>
          <cell r="W181">
            <v>12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10</v>
          </cell>
          <cell r="AE181">
            <v>0</v>
          </cell>
          <cell r="AF181">
            <v>0</v>
          </cell>
          <cell r="AG181">
            <v>0</v>
          </cell>
          <cell r="AH181"/>
          <cell r="AI181">
            <v>86</v>
          </cell>
          <cell r="AJ181">
            <v>21</v>
          </cell>
          <cell r="AK181">
            <v>9</v>
          </cell>
        </row>
        <row r="182">
          <cell r="C182">
            <v>350621022</v>
          </cell>
          <cell r="D182">
            <v>8</v>
          </cell>
          <cell r="E182">
            <v>0</v>
          </cell>
          <cell r="F182">
            <v>0</v>
          </cell>
          <cell r="G182">
            <v>0</v>
          </cell>
          <cell r="H182">
            <v>16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29</v>
          </cell>
          <cell r="O182">
            <v>21</v>
          </cell>
          <cell r="P182">
            <v>36</v>
          </cell>
          <cell r="Q182">
            <v>0</v>
          </cell>
          <cell r="R182">
            <v>12</v>
          </cell>
          <cell r="S182">
            <v>10</v>
          </cell>
          <cell r="T182">
            <v>3</v>
          </cell>
          <cell r="U182">
            <v>34</v>
          </cell>
          <cell r="V182">
            <v>0</v>
          </cell>
          <cell r="W182">
            <v>20</v>
          </cell>
          <cell r="X182">
            <v>0</v>
          </cell>
          <cell r="Y182">
            <v>0</v>
          </cell>
          <cell r="Z182">
            <v>0</v>
          </cell>
          <cell r="AA182">
            <v>5</v>
          </cell>
          <cell r="AB182">
            <v>0</v>
          </cell>
          <cell r="AC182">
            <v>0</v>
          </cell>
          <cell r="AD182">
            <v>39</v>
          </cell>
          <cell r="AE182">
            <v>0</v>
          </cell>
          <cell r="AF182">
            <v>0</v>
          </cell>
          <cell r="AG182">
            <v>0</v>
          </cell>
          <cell r="AH182"/>
          <cell r="AI182">
            <v>233</v>
          </cell>
          <cell r="AJ182">
            <v>39</v>
          </cell>
          <cell r="AK182">
            <v>12</v>
          </cell>
        </row>
        <row r="183">
          <cell r="C183">
            <v>350621023</v>
          </cell>
          <cell r="D183">
            <v>10.1</v>
          </cell>
          <cell r="E183">
            <v>0</v>
          </cell>
          <cell r="F183">
            <v>0</v>
          </cell>
          <cell r="G183">
            <v>0</v>
          </cell>
          <cell r="H183">
            <v>18</v>
          </cell>
          <cell r="I183">
            <v>1.5</v>
          </cell>
          <cell r="J183">
            <v>1.1000000000000001</v>
          </cell>
          <cell r="K183">
            <v>0</v>
          </cell>
          <cell r="L183">
            <v>0</v>
          </cell>
          <cell r="M183">
            <v>0</v>
          </cell>
          <cell r="N183">
            <v>34</v>
          </cell>
          <cell r="O183">
            <v>13.2</v>
          </cell>
          <cell r="P183">
            <v>44.7</v>
          </cell>
          <cell r="Q183">
            <v>1.9</v>
          </cell>
          <cell r="R183">
            <v>23.5</v>
          </cell>
          <cell r="S183">
            <v>13.5</v>
          </cell>
          <cell r="T183">
            <v>3.7</v>
          </cell>
          <cell r="U183">
            <v>41.5</v>
          </cell>
          <cell r="V183">
            <v>1</v>
          </cell>
          <cell r="W183">
            <v>23.9</v>
          </cell>
          <cell r="X183">
            <v>0</v>
          </cell>
          <cell r="Y183">
            <v>0</v>
          </cell>
          <cell r="Z183">
            <v>0</v>
          </cell>
          <cell r="AA183">
            <v>6.5</v>
          </cell>
          <cell r="AB183">
            <v>0</v>
          </cell>
          <cell r="AC183">
            <v>0</v>
          </cell>
          <cell r="AD183">
            <v>33.9</v>
          </cell>
          <cell r="AE183">
            <v>0</v>
          </cell>
          <cell r="AF183">
            <v>0</v>
          </cell>
          <cell r="AG183">
            <v>0</v>
          </cell>
          <cell r="AH183"/>
          <cell r="AI183">
            <v>272</v>
          </cell>
          <cell r="AJ183">
            <v>44.7</v>
          </cell>
          <cell r="AK183">
            <v>16</v>
          </cell>
        </row>
        <row r="184">
          <cell r="C184">
            <v>350621024</v>
          </cell>
          <cell r="D184">
            <v>0</v>
          </cell>
          <cell r="E184">
            <v>0</v>
          </cell>
          <cell r="F184">
            <v>0</v>
          </cell>
          <cell r="G184">
            <v>25</v>
          </cell>
          <cell r="H184">
            <v>6</v>
          </cell>
          <cell r="I184">
            <v>4</v>
          </cell>
          <cell r="J184">
            <v>0</v>
          </cell>
          <cell r="K184">
            <v>0</v>
          </cell>
          <cell r="L184">
            <v>10</v>
          </cell>
          <cell r="M184">
            <v>0</v>
          </cell>
          <cell r="N184">
            <v>0</v>
          </cell>
          <cell r="O184">
            <v>20</v>
          </cell>
          <cell r="P184">
            <v>4</v>
          </cell>
          <cell r="Q184">
            <v>0</v>
          </cell>
          <cell r="R184">
            <v>0</v>
          </cell>
          <cell r="S184">
            <v>4</v>
          </cell>
          <cell r="T184">
            <v>0</v>
          </cell>
          <cell r="U184">
            <v>2</v>
          </cell>
          <cell r="V184">
            <v>0</v>
          </cell>
          <cell r="W184">
            <v>13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9</v>
          </cell>
          <cell r="AE184">
            <v>0</v>
          </cell>
          <cell r="AF184">
            <v>0</v>
          </cell>
          <cell r="AG184">
            <v>0</v>
          </cell>
          <cell r="AH184"/>
          <cell r="AI184">
            <v>97</v>
          </cell>
          <cell r="AJ184">
            <v>25</v>
          </cell>
          <cell r="AK184">
            <v>10</v>
          </cell>
        </row>
        <row r="185">
          <cell r="C185">
            <v>350621025</v>
          </cell>
          <cell r="D185">
            <v>4</v>
          </cell>
          <cell r="E185">
            <v>0</v>
          </cell>
          <cell r="F185">
            <v>0</v>
          </cell>
          <cell r="G185">
            <v>0</v>
          </cell>
          <cell r="H185">
            <v>7</v>
          </cell>
          <cell r="I185">
            <v>0</v>
          </cell>
          <cell r="J185">
            <v>0</v>
          </cell>
          <cell r="K185">
            <v>0</v>
          </cell>
          <cell r="L185">
            <v>8</v>
          </cell>
          <cell r="M185">
            <v>0</v>
          </cell>
          <cell r="N185">
            <v>0</v>
          </cell>
          <cell r="O185">
            <v>18</v>
          </cell>
          <cell r="P185">
            <v>0</v>
          </cell>
          <cell r="Q185">
            <v>2</v>
          </cell>
          <cell r="R185">
            <v>0</v>
          </cell>
          <cell r="S185">
            <v>19</v>
          </cell>
          <cell r="T185">
            <v>0</v>
          </cell>
          <cell r="U185">
            <v>0</v>
          </cell>
          <cell r="V185">
            <v>0</v>
          </cell>
          <cell r="W185">
            <v>15</v>
          </cell>
          <cell r="X185">
            <v>0</v>
          </cell>
          <cell r="Y185">
            <v>0</v>
          </cell>
          <cell r="Z185">
            <v>0</v>
          </cell>
          <cell r="AA185">
            <v>3</v>
          </cell>
          <cell r="AB185">
            <v>0</v>
          </cell>
          <cell r="AC185">
            <v>0</v>
          </cell>
          <cell r="AD185">
            <v>6</v>
          </cell>
          <cell r="AE185">
            <v>0</v>
          </cell>
          <cell r="AF185">
            <v>0</v>
          </cell>
          <cell r="AG185">
            <v>0</v>
          </cell>
          <cell r="AH185"/>
          <cell r="AI185">
            <v>82</v>
          </cell>
          <cell r="AJ185">
            <v>19</v>
          </cell>
          <cell r="AK185">
            <v>9</v>
          </cell>
        </row>
        <row r="186">
          <cell r="C186">
            <v>350621026</v>
          </cell>
          <cell r="D186">
            <v>18</v>
          </cell>
          <cell r="E186">
            <v>0</v>
          </cell>
          <cell r="F186">
            <v>0</v>
          </cell>
          <cell r="G186">
            <v>0</v>
          </cell>
          <cell r="H186">
            <v>13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24</v>
          </cell>
          <cell r="O186">
            <v>8</v>
          </cell>
          <cell r="P186">
            <v>18</v>
          </cell>
          <cell r="Q186">
            <v>12</v>
          </cell>
          <cell r="R186">
            <v>14</v>
          </cell>
          <cell r="S186">
            <v>23</v>
          </cell>
          <cell r="T186">
            <v>12</v>
          </cell>
          <cell r="U186">
            <v>12</v>
          </cell>
          <cell r="V186">
            <v>0</v>
          </cell>
          <cell r="W186">
            <v>21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16</v>
          </cell>
          <cell r="AE186">
            <v>0</v>
          </cell>
          <cell r="AF186">
            <v>0</v>
          </cell>
          <cell r="AG186">
            <v>0</v>
          </cell>
          <cell r="AH186"/>
          <cell r="AI186">
            <v>191</v>
          </cell>
          <cell r="AJ186">
            <v>24</v>
          </cell>
          <cell r="AK186">
            <v>12</v>
          </cell>
        </row>
        <row r="187">
          <cell r="C187">
            <v>350602001</v>
          </cell>
          <cell r="D187">
            <v>26</v>
          </cell>
          <cell r="E187">
            <v>0</v>
          </cell>
          <cell r="F187">
            <v>0</v>
          </cell>
          <cell r="G187">
            <v>0</v>
          </cell>
          <cell r="H187">
            <v>3</v>
          </cell>
          <cell r="I187">
            <v>0</v>
          </cell>
          <cell r="J187">
            <v>4</v>
          </cell>
          <cell r="K187">
            <v>0</v>
          </cell>
          <cell r="L187">
            <v>14</v>
          </cell>
          <cell r="M187">
            <v>0</v>
          </cell>
          <cell r="N187">
            <v>0</v>
          </cell>
          <cell r="O187">
            <v>52</v>
          </cell>
          <cell r="P187">
            <v>0</v>
          </cell>
          <cell r="Q187">
            <v>5</v>
          </cell>
          <cell r="R187">
            <v>0</v>
          </cell>
          <cell r="S187">
            <v>0</v>
          </cell>
          <cell r="T187">
            <v>2.5</v>
          </cell>
          <cell r="U187">
            <v>21</v>
          </cell>
          <cell r="V187">
            <v>2</v>
          </cell>
          <cell r="W187">
            <v>24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1</v>
          </cell>
          <cell r="AD187">
            <v>1</v>
          </cell>
          <cell r="AE187">
            <v>0</v>
          </cell>
          <cell r="AF187">
            <v>0</v>
          </cell>
          <cell r="AG187">
            <v>0</v>
          </cell>
          <cell r="AH187"/>
          <cell r="AI187">
            <v>155.5</v>
          </cell>
          <cell r="AJ187">
            <v>52</v>
          </cell>
          <cell r="AK187">
            <v>12</v>
          </cell>
        </row>
        <row r="188">
          <cell r="C188">
            <v>350602002</v>
          </cell>
          <cell r="D188">
            <v>23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3</v>
          </cell>
          <cell r="J188">
            <v>4</v>
          </cell>
          <cell r="K188">
            <v>0</v>
          </cell>
          <cell r="L188">
            <v>5</v>
          </cell>
          <cell r="M188">
            <v>0</v>
          </cell>
          <cell r="N188">
            <v>0</v>
          </cell>
          <cell r="O188">
            <v>2</v>
          </cell>
          <cell r="P188">
            <v>1</v>
          </cell>
          <cell r="Q188">
            <v>6</v>
          </cell>
          <cell r="R188">
            <v>1</v>
          </cell>
          <cell r="S188">
            <v>0</v>
          </cell>
          <cell r="T188">
            <v>1</v>
          </cell>
          <cell r="U188">
            <v>4</v>
          </cell>
          <cell r="V188">
            <v>9</v>
          </cell>
          <cell r="W188">
            <v>10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</v>
          </cell>
          <cell r="AE188">
            <v>0</v>
          </cell>
          <cell r="AF188">
            <v>0</v>
          </cell>
          <cell r="AG188">
            <v>0</v>
          </cell>
          <cell r="AH188"/>
          <cell r="AI188">
            <v>71</v>
          </cell>
          <cell r="AJ188">
            <v>23</v>
          </cell>
          <cell r="AK188">
            <v>13</v>
          </cell>
        </row>
        <row r="189">
          <cell r="C189">
            <v>350602003</v>
          </cell>
          <cell r="D189">
            <v>94</v>
          </cell>
          <cell r="E189">
            <v>0</v>
          </cell>
          <cell r="F189">
            <v>0</v>
          </cell>
          <cell r="G189">
            <v>0</v>
          </cell>
          <cell r="H189">
            <v>7</v>
          </cell>
          <cell r="I189">
            <v>11</v>
          </cell>
          <cell r="J189">
            <v>19</v>
          </cell>
          <cell r="K189">
            <v>0</v>
          </cell>
          <cell r="L189">
            <v>1</v>
          </cell>
          <cell r="M189">
            <v>0</v>
          </cell>
          <cell r="N189">
            <v>0</v>
          </cell>
          <cell r="O189">
            <v>9</v>
          </cell>
          <cell r="P189">
            <v>5</v>
          </cell>
          <cell r="Q189">
            <v>20</v>
          </cell>
          <cell r="R189">
            <v>0</v>
          </cell>
          <cell r="S189">
            <v>0</v>
          </cell>
          <cell r="T189">
            <v>28</v>
          </cell>
          <cell r="U189">
            <v>25</v>
          </cell>
          <cell r="V189">
            <v>38</v>
          </cell>
          <cell r="W189">
            <v>52</v>
          </cell>
          <cell r="X189">
            <v>0</v>
          </cell>
          <cell r="Y189">
            <v>0</v>
          </cell>
          <cell r="Z189">
            <v>0</v>
          </cell>
          <cell r="AA189">
            <v>28</v>
          </cell>
          <cell r="AB189">
            <v>0</v>
          </cell>
          <cell r="AC189">
            <v>0</v>
          </cell>
          <cell r="AD189">
            <v>14</v>
          </cell>
          <cell r="AE189">
            <v>0</v>
          </cell>
          <cell r="AF189">
            <v>0</v>
          </cell>
          <cell r="AG189">
            <v>0</v>
          </cell>
          <cell r="AH189"/>
          <cell r="AI189">
            <v>351</v>
          </cell>
          <cell r="AJ189">
            <v>94</v>
          </cell>
          <cell r="AK189">
            <v>14</v>
          </cell>
        </row>
        <row r="190">
          <cell r="C190">
            <v>350602004</v>
          </cell>
          <cell r="D190">
            <v>68</v>
          </cell>
          <cell r="E190">
            <v>0</v>
          </cell>
          <cell r="F190">
            <v>0</v>
          </cell>
          <cell r="G190">
            <v>0</v>
          </cell>
          <cell r="H190">
            <v>13</v>
          </cell>
          <cell r="I190">
            <v>2</v>
          </cell>
          <cell r="J190">
            <v>38</v>
          </cell>
          <cell r="K190">
            <v>0</v>
          </cell>
          <cell r="L190">
            <v>6</v>
          </cell>
          <cell r="M190">
            <v>0</v>
          </cell>
          <cell r="N190">
            <v>0</v>
          </cell>
          <cell r="O190">
            <v>6</v>
          </cell>
          <cell r="P190">
            <v>4</v>
          </cell>
          <cell r="Q190">
            <v>56</v>
          </cell>
          <cell r="R190">
            <v>9</v>
          </cell>
          <cell r="S190">
            <v>0</v>
          </cell>
          <cell r="T190">
            <v>0</v>
          </cell>
          <cell r="U190">
            <v>52</v>
          </cell>
          <cell r="V190">
            <v>36</v>
          </cell>
          <cell r="W190">
            <v>42</v>
          </cell>
          <cell r="X190">
            <v>0</v>
          </cell>
          <cell r="Y190">
            <v>0</v>
          </cell>
          <cell r="Z190">
            <v>0</v>
          </cell>
          <cell r="AA190">
            <v>40</v>
          </cell>
          <cell r="AB190">
            <v>0</v>
          </cell>
          <cell r="AC190">
            <v>0</v>
          </cell>
          <cell r="AD190">
            <v>16</v>
          </cell>
          <cell r="AE190">
            <v>0</v>
          </cell>
          <cell r="AF190">
            <v>0</v>
          </cell>
          <cell r="AG190">
            <v>0</v>
          </cell>
          <cell r="AH190"/>
          <cell r="AI190">
            <v>388</v>
          </cell>
          <cell r="AJ190">
            <v>68</v>
          </cell>
          <cell r="AK190">
            <v>14</v>
          </cell>
        </row>
        <row r="191">
          <cell r="C191">
            <v>350602005</v>
          </cell>
          <cell r="D191">
            <v>20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3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16</v>
          </cell>
          <cell r="P191">
            <v>4</v>
          </cell>
          <cell r="Q191">
            <v>12</v>
          </cell>
          <cell r="R191">
            <v>4</v>
          </cell>
          <cell r="S191">
            <v>0</v>
          </cell>
          <cell r="T191">
            <v>21</v>
          </cell>
          <cell r="U191">
            <v>11</v>
          </cell>
          <cell r="V191">
            <v>6</v>
          </cell>
          <cell r="W191">
            <v>12</v>
          </cell>
          <cell r="X191">
            <v>5</v>
          </cell>
          <cell r="Y191">
            <v>0</v>
          </cell>
          <cell r="Z191">
            <v>0</v>
          </cell>
          <cell r="AA191">
            <v>147</v>
          </cell>
          <cell r="AB191">
            <v>10</v>
          </cell>
          <cell r="AC191">
            <v>6</v>
          </cell>
          <cell r="AD191">
            <v>42</v>
          </cell>
          <cell r="AE191">
            <v>0</v>
          </cell>
          <cell r="AF191">
            <v>0</v>
          </cell>
          <cell r="AG191">
            <v>0</v>
          </cell>
          <cell r="AH191"/>
          <cell r="AI191">
            <v>319</v>
          </cell>
          <cell r="AJ191">
            <v>147</v>
          </cell>
          <cell r="AK191">
            <v>15</v>
          </cell>
        </row>
        <row r="192">
          <cell r="C192">
            <v>350602006</v>
          </cell>
          <cell r="D192">
            <v>61</v>
          </cell>
          <cell r="E192">
            <v>0</v>
          </cell>
          <cell r="F192">
            <v>0</v>
          </cell>
          <cell r="G192">
            <v>0</v>
          </cell>
          <cell r="H192">
            <v>23</v>
          </cell>
          <cell r="I192">
            <v>4</v>
          </cell>
          <cell r="J192">
            <v>8</v>
          </cell>
          <cell r="K192">
            <v>0</v>
          </cell>
          <cell r="L192">
            <v>0</v>
          </cell>
          <cell r="M192">
            <v>0</v>
          </cell>
          <cell r="N192">
            <v>2</v>
          </cell>
          <cell r="O192">
            <v>42</v>
          </cell>
          <cell r="P192">
            <v>41</v>
          </cell>
          <cell r="Q192">
            <v>32</v>
          </cell>
          <cell r="R192">
            <v>1</v>
          </cell>
          <cell r="S192">
            <v>0</v>
          </cell>
          <cell r="T192">
            <v>1</v>
          </cell>
          <cell r="U192">
            <v>4</v>
          </cell>
          <cell r="V192">
            <v>5</v>
          </cell>
          <cell r="W192">
            <v>40</v>
          </cell>
          <cell r="X192">
            <v>15</v>
          </cell>
          <cell r="Y192">
            <v>0</v>
          </cell>
          <cell r="Z192">
            <v>0</v>
          </cell>
          <cell r="AA192">
            <v>73</v>
          </cell>
          <cell r="AB192">
            <v>0</v>
          </cell>
          <cell r="AC192">
            <v>0</v>
          </cell>
          <cell r="AD192">
            <v>27</v>
          </cell>
          <cell r="AE192">
            <v>0</v>
          </cell>
          <cell r="AF192">
            <v>0</v>
          </cell>
          <cell r="AG192">
            <v>0</v>
          </cell>
          <cell r="AH192"/>
          <cell r="AI192">
            <v>379</v>
          </cell>
          <cell r="AJ192">
            <v>73</v>
          </cell>
          <cell r="AK192">
            <v>16</v>
          </cell>
        </row>
        <row r="193">
          <cell r="C193">
            <v>350602007</v>
          </cell>
          <cell r="D193">
            <v>113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7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80</v>
          </cell>
          <cell r="P193">
            <v>5</v>
          </cell>
          <cell r="Q193">
            <v>3</v>
          </cell>
          <cell r="R193">
            <v>0</v>
          </cell>
          <cell r="S193">
            <v>0</v>
          </cell>
          <cell r="T193">
            <v>30</v>
          </cell>
          <cell r="U193">
            <v>18</v>
          </cell>
          <cell r="V193">
            <v>8</v>
          </cell>
          <cell r="W193">
            <v>3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13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/>
          <cell r="AI193">
            <v>280</v>
          </cell>
          <cell r="AJ193">
            <v>113</v>
          </cell>
          <cell r="AK193">
            <v>10</v>
          </cell>
        </row>
        <row r="194">
          <cell r="C194">
            <v>350602008</v>
          </cell>
          <cell r="D194">
            <v>128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5</v>
          </cell>
          <cell r="K194">
            <v>0</v>
          </cell>
          <cell r="L194">
            <v>2</v>
          </cell>
          <cell r="M194">
            <v>0</v>
          </cell>
          <cell r="N194">
            <v>0</v>
          </cell>
          <cell r="O194">
            <v>124</v>
          </cell>
          <cell r="P194">
            <v>1</v>
          </cell>
          <cell r="Q194">
            <v>6</v>
          </cell>
          <cell r="R194">
            <v>0</v>
          </cell>
          <cell r="S194">
            <v>0</v>
          </cell>
          <cell r="T194">
            <v>14</v>
          </cell>
          <cell r="U194">
            <v>14</v>
          </cell>
          <cell r="V194">
            <v>7</v>
          </cell>
          <cell r="W194">
            <v>5</v>
          </cell>
          <cell r="X194">
            <v>0</v>
          </cell>
          <cell r="Y194">
            <v>0</v>
          </cell>
          <cell r="Z194">
            <v>0</v>
          </cell>
          <cell r="AA194">
            <v>3</v>
          </cell>
          <cell r="AB194">
            <v>0</v>
          </cell>
          <cell r="AC194">
            <v>0</v>
          </cell>
          <cell r="AD194">
            <v>2</v>
          </cell>
          <cell r="AE194">
            <v>0</v>
          </cell>
          <cell r="AF194">
            <v>0</v>
          </cell>
          <cell r="AG194">
            <v>0</v>
          </cell>
          <cell r="AH194"/>
          <cell r="AI194">
            <v>311</v>
          </cell>
          <cell r="AJ194">
            <v>128</v>
          </cell>
          <cell r="AK194">
            <v>12</v>
          </cell>
        </row>
        <row r="195">
          <cell r="C195">
            <v>350602009</v>
          </cell>
          <cell r="D195">
            <v>71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7</v>
          </cell>
          <cell r="K195">
            <v>0</v>
          </cell>
          <cell r="L195">
            <v>14</v>
          </cell>
          <cell r="M195">
            <v>0</v>
          </cell>
          <cell r="N195">
            <v>0</v>
          </cell>
          <cell r="O195">
            <v>87</v>
          </cell>
          <cell r="P195">
            <v>1</v>
          </cell>
          <cell r="Q195">
            <v>5</v>
          </cell>
          <cell r="R195">
            <v>0</v>
          </cell>
          <cell r="S195">
            <v>0</v>
          </cell>
          <cell r="T195">
            <v>3</v>
          </cell>
          <cell r="U195">
            <v>62</v>
          </cell>
          <cell r="V195">
            <v>4</v>
          </cell>
          <cell r="W195">
            <v>1</v>
          </cell>
          <cell r="X195">
            <v>0</v>
          </cell>
          <cell r="Y195">
            <v>0</v>
          </cell>
          <cell r="Z195">
            <v>0</v>
          </cell>
          <cell r="AA195">
            <v>2</v>
          </cell>
          <cell r="AB195">
            <v>0</v>
          </cell>
          <cell r="AC195">
            <v>0</v>
          </cell>
          <cell r="AD195">
            <v>1</v>
          </cell>
          <cell r="AE195">
            <v>0</v>
          </cell>
          <cell r="AF195">
            <v>0</v>
          </cell>
          <cell r="AG195">
            <v>0</v>
          </cell>
          <cell r="AH195"/>
          <cell r="AI195">
            <v>258</v>
          </cell>
          <cell r="AJ195">
            <v>87</v>
          </cell>
          <cell r="AK195">
            <v>12</v>
          </cell>
        </row>
        <row r="196">
          <cell r="C196">
            <v>350602010</v>
          </cell>
          <cell r="D196">
            <v>7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12</v>
          </cell>
          <cell r="J196">
            <v>5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47</v>
          </cell>
          <cell r="P196">
            <v>3</v>
          </cell>
          <cell r="Q196">
            <v>22</v>
          </cell>
          <cell r="R196">
            <v>0</v>
          </cell>
          <cell r="S196">
            <v>0</v>
          </cell>
          <cell r="T196">
            <v>6</v>
          </cell>
          <cell r="U196">
            <v>4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/>
          <cell r="AI196">
            <v>106</v>
          </cell>
          <cell r="AJ196">
            <v>47</v>
          </cell>
          <cell r="AK196">
            <v>8</v>
          </cell>
        </row>
        <row r="197">
          <cell r="C197">
            <v>350602011</v>
          </cell>
          <cell r="D197">
            <v>25</v>
          </cell>
          <cell r="E197">
            <v>0</v>
          </cell>
          <cell r="F197">
            <v>0</v>
          </cell>
          <cell r="G197">
            <v>0</v>
          </cell>
          <cell r="H197">
            <v>5</v>
          </cell>
          <cell r="I197">
            <v>0</v>
          </cell>
          <cell r="J197">
            <v>0</v>
          </cell>
          <cell r="K197">
            <v>0</v>
          </cell>
          <cell r="L197">
            <v>1</v>
          </cell>
          <cell r="M197">
            <v>0</v>
          </cell>
          <cell r="N197">
            <v>0</v>
          </cell>
          <cell r="O197">
            <v>7</v>
          </cell>
          <cell r="P197">
            <v>0</v>
          </cell>
          <cell r="Q197">
            <v>14</v>
          </cell>
          <cell r="R197">
            <v>0</v>
          </cell>
          <cell r="S197">
            <v>0</v>
          </cell>
          <cell r="T197">
            <v>6</v>
          </cell>
          <cell r="U197">
            <v>27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4</v>
          </cell>
          <cell r="AE197">
            <v>0</v>
          </cell>
          <cell r="AF197">
            <v>0</v>
          </cell>
          <cell r="AG197">
            <v>0</v>
          </cell>
          <cell r="AH197"/>
          <cell r="AI197">
            <v>89</v>
          </cell>
          <cell r="AJ197">
            <v>27</v>
          </cell>
          <cell r="AK197">
            <v>8</v>
          </cell>
        </row>
        <row r="198">
          <cell r="C198">
            <v>350602012</v>
          </cell>
          <cell r="D198">
            <v>117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6</v>
          </cell>
          <cell r="K198">
            <v>0</v>
          </cell>
          <cell r="L198">
            <v>5</v>
          </cell>
          <cell r="M198">
            <v>0</v>
          </cell>
          <cell r="N198">
            <v>0</v>
          </cell>
          <cell r="O198">
            <v>28</v>
          </cell>
          <cell r="P198">
            <v>1</v>
          </cell>
          <cell r="Q198">
            <v>2</v>
          </cell>
          <cell r="R198">
            <v>0</v>
          </cell>
          <cell r="S198">
            <v>0</v>
          </cell>
          <cell r="T198">
            <v>3</v>
          </cell>
          <cell r="U198">
            <v>10</v>
          </cell>
          <cell r="V198">
            <v>1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/>
          <cell r="AI198">
            <v>173</v>
          </cell>
          <cell r="AJ198">
            <v>117</v>
          </cell>
          <cell r="AK198">
            <v>9</v>
          </cell>
        </row>
        <row r="199">
          <cell r="C199">
            <v>350602013</v>
          </cell>
          <cell r="D199">
            <v>44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1</v>
          </cell>
          <cell r="K199">
            <v>0</v>
          </cell>
          <cell r="L199">
            <v>5</v>
          </cell>
          <cell r="M199">
            <v>0</v>
          </cell>
          <cell r="N199">
            <v>0</v>
          </cell>
          <cell r="O199">
            <v>43</v>
          </cell>
          <cell r="P199">
            <v>1</v>
          </cell>
          <cell r="Q199">
            <v>6</v>
          </cell>
          <cell r="R199">
            <v>0</v>
          </cell>
          <cell r="S199">
            <v>0</v>
          </cell>
          <cell r="T199">
            <v>0</v>
          </cell>
          <cell r="U199">
            <v>8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/>
          <cell r="AI199">
            <v>108</v>
          </cell>
          <cell r="AJ199">
            <v>44</v>
          </cell>
          <cell r="AK199">
            <v>7</v>
          </cell>
        </row>
        <row r="200">
          <cell r="C200">
            <v>350602014</v>
          </cell>
          <cell r="D200">
            <v>5</v>
          </cell>
          <cell r="E200">
            <v>0</v>
          </cell>
          <cell r="F200">
            <v>0</v>
          </cell>
          <cell r="G200">
            <v>0</v>
          </cell>
          <cell r="H200">
            <v>2</v>
          </cell>
          <cell r="I200">
            <v>1</v>
          </cell>
          <cell r="J200">
            <v>0</v>
          </cell>
          <cell r="K200">
            <v>0</v>
          </cell>
          <cell r="L200">
            <v>6</v>
          </cell>
          <cell r="M200">
            <v>0</v>
          </cell>
          <cell r="N200">
            <v>0</v>
          </cell>
          <cell r="O200">
            <v>14</v>
          </cell>
          <cell r="P200">
            <v>0</v>
          </cell>
          <cell r="Q200">
            <v>7</v>
          </cell>
          <cell r="R200">
            <v>0</v>
          </cell>
          <cell r="S200">
            <v>0</v>
          </cell>
          <cell r="T200">
            <v>0</v>
          </cell>
          <cell r="U200">
            <v>4</v>
          </cell>
          <cell r="V200">
            <v>0</v>
          </cell>
          <cell r="W200">
            <v>15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/>
          <cell r="AI200">
            <v>54</v>
          </cell>
          <cell r="AJ200">
            <v>15</v>
          </cell>
          <cell r="AK200">
            <v>8</v>
          </cell>
        </row>
        <row r="201">
          <cell r="C201">
            <v>350602015</v>
          </cell>
          <cell r="D201">
            <v>57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70</v>
          </cell>
          <cell r="J201">
            <v>7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7</v>
          </cell>
          <cell r="P201">
            <v>42</v>
          </cell>
          <cell r="Q201">
            <v>25</v>
          </cell>
          <cell r="R201">
            <v>0</v>
          </cell>
          <cell r="S201">
            <v>0</v>
          </cell>
          <cell r="T201">
            <v>13</v>
          </cell>
          <cell r="U201">
            <v>11</v>
          </cell>
          <cell r="V201">
            <v>3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5</v>
          </cell>
          <cell r="AB201">
            <v>0</v>
          </cell>
          <cell r="AC201">
            <v>3</v>
          </cell>
          <cell r="AD201">
            <v>14</v>
          </cell>
          <cell r="AE201">
            <v>0</v>
          </cell>
          <cell r="AF201">
            <v>0</v>
          </cell>
          <cell r="AG201">
            <v>0</v>
          </cell>
          <cell r="AH201"/>
          <cell r="AI201">
            <v>257</v>
          </cell>
          <cell r="AJ201">
            <v>70</v>
          </cell>
          <cell r="AK201">
            <v>12</v>
          </cell>
        </row>
        <row r="202">
          <cell r="C202">
            <v>350602016</v>
          </cell>
          <cell r="D202">
            <v>27</v>
          </cell>
          <cell r="E202">
            <v>0</v>
          </cell>
          <cell r="F202">
            <v>0</v>
          </cell>
          <cell r="G202">
            <v>0</v>
          </cell>
          <cell r="H202">
            <v>1</v>
          </cell>
          <cell r="I202">
            <v>38</v>
          </cell>
          <cell r="J202">
            <v>32</v>
          </cell>
          <cell r="K202">
            <v>0</v>
          </cell>
          <cell r="L202">
            <v>0</v>
          </cell>
          <cell r="M202">
            <v>0</v>
          </cell>
          <cell r="N202">
            <v>1</v>
          </cell>
          <cell r="O202">
            <v>8</v>
          </cell>
          <cell r="P202">
            <v>44</v>
          </cell>
          <cell r="Q202">
            <v>9</v>
          </cell>
          <cell r="R202">
            <v>4</v>
          </cell>
          <cell r="S202">
            <v>0</v>
          </cell>
          <cell r="T202">
            <v>18</v>
          </cell>
          <cell r="U202">
            <v>11</v>
          </cell>
          <cell r="V202">
            <v>7</v>
          </cell>
          <cell r="W202">
            <v>8</v>
          </cell>
          <cell r="X202">
            <v>1</v>
          </cell>
          <cell r="Y202">
            <v>0</v>
          </cell>
          <cell r="Z202">
            <v>0</v>
          </cell>
          <cell r="AA202">
            <v>34</v>
          </cell>
          <cell r="AB202">
            <v>4</v>
          </cell>
          <cell r="AC202">
            <v>5</v>
          </cell>
          <cell r="AD202">
            <v>21</v>
          </cell>
          <cell r="AE202">
            <v>0</v>
          </cell>
          <cell r="AF202">
            <v>0</v>
          </cell>
          <cell r="AG202">
            <v>0</v>
          </cell>
          <cell r="AH202"/>
          <cell r="AI202">
            <v>273</v>
          </cell>
          <cell r="AJ202">
            <v>44</v>
          </cell>
          <cell r="AK202">
            <v>18</v>
          </cell>
        </row>
        <row r="203">
          <cell r="C203">
            <v>350602017</v>
          </cell>
          <cell r="D203">
            <v>16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18</v>
          </cell>
          <cell r="J203">
            <v>8</v>
          </cell>
          <cell r="K203">
            <v>0</v>
          </cell>
          <cell r="L203">
            <v>5</v>
          </cell>
          <cell r="M203">
            <v>0</v>
          </cell>
          <cell r="N203">
            <v>0</v>
          </cell>
          <cell r="O203">
            <v>6</v>
          </cell>
          <cell r="P203">
            <v>1</v>
          </cell>
          <cell r="Q203">
            <v>9</v>
          </cell>
          <cell r="R203">
            <v>0</v>
          </cell>
          <cell r="S203">
            <v>0</v>
          </cell>
          <cell r="T203">
            <v>2</v>
          </cell>
          <cell r="U203">
            <v>32</v>
          </cell>
          <cell r="V203">
            <v>28</v>
          </cell>
          <cell r="W203">
            <v>17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1</v>
          </cell>
          <cell r="AD203">
            <v>15</v>
          </cell>
          <cell r="AE203">
            <v>0</v>
          </cell>
          <cell r="AF203">
            <v>0</v>
          </cell>
          <cell r="AG203">
            <v>0</v>
          </cell>
          <cell r="AH203"/>
          <cell r="AI203">
            <v>158</v>
          </cell>
          <cell r="AJ203">
            <v>32</v>
          </cell>
          <cell r="AK203">
            <v>13</v>
          </cell>
        </row>
        <row r="204">
          <cell r="C204">
            <v>350602018</v>
          </cell>
          <cell r="D204">
            <v>130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3</v>
          </cell>
          <cell r="L204">
            <v>7</v>
          </cell>
          <cell r="M204">
            <v>0</v>
          </cell>
          <cell r="N204">
            <v>0</v>
          </cell>
          <cell r="O204">
            <v>102</v>
          </cell>
          <cell r="P204">
            <v>0</v>
          </cell>
          <cell r="Q204">
            <v>2</v>
          </cell>
          <cell r="R204">
            <v>0</v>
          </cell>
          <cell r="S204">
            <v>0</v>
          </cell>
          <cell r="T204">
            <v>6</v>
          </cell>
          <cell r="U204">
            <v>33</v>
          </cell>
          <cell r="V204">
            <v>5</v>
          </cell>
          <cell r="W204">
            <v>13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/>
          <cell r="AI204">
            <v>301</v>
          </cell>
          <cell r="AJ204">
            <v>130</v>
          </cell>
          <cell r="AK204">
            <v>9</v>
          </cell>
        </row>
        <row r="205">
          <cell r="C205">
            <v>350602019</v>
          </cell>
          <cell r="D205">
            <v>81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2</v>
          </cell>
          <cell r="J205">
            <v>13</v>
          </cell>
          <cell r="K205">
            <v>0</v>
          </cell>
          <cell r="L205">
            <v>2</v>
          </cell>
          <cell r="M205">
            <v>0</v>
          </cell>
          <cell r="N205">
            <v>0</v>
          </cell>
          <cell r="O205">
            <v>38</v>
          </cell>
          <cell r="P205">
            <v>0</v>
          </cell>
          <cell r="Q205">
            <v>5</v>
          </cell>
          <cell r="R205">
            <v>0</v>
          </cell>
          <cell r="S205">
            <v>0</v>
          </cell>
          <cell r="T205">
            <v>3</v>
          </cell>
          <cell r="U205">
            <v>7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/>
          <cell r="AI205">
            <v>151</v>
          </cell>
          <cell r="AJ205">
            <v>81</v>
          </cell>
          <cell r="AK205">
            <v>8</v>
          </cell>
        </row>
        <row r="206">
          <cell r="C206">
            <v>350602020</v>
          </cell>
          <cell r="D206">
            <v>45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37</v>
          </cell>
          <cell r="P206">
            <v>0</v>
          </cell>
          <cell r="Q206">
            <v>6</v>
          </cell>
          <cell r="R206">
            <v>0</v>
          </cell>
          <cell r="S206">
            <v>0</v>
          </cell>
          <cell r="T206">
            <v>0</v>
          </cell>
          <cell r="U206">
            <v>7</v>
          </cell>
          <cell r="V206">
            <v>0</v>
          </cell>
          <cell r="W206">
            <v>24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/>
          <cell r="AI206">
            <v>119</v>
          </cell>
          <cell r="AJ206">
            <v>45</v>
          </cell>
          <cell r="AK206">
            <v>5</v>
          </cell>
        </row>
        <row r="207">
          <cell r="C207">
            <v>350602021</v>
          </cell>
          <cell r="D207">
            <v>17</v>
          </cell>
          <cell r="E207">
            <v>0</v>
          </cell>
          <cell r="F207">
            <v>0</v>
          </cell>
          <cell r="G207">
            <v>0</v>
          </cell>
          <cell r="H207">
            <v>1</v>
          </cell>
          <cell r="I207">
            <v>0</v>
          </cell>
          <cell r="J207">
            <v>2</v>
          </cell>
          <cell r="K207">
            <v>0</v>
          </cell>
          <cell r="L207">
            <v>9</v>
          </cell>
          <cell r="M207">
            <v>0</v>
          </cell>
          <cell r="N207">
            <v>0</v>
          </cell>
          <cell r="O207">
            <v>21</v>
          </cell>
          <cell r="P207">
            <v>0</v>
          </cell>
          <cell r="Q207">
            <v>3</v>
          </cell>
          <cell r="R207">
            <v>0</v>
          </cell>
          <cell r="S207">
            <v>0</v>
          </cell>
          <cell r="T207">
            <v>0</v>
          </cell>
          <cell r="U207">
            <v>4</v>
          </cell>
          <cell r="V207">
            <v>0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/>
          <cell r="AI207">
            <v>58</v>
          </cell>
          <cell r="AJ207">
            <v>21</v>
          </cell>
          <cell r="AK207">
            <v>8</v>
          </cell>
        </row>
        <row r="208">
          <cell r="C208">
            <v>350602022</v>
          </cell>
          <cell r="D208">
            <v>29</v>
          </cell>
          <cell r="E208">
            <v>0</v>
          </cell>
          <cell r="F208">
            <v>0</v>
          </cell>
          <cell r="G208">
            <v>0</v>
          </cell>
          <cell r="H208">
            <v>7</v>
          </cell>
          <cell r="I208">
            <v>0</v>
          </cell>
          <cell r="J208">
            <v>0</v>
          </cell>
          <cell r="K208">
            <v>0</v>
          </cell>
          <cell r="L208">
            <v>3</v>
          </cell>
          <cell r="M208">
            <v>0</v>
          </cell>
          <cell r="N208">
            <v>0</v>
          </cell>
          <cell r="O208">
            <v>6</v>
          </cell>
          <cell r="P208">
            <v>0</v>
          </cell>
          <cell r="Q208">
            <v>25</v>
          </cell>
          <cell r="R208">
            <v>0</v>
          </cell>
          <cell r="S208">
            <v>0</v>
          </cell>
          <cell r="T208">
            <v>0</v>
          </cell>
          <cell r="U208">
            <v>17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3</v>
          </cell>
          <cell r="AE208">
            <v>0</v>
          </cell>
          <cell r="AF208">
            <v>0</v>
          </cell>
          <cell r="AG208">
            <v>0</v>
          </cell>
          <cell r="AH208"/>
          <cell r="AI208">
            <v>90</v>
          </cell>
          <cell r="AJ208">
            <v>29</v>
          </cell>
          <cell r="AK208">
            <v>7</v>
          </cell>
        </row>
        <row r="209">
          <cell r="C209">
            <v>350602023</v>
          </cell>
          <cell r="D209">
            <v>71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2</v>
          </cell>
          <cell r="K209">
            <v>0</v>
          </cell>
          <cell r="L209">
            <v>1</v>
          </cell>
          <cell r="M209">
            <v>0</v>
          </cell>
          <cell r="N209">
            <v>0</v>
          </cell>
          <cell r="O209">
            <v>1</v>
          </cell>
          <cell r="P209">
            <v>5</v>
          </cell>
          <cell r="Q209">
            <v>19</v>
          </cell>
          <cell r="R209">
            <v>0</v>
          </cell>
          <cell r="S209">
            <v>0</v>
          </cell>
          <cell r="T209">
            <v>14</v>
          </cell>
          <cell r="U209">
            <v>0</v>
          </cell>
          <cell r="V209">
            <v>0</v>
          </cell>
          <cell r="W209">
            <v>31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</v>
          </cell>
          <cell r="AE209">
            <v>0</v>
          </cell>
          <cell r="AF209">
            <v>0</v>
          </cell>
          <cell r="AG209">
            <v>0</v>
          </cell>
          <cell r="AH209"/>
          <cell r="AI209">
            <v>146</v>
          </cell>
          <cell r="AJ209">
            <v>71</v>
          </cell>
          <cell r="AK209">
            <v>9</v>
          </cell>
        </row>
        <row r="210">
          <cell r="C210">
            <v>350601001</v>
          </cell>
          <cell r="D210">
            <v>17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1</v>
          </cell>
          <cell r="J210">
            <v>17</v>
          </cell>
          <cell r="K210">
            <v>0</v>
          </cell>
          <cell r="L210">
            <v>21</v>
          </cell>
          <cell r="M210">
            <v>0</v>
          </cell>
          <cell r="N210">
            <v>0</v>
          </cell>
          <cell r="O210">
            <v>10</v>
          </cell>
          <cell r="P210">
            <v>3</v>
          </cell>
          <cell r="Q210">
            <v>17</v>
          </cell>
          <cell r="R210">
            <v>1</v>
          </cell>
          <cell r="S210">
            <v>1</v>
          </cell>
          <cell r="T210">
            <v>2</v>
          </cell>
          <cell r="U210">
            <v>1</v>
          </cell>
          <cell r="V210">
            <v>0</v>
          </cell>
          <cell r="W210">
            <v>11</v>
          </cell>
          <cell r="X210">
            <v>0</v>
          </cell>
          <cell r="Y210">
            <v>0</v>
          </cell>
          <cell r="Z210">
            <v>1</v>
          </cell>
          <cell r="AA210">
            <v>2</v>
          </cell>
          <cell r="AB210">
            <v>6</v>
          </cell>
          <cell r="AC210">
            <v>22</v>
          </cell>
          <cell r="AD210">
            <v>11</v>
          </cell>
          <cell r="AE210">
            <v>1</v>
          </cell>
          <cell r="AF210">
            <v>0</v>
          </cell>
          <cell r="AG210">
            <v>0</v>
          </cell>
          <cell r="AH210"/>
          <cell r="AI210">
            <v>145</v>
          </cell>
          <cell r="AJ210">
            <v>22</v>
          </cell>
          <cell r="AK210">
            <v>18</v>
          </cell>
        </row>
        <row r="211">
          <cell r="C211">
            <v>350601002</v>
          </cell>
          <cell r="D211">
            <v>41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2</v>
          </cell>
          <cell r="J211">
            <v>18</v>
          </cell>
          <cell r="K211">
            <v>0</v>
          </cell>
          <cell r="L211">
            <v>37</v>
          </cell>
          <cell r="M211">
            <v>1</v>
          </cell>
          <cell r="N211">
            <v>1</v>
          </cell>
          <cell r="O211">
            <v>6</v>
          </cell>
          <cell r="P211">
            <v>2</v>
          </cell>
          <cell r="Q211">
            <v>27</v>
          </cell>
          <cell r="R211">
            <v>23</v>
          </cell>
          <cell r="S211">
            <v>2</v>
          </cell>
          <cell r="T211">
            <v>2</v>
          </cell>
          <cell r="U211">
            <v>2</v>
          </cell>
          <cell r="V211">
            <v>0</v>
          </cell>
          <cell r="W211">
            <v>17</v>
          </cell>
          <cell r="X211">
            <v>1</v>
          </cell>
          <cell r="Y211">
            <v>0</v>
          </cell>
          <cell r="Z211">
            <v>3</v>
          </cell>
          <cell r="AA211">
            <v>6</v>
          </cell>
          <cell r="AB211">
            <v>11</v>
          </cell>
          <cell r="AC211">
            <v>30</v>
          </cell>
          <cell r="AD211">
            <v>33</v>
          </cell>
          <cell r="AE211">
            <v>5</v>
          </cell>
          <cell r="AF211">
            <v>0</v>
          </cell>
          <cell r="AG211">
            <v>0</v>
          </cell>
          <cell r="AH211"/>
          <cell r="AI211">
            <v>270</v>
          </cell>
          <cell r="AJ211">
            <v>41</v>
          </cell>
          <cell r="AK211">
            <v>21</v>
          </cell>
        </row>
        <row r="212">
          <cell r="C212">
            <v>350601003</v>
          </cell>
          <cell r="D212">
            <v>30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1</v>
          </cell>
          <cell r="J212">
            <v>5</v>
          </cell>
          <cell r="K212">
            <v>0</v>
          </cell>
          <cell r="L212">
            <v>15</v>
          </cell>
          <cell r="M212">
            <v>0</v>
          </cell>
          <cell r="N212">
            <v>0</v>
          </cell>
          <cell r="O212">
            <v>45</v>
          </cell>
          <cell r="P212">
            <v>5</v>
          </cell>
          <cell r="Q212">
            <v>13</v>
          </cell>
          <cell r="R212">
            <v>1</v>
          </cell>
          <cell r="S212">
            <v>0</v>
          </cell>
          <cell r="T212">
            <v>2</v>
          </cell>
          <cell r="U212">
            <v>1</v>
          </cell>
          <cell r="V212">
            <v>3</v>
          </cell>
          <cell r="W212">
            <v>3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1</v>
          </cell>
          <cell r="AD212">
            <v>1</v>
          </cell>
          <cell r="AE212">
            <v>0</v>
          </cell>
          <cell r="AF212">
            <v>0</v>
          </cell>
          <cell r="AG212">
            <v>0</v>
          </cell>
          <cell r="AH212"/>
          <cell r="AI212">
            <v>126</v>
          </cell>
          <cell r="AJ212">
            <v>45</v>
          </cell>
          <cell r="AK212">
            <v>14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1</v>
          </cell>
          <cell r="G213">
            <v>0</v>
          </cell>
          <cell r="H213">
            <v>0</v>
          </cell>
          <cell r="I213">
            <v>2</v>
          </cell>
          <cell r="J213">
            <v>8</v>
          </cell>
          <cell r="K213">
            <v>1</v>
          </cell>
          <cell r="L213">
            <v>25</v>
          </cell>
          <cell r="M213">
            <v>0</v>
          </cell>
          <cell r="N213">
            <v>1</v>
          </cell>
          <cell r="O213">
            <v>17</v>
          </cell>
          <cell r="P213">
            <v>10</v>
          </cell>
          <cell r="Q213">
            <v>8</v>
          </cell>
          <cell r="R213">
            <v>3</v>
          </cell>
          <cell r="S213">
            <v>0</v>
          </cell>
          <cell r="T213">
            <v>1</v>
          </cell>
          <cell r="U213">
            <v>2</v>
          </cell>
          <cell r="V213">
            <v>1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1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/>
          <cell r="AI213">
            <v>81</v>
          </cell>
          <cell r="AJ213">
            <v>25</v>
          </cell>
          <cell r="AK213">
            <v>14</v>
          </cell>
        </row>
        <row r="214">
          <cell r="C214">
            <v>350601005</v>
          </cell>
          <cell r="D214">
            <v>13</v>
          </cell>
          <cell r="E214">
            <v>0</v>
          </cell>
          <cell r="F214">
            <v>0</v>
          </cell>
          <cell r="G214">
            <v>4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8</v>
          </cell>
          <cell r="M214">
            <v>0</v>
          </cell>
          <cell r="N214">
            <v>2</v>
          </cell>
          <cell r="O214">
            <v>4</v>
          </cell>
          <cell r="P214">
            <v>0</v>
          </cell>
          <cell r="Q214">
            <v>14</v>
          </cell>
          <cell r="R214">
            <v>22</v>
          </cell>
          <cell r="S214">
            <v>0</v>
          </cell>
          <cell r="T214">
            <v>2</v>
          </cell>
          <cell r="U214">
            <v>2</v>
          </cell>
          <cell r="V214">
            <v>6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2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/>
          <cell r="AI214">
            <v>79</v>
          </cell>
          <cell r="AJ214">
            <v>22</v>
          </cell>
          <cell r="AK214">
            <v>11</v>
          </cell>
        </row>
        <row r="215">
          <cell r="C215">
            <v>350601006</v>
          </cell>
          <cell r="D215">
            <v>19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3</v>
          </cell>
          <cell r="K215">
            <v>0</v>
          </cell>
          <cell r="L215">
            <v>8</v>
          </cell>
          <cell r="M215">
            <v>0</v>
          </cell>
          <cell r="N215">
            <v>6</v>
          </cell>
          <cell r="O215">
            <v>5</v>
          </cell>
          <cell r="P215">
            <v>0</v>
          </cell>
          <cell r="Q215">
            <v>18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5</v>
          </cell>
          <cell r="X215">
            <v>0</v>
          </cell>
          <cell r="Y215">
            <v>0</v>
          </cell>
          <cell r="Z215">
            <v>3</v>
          </cell>
          <cell r="AA215">
            <v>0</v>
          </cell>
          <cell r="AB215">
            <v>5</v>
          </cell>
          <cell r="AC215">
            <v>25</v>
          </cell>
          <cell r="AD215">
            <v>9</v>
          </cell>
          <cell r="AE215">
            <v>2</v>
          </cell>
          <cell r="AF215">
            <v>0</v>
          </cell>
          <cell r="AG215">
            <v>0</v>
          </cell>
          <cell r="AH215"/>
          <cell r="AI215">
            <v>108</v>
          </cell>
          <cell r="AJ215">
            <v>25</v>
          </cell>
          <cell r="AK215">
            <v>12</v>
          </cell>
        </row>
        <row r="216">
          <cell r="C216">
            <v>350601007</v>
          </cell>
          <cell r="D216">
            <v>15</v>
          </cell>
          <cell r="E216">
            <v>0</v>
          </cell>
          <cell r="F216">
            <v>0</v>
          </cell>
          <cell r="G216">
            <v>0</v>
          </cell>
          <cell r="H216">
            <v>25</v>
          </cell>
          <cell r="I216">
            <v>0</v>
          </cell>
          <cell r="J216">
            <v>5</v>
          </cell>
          <cell r="K216">
            <v>0</v>
          </cell>
          <cell r="L216">
            <v>20</v>
          </cell>
          <cell r="M216">
            <v>0</v>
          </cell>
          <cell r="N216">
            <v>0</v>
          </cell>
          <cell r="O216">
            <v>15</v>
          </cell>
          <cell r="P216">
            <v>0</v>
          </cell>
          <cell r="Q216">
            <v>5</v>
          </cell>
          <cell r="R216">
            <v>15</v>
          </cell>
          <cell r="S216">
            <v>0</v>
          </cell>
          <cell r="T216">
            <v>5</v>
          </cell>
          <cell r="U216">
            <v>0</v>
          </cell>
          <cell r="V216">
            <v>0</v>
          </cell>
          <cell r="W216">
            <v>10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/>
          <cell r="AI216">
            <v>115</v>
          </cell>
          <cell r="AJ216">
            <v>25</v>
          </cell>
          <cell r="AK216">
            <v>9</v>
          </cell>
        </row>
        <row r="217">
          <cell r="C217">
            <v>350601008</v>
          </cell>
          <cell r="D217">
            <v>39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5</v>
          </cell>
          <cell r="J217">
            <v>3</v>
          </cell>
          <cell r="K217">
            <v>0</v>
          </cell>
          <cell r="L217">
            <v>30</v>
          </cell>
          <cell r="M217">
            <v>0</v>
          </cell>
          <cell r="N217">
            <v>0</v>
          </cell>
          <cell r="O217">
            <v>38</v>
          </cell>
          <cell r="P217">
            <v>16</v>
          </cell>
          <cell r="Q217">
            <v>22</v>
          </cell>
          <cell r="R217">
            <v>24</v>
          </cell>
          <cell r="S217">
            <v>9</v>
          </cell>
          <cell r="T217">
            <v>4</v>
          </cell>
          <cell r="U217">
            <v>2</v>
          </cell>
          <cell r="V217">
            <v>0</v>
          </cell>
          <cell r="W217">
            <v>5</v>
          </cell>
          <cell r="X217">
            <v>1</v>
          </cell>
          <cell r="Y217">
            <v>0</v>
          </cell>
          <cell r="Z217">
            <v>2</v>
          </cell>
          <cell r="AA217">
            <v>3</v>
          </cell>
          <cell r="AB217">
            <v>9</v>
          </cell>
          <cell r="AC217">
            <v>11</v>
          </cell>
          <cell r="AD217">
            <v>19</v>
          </cell>
          <cell r="AE217">
            <v>0</v>
          </cell>
          <cell r="AF217">
            <v>0</v>
          </cell>
          <cell r="AG217">
            <v>0</v>
          </cell>
          <cell r="AH217"/>
          <cell r="AI217">
            <v>242</v>
          </cell>
          <cell r="AJ217">
            <v>39</v>
          </cell>
          <cell r="AK217">
            <v>18</v>
          </cell>
        </row>
        <row r="218">
          <cell r="C218">
            <v>350601009</v>
          </cell>
          <cell r="D218">
            <v>16</v>
          </cell>
          <cell r="E218">
            <v>0</v>
          </cell>
          <cell r="F218">
            <v>0</v>
          </cell>
          <cell r="G218">
            <v>0</v>
          </cell>
          <cell r="H218">
            <v>2</v>
          </cell>
          <cell r="I218">
            <v>9</v>
          </cell>
          <cell r="J218">
            <v>8</v>
          </cell>
          <cell r="K218">
            <v>0</v>
          </cell>
          <cell r="L218">
            <v>1</v>
          </cell>
          <cell r="M218">
            <v>0</v>
          </cell>
          <cell r="N218">
            <v>0</v>
          </cell>
          <cell r="O218">
            <v>9</v>
          </cell>
          <cell r="P218">
            <v>2</v>
          </cell>
          <cell r="Q218">
            <v>48</v>
          </cell>
          <cell r="R218">
            <v>23</v>
          </cell>
          <cell r="S218">
            <v>13</v>
          </cell>
          <cell r="T218">
            <v>4</v>
          </cell>
          <cell r="U218">
            <v>4</v>
          </cell>
          <cell r="V218">
            <v>0</v>
          </cell>
          <cell r="W218">
            <v>25</v>
          </cell>
          <cell r="X218">
            <v>4</v>
          </cell>
          <cell r="Y218">
            <v>1</v>
          </cell>
          <cell r="Z218">
            <v>1</v>
          </cell>
          <cell r="AA218">
            <v>1</v>
          </cell>
          <cell r="AB218">
            <v>7</v>
          </cell>
          <cell r="AC218">
            <v>5</v>
          </cell>
          <cell r="AD218">
            <v>12</v>
          </cell>
          <cell r="AE218">
            <v>0</v>
          </cell>
          <cell r="AF218">
            <v>0</v>
          </cell>
          <cell r="AG218">
            <v>0</v>
          </cell>
          <cell r="AH218"/>
          <cell r="AI218">
            <v>195</v>
          </cell>
          <cell r="AJ218">
            <v>48</v>
          </cell>
          <cell r="AK218">
            <v>20</v>
          </cell>
        </row>
        <row r="219">
          <cell r="C219">
            <v>350601010</v>
          </cell>
          <cell r="D219">
            <v>45</v>
          </cell>
          <cell r="E219">
            <v>0</v>
          </cell>
          <cell r="F219">
            <v>0</v>
          </cell>
          <cell r="G219">
            <v>0</v>
          </cell>
          <cell r="H219">
            <v>3</v>
          </cell>
          <cell r="I219">
            <v>22</v>
          </cell>
          <cell r="J219">
            <v>3</v>
          </cell>
          <cell r="K219">
            <v>0</v>
          </cell>
          <cell r="L219">
            <v>72</v>
          </cell>
          <cell r="M219">
            <v>0</v>
          </cell>
          <cell r="N219">
            <v>0</v>
          </cell>
          <cell r="O219">
            <v>10</v>
          </cell>
          <cell r="P219">
            <v>5</v>
          </cell>
          <cell r="Q219">
            <v>25</v>
          </cell>
          <cell r="R219">
            <v>26</v>
          </cell>
          <cell r="S219">
            <v>3</v>
          </cell>
          <cell r="T219">
            <v>31</v>
          </cell>
          <cell r="U219">
            <v>2</v>
          </cell>
          <cell r="V219">
            <v>0</v>
          </cell>
          <cell r="W219">
            <v>10</v>
          </cell>
          <cell r="X219">
            <v>1</v>
          </cell>
          <cell r="Y219">
            <v>0</v>
          </cell>
          <cell r="Z219">
            <v>0</v>
          </cell>
          <cell r="AA219">
            <v>1</v>
          </cell>
          <cell r="AB219">
            <v>3</v>
          </cell>
          <cell r="AC219">
            <v>16</v>
          </cell>
          <cell r="AD219">
            <v>7</v>
          </cell>
          <cell r="AE219">
            <v>1</v>
          </cell>
          <cell r="AF219">
            <v>0</v>
          </cell>
          <cell r="AG219">
            <v>0</v>
          </cell>
          <cell r="AH219"/>
          <cell r="AI219">
            <v>286</v>
          </cell>
          <cell r="AJ219">
            <v>72</v>
          </cell>
          <cell r="AK219">
            <v>19</v>
          </cell>
        </row>
        <row r="220">
          <cell r="C220">
            <v>350601011</v>
          </cell>
          <cell r="D220">
            <v>21</v>
          </cell>
          <cell r="E220">
            <v>1</v>
          </cell>
          <cell r="F220">
            <v>0</v>
          </cell>
          <cell r="G220">
            <v>0</v>
          </cell>
          <cell r="H220">
            <v>2</v>
          </cell>
          <cell r="I220">
            <v>4</v>
          </cell>
          <cell r="J220">
            <v>6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3</v>
          </cell>
          <cell r="P220">
            <v>16</v>
          </cell>
          <cell r="Q220">
            <v>16</v>
          </cell>
          <cell r="R220">
            <v>31</v>
          </cell>
          <cell r="S220">
            <v>0</v>
          </cell>
          <cell r="T220">
            <v>17</v>
          </cell>
          <cell r="U220">
            <v>1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/>
          <cell r="AI220">
            <v>118</v>
          </cell>
          <cell r="AJ220">
            <v>31</v>
          </cell>
          <cell r="AK220">
            <v>11</v>
          </cell>
        </row>
        <row r="221">
          <cell r="C221">
            <v>350601012</v>
          </cell>
          <cell r="D221">
            <v>36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39</v>
          </cell>
          <cell r="J221">
            <v>2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15</v>
          </cell>
          <cell r="P221">
            <v>2</v>
          </cell>
          <cell r="Q221">
            <v>0</v>
          </cell>
          <cell r="R221">
            <v>0</v>
          </cell>
          <cell r="S221">
            <v>33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1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/>
          <cell r="AI221">
            <v>129</v>
          </cell>
          <cell r="AJ221">
            <v>39</v>
          </cell>
          <cell r="AK221">
            <v>8</v>
          </cell>
        </row>
        <row r="222">
          <cell r="C222">
            <v>350601013</v>
          </cell>
          <cell r="D222">
            <v>37</v>
          </cell>
          <cell r="E222">
            <v>0</v>
          </cell>
          <cell r="F222">
            <v>0</v>
          </cell>
          <cell r="G222">
            <v>0</v>
          </cell>
          <cell r="H222">
            <v>16</v>
          </cell>
          <cell r="I222">
            <v>24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13</v>
          </cell>
          <cell r="O222">
            <v>3</v>
          </cell>
          <cell r="P222">
            <v>4</v>
          </cell>
          <cell r="Q222">
            <v>6</v>
          </cell>
          <cell r="R222">
            <v>0</v>
          </cell>
          <cell r="S222">
            <v>0</v>
          </cell>
          <cell r="T222">
            <v>66</v>
          </cell>
          <cell r="U222">
            <v>2</v>
          </cell>
          <cell r="V222">
            <v>0</v>
          </cell>
          <cell r="W222">
            <v>17</v>
          </cell>
          <cell r="X222">
            <v>0</v>
          </cell>
          <cell r="Y222">
            <v>0</v>
          </cell>
          <cell r="Z222">
            <v>0</v>
          </cell>
          <cell r="AA222">
            <v>2</v>
          </cell>
          <cell r="AB222">
            <v>8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/>
          <cell r="AI222">
            <v>198</v>
          </cell>
          <cell r="AJ222">
            <v>66</v>
          </cell>
          <cell r="AK222">
            <v>12</v>
          </cell>
        </row>
        <row r="223">
          <cell r="C223">
            <v>350601014</v>
          </cell>
          <cell r="D223">
            <v>15</v>
          </cell>
          <cell r="E223">
            <v>0</v>
          </cell>
          <cell r="F223">
            <v>0</v>
          </cell>
          <cell r="G223">
            <v>0</v>
          </cell>
          <cell r="H223">
            <v>8</v>
          </cell>
          <cell r="I223">
            <v>15</v>
          </cell>
          <cell r="J223">
            <v>1</v>
          </cell>
          <cell r="K223">
            <v>0</v>
          </cell>
          <cell r="L223">
            <v>1</v>
          </cell>
          <cell r="M223">
            <v>0</v>
          </cell>
          <cell r="N223">
            <v>25</v>
          </cell>
          <cell r="O223">
            <v>16</v>
          </cell>
          <cell r="P223">
            <v>52</v>
          </cell>
          <cell r="Q223">
            <v>25</v>
          </cell>
          <cell r="R223">
            <v>0</v>
          </cell>
          <cell r="S223">
            <v>0</v>
          </cell>
          <cell r="T223">
            <v>24</v>
          </cell>
          <cell r="U223">
            <v>9</v>
          </cell>
          <cell r="V223">
            <v>8</v>
          </cell>
          <cell r="W223">
            <v>4</v>
          </cell>
          <cell r="X223">
            <v>2</v>
          </cell>
          <cell r="Y223">
            <v>0</v>
          </cell>
          <cell r="Z223">
            <v>0</v>
          </cell>
          <cell r="AA223">
            <v>2</v>
          </cell>
          <cell r="AB223">
            <v>6</v>
          </cell>
          <cell r="AC223">
            <v>0</v>
          </cell>
          <cell r="AD223">
            <v>14</v>
          </cell>
          <cell r="AE223">
            <v>0</v>
          </cell>
          <cell r="AF223">
            <v>0</v>
          </cell>
          <cell r="AG223">
            <v>0</v>
          </cell>
          <cell r="AH223"/>
          <cell r="AI223">
            <v>227</v>
          </cell>
          <cell r="AJ223">
            <v>52</v>
          </cell>
          <cell r="AK223">
            <v>17</v>
          </cell>
        </row>
        <row r="224">
          <cell r="C224">
            <v>350601015</v>
          </cell>
          <cell r="D224">
            <v>7</v>
          </cell>
          <cell r="E224">
            <v>0</v>
          </cell>
          <cell r="F224">
            <v>0</v>
          </cell>
          <cell r="G224">
            <v>0</v>
          </cell>
          <cell r="H224">
            <v>36</v>
          </cell>
          <cell r="I224">
            <v>4</v>
          </cell>
          <cell r="J224">
            <v>11</v>
          </cell>
          <cell r="K224">
            <v>0</v>
          </cell>
          <cell r="L224">
            <v>7</v>
          </cell>
          <cell r="M224">
            <v>0</v>
          </cell>
          <cell r="N224">
            <v>0</v>
          </cell>
          <cell r="O224">
            <v>10</v>
          </cell>
          <cell r="P224">
            <v>0</v>
          </cell>
          <cell r="Q224">
            <v>21</v>
          </cell>
          <cell r="R224">
            <v>32</v>
          </cell>
          <cell r="S224">
            <v>0</v>
          </cell>
          <cell r="T224">
            <v>0</v>
          </cell>
          <cell r="U224">
            <v>1</v>
          </cell>
          <cell r="V224">
            <v>2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3</v>
          </cell>
          <cell r="AC224">
            <v>5</v>
          </cell>
          <cell r="AD224">
            <v>2</v>
          </cell>
          <cell r="AE224">
            <v>0</v>
          </cell>
          <cell r="AF224">
            <v>0</v>
          </cell>
          <cell r="AG224">
            <v>0</v>
          </cell>
          <cell r="AH224"/>
          <cell r="AI224">
            <v>141</v>
          </cell>
          <cell r="AJ224">
            <v>36</v>
          </cell>
          <cell r="AK224">
            <v>13</v>
          </cell>
        </row>
        <row r="225">
          <cell r="C225">
            <v>350125006</v>
          </cell>
          <cell r="D225">
            <v>30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3</v>
          </cell>
          <cell r="N225">
            <v>6</v>
          </cell>
          <cell r="O225">
            <v>26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24</v>
          </cell>
          <cell r="AE225">
            <v>0</v>
          </cell>
          <cell r="AF225">
            <v>0</v>
          </cell>
          <cell r="AG225">
            <v>0</v>
          </cell>
          <cell r="AH225"/>
          <cell r="AI225">
            <v>89</v>
          </cell>
          <cell r="AJ225">
            <v>30</v>
          </cell>
          <cell r="AK225">
            <v>5</v>
          </cell>
        </row>
        <row r="226">
          <cell r="C226">
            <v>350125007</v>
          </cell>
          <cell r="D226">
            <v>0</v>
          </cell>
          <cell r="E226">
            <v>0</v>
          </cell>
          <cell r="F226">
            <v>0</v>
          </cell>
          <cell r="G226">
            <v>10</v>
          </cell>
          <cell r="H226">
            <v>0</v>
          </cell>
          <cell r="I226">
            <v>5</v>
          </cell>
          <cell r="J226">
            <v>0</v>
          </cell>
          <cell r="K226">
            <v>0</v>
          </cell>
          <cell r="L226">
            <v>10</v>
          </cell>
          <cell r="M226">
            <v>0</v>
          </cell>
          <cell r="N226">
            <v>0</v>
          </cell>
          <cell r="O226">
            <v>3</v>
          </cell>
          <cell r="P226">
            <v>5</v>
          </cell>
          <cell r="Q226">
            <v>0</v>
          </cell>
          <cell r="R226">
            <v>0</v>
          </cell>
          <cell r="S226">
            <v>5</v>
          </cell>
          <cell r="T226">
            <v>7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3</v>
          </cell>
          <cell r="AE226">
            <v>0</v>
          </cell>
          <cell r="AF226">
            <v>0</v>
          </cell>
          <cell r="AG226">
            <v>0</v>
          </cell>
          <cell r="AH226"/>
          <cell r="AI226">
            <v>48</v>
          </cell>
          <cell r="AJ226">
            <v>10</v>
          </cell>
          <cell r="AK226">
            <v>8</v>
          </cell>
        </row>
        <row r="227">
          <cell r="C227">
            <v>350125008</v>
          </cell>
          <cell r="D227">
            <v>23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10</v>
          </cell>
          <cell r="K227">
            <v>3</v>
          </cell>
          <cell r="L227">
            <v>0</v>
          </cell>
          <cell r="M227">
            <v>2</v>
          </cell>
          <cell r="N227">
            <v>0</v>
          </cell>
          <cell r="O227">
            <v>2</v>
          </cell>
          <cell r="P227">
            <v>0</v>
          </cell>
          <cell r="Q227">
            <v>0</v>
          </cell>
          <cell r="R227">
            <v>0</v>
          </cell>
          <cell r="S227">
            <v>2</v>
          </cell>
          <cell r="T227">
            <v>1</v>
          </cell>
          <cell r="U227">
            <v>1</v>
          </cell>
          <cell r="V227">
            <v>0</v>
          </cell>
          <cell r="W227">
            <v>4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3</v>
          </cell>
          <cell r="AE227">
            <v>0</v>
          </cell>
          <cell r="AF227">
            <v>0</v>
          </cell>
          <cell r="AG227">
            <v>0</v>
          </cell>
          <cell r="AH227"/>
          <cell r="AI227">
            <v>51</v>
          </cell>
          <cell r="AJ227">
            <v>23</v>
          </cell>
          <cell r="AK227">
            <v>10</v>
          </cell>
        </row>
        <row r="228">
          <cell r="C228">
            <v>350125009</v>
          </cell>
          <cell r="D228">
            <v>37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13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15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5</v>
          </cell>
          <cell r="AE228">
            <v>0</v>
          </cell>
          <cell r="AF228">
            <v>0</v>
          </cell>
          <cell r="AG228">
            <v>0</v>
          </cell>
          <cell r="AH228"/>
          <cell r="AI228">
            <v>70</v>
          </cell>
          <cell r="AJ228">
            <v>37</v>
          </cell>
          <cell r="AK228">
            <v>4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11</v>
          </cell>
          <cell r="K229">
            <v>0</v>
          </cell>
          <cell r="L229">
            <v>0</v>
          </cell>
          <cell r="M229">
            <v>4</v>
          </cell>
          <cell r="N229">
            <v>0</v>
          </cell>
          <cell r="O229">
            <v>7</v>
          </cell>
          <cell r="P229">
            <v>0</v>
          </cell>
          <cell r="Q229">
            <v>3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2</v>
          </cell>
          <cell r="AE229">
            <v>0</v>
          </cell>
          <cell r="AF229">
            <v>0</v>
          </cell>
          <cell r="AG229">
            <v>0</v>
          </cell>
          <cell r="AH229"/>
          <cell r="AI229">
            <v>27</v>
          </cell>
          <cell r="AJ229">
            <v>11</v>
          </cell>
          <cell r="AK229">
            <v>5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</v>
          </cell>
          <cell r="K230">
            <v>0</v>
          </cell>
          <cell r="L230">
            <v>5</v>
          </cell>
          <cell r="M230">
            <v>2</v>
          </cell>
          <cell r="N230">
            <v>0</v>
          </cell>
          <cell r="O230">
            <v>0</v>
          </cell>
          <cell r="P230">
            <v>9</v>
          </cell>
          <cell r="Q230">
            <v>1</v>
          </cell>
          <cell r="R230">
            <v>10</v>
          </cell>
          <cell r="S230">
            <v>5</v>
          </cell>
          <cell r="T230">
            <v>15</v>
          </cell>
          <cell r="U230">
            <v>0</v>
          </cell>
          <cell r="V230">
            <v>0</v>
          </cell>
          <cell r="W230">
            <v>1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/>
          <cell r="AI230">
            <v>50</v>
          </cell>
          <cell r="AJ230">
            <v>15</v>
          </cell>
          <cell r="AK230">
            <v>9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3</v>
          </cell>
          <cell r="K231">
            <v>0</v>
          </cell>
          <cell r="L231">
            <v>29</v>
          </cell>
          <cell r="M231">
            <v>18</v>
          </cell>
          <cell r="N231">
            <v>0</v>
          </cell>
          <cell r="O231">
            <v>1</v>
          </cell>
          <cell r="P231">
            <v>0</v>
          </cell>
          <cell r="Q231">
            <v>16</v>
          </cell>
          <cell r="R231">
            <v>0</v>
          </cell>
          <cell r="S231">
            <v>45</v>
          </cell>
          <cell r="T231">
            <v>5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/>
          <cell r="AI231">
            <v>117</v>
          </cell>
          <cell r="AJ231">
            <v>45</v>
          </cell>
          <cell r="AK231">
            <v>7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3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/>
          <cell r="AI232">
            <v>3</v>
          </cell>
          <cell r="AJ232">
            <v>3</v>
          </cell>
          <cell r="AK232">
            <v>1</v>
          </cell>
        </row>
        <row r="233">
          <cell r="C233">
            <v>350125014</v>
          </cell>
          <cell r="D233">
            <v>3</v>
          </cell>
          <cell r="E233">
            <v>0</v>
          </cell>
          <cell r="F233">
            <v>0</v>
          </cell>
          <cell r="G233">
            <v>15</v>
          </cell>
          <cell r="H233">
            <v>0</v>
          </cell>
          <cell r="I233">
            <v>3</v>
          </cell>
          <cell r="J233">
            <v>0</v>
          </cell>
          <cell r="K233">
            <v>0</v>
          </cell>
          <cell r="L233">
            <v>5</v>
          </cell>
          <cell r="M233">
            <v>0</v>
          </cell>
          <cell r="N233">
            <v>0</v>
          </cell>
          <cell r="O233">
            <v>2</v>
          </cell>
          <cell r="P233">
            <v>5</v>
          </cell>
          <cell r="Q233">
            <v>0</v>
          </cell>
          <cell r="R233">
            <v>9</v>
          </cell>
          <cell r="S233">
            <v>23</v>
          </cell>
          <cell r="T233">
            <v>12</v>
          </cell>
          <cell r="U233">
            <v>7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3</v>
          </cell>
          <cell r="AB233">
            <v>0</v>
          </cell>
          <cell r="AC233">
            <v>0</v>
          </cell>
          <cell r="AD233">
            <v>13</v>
          </cell>
          <cell r="AE233">
            <v>3</v>
          </cell>
          <cell r="AF233">
            <v>0</v>
          </cell>
          <cell r="AG233">
            <v>0</v>
          </cell>
          <cell r="AH233"/>
          <cell r="AI233">
            <v>103</v>
          </cell>
          <cell r="AJ233">
            <v>23</v>
          </cell>
          <cell r="AK233">
            <v>13</v>
          </cell>
        </row>
        <row r="234">
          <cell r="C234">
            <v>350125015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2</v>
          </cell>
          <cell r="J234">
            <v>4</v>
          </cell>
          <cell r="K234">
            <v>0</v>
          </cell>
          <cell r="L234">
            <v>2</v>
          </cell>
          <cell r="M234">
            <v>0</v>
          </cell>
          <cell r="N234">
            <v>3</v>
          </cell>
          <cell r="O234">
            <v>18</v>
          </cell>
          <cell r="P234">
            <v>31</v>
          </cell>
          <cell r="Q234">
            <v>21</v>
          </cell>
          <cell r="R234">
            <v>1</v>
          </cell>
          <cell r="S234">
            <v>2</v>
          </cell>
          <cell r="T234">
            <v>8</v>
          </cell>
          <cell r="U234">
            <v>4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4</v>
          </cell>
          <cell r="AB234">
            <v>0</v>
          </cell>
          <cell r="AC234">
            <v>0</v>
          </cell>
          <cell r="AD234">
            <v>38</v>
          </cell>
          <cell r="AE234">
            <v>19</v>
          </cell>
          <cell r="AF234">
            <v>0</v>
          </cell>
          <cell r="AG234">
            <v>0</v>
          </cell>
          <cell r="AH234"/>
          <cell r="AI234">
            <v>157</v>
          </cell>
          <cell r="AJ234">
            <v>38</v>
          </cell>
          <cell r="AK234">
            <v>14</v>
          </cell>
        </row>
        <row r="235">
          <cell r="C235">
            <v>350122032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4</v>
          </cell>
          <cell r="I235">
            <v>11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1</v>
          </cell>
          <cell r="Q235">
            <v>0</v>
          </cell>
          <cell r="R235">
            <v>1</v>
          </cell>
          <cell r="S235">
            <v>0</v>
          </cell>
          <cell r="T235">
            <v>2</v>
          </cell>
          <cell r="U235">
            <v>19</v>
          </cell>
          <cell r="V235">
            <v>0</v>
          </cell>
          <cell r="W235">
            <v>0</v>
          </cell>
          <cell r="X235">
            <v>8</v>
          </cell>
          <cell r="Y235">
            <v>0</v>
          </cell>
          <cell r="Z235">
            <v>0</v>
          </cell>
          <cell r="AA235">
            <v>25</v>
          </cell>
          <cell r="AB235">
            <v>2</v>
          </cell>
          <cell r="AC235">
            <v>12</v>
          </cell>
          <cell r="AD235">
            <v>21</v>
          </cell>
          <cell r="AE235">
            <v>0</v>
          </cell>
          <cell r="AF235">
            <v>0</v>
          </cell>
          <cell r="AG235">
            <v>0</v>
          </cell>
          <cell r="AH235"/>
          <cell r="AI235">
            <v>106</v>
          </cell>
          <cell r="AJ235">
            <v>25</v>
          </cell>
          <cell r="AK235">
            <v>11</v>
          </cell>
        </row>
      </sheetData>
      <sheetData sheetId="8">
        <row r="8">
          <cell r="C8">
            <v>350125005</v>
          </cell>
          <cell r="D8">
            <v>0</v>
          </cell>
          <cell r="E8">
            <v>0</v>
          </cell>
          <cell r="F8">
            <v>0</v>
          </cell>
          <cell r="G8">
            <v>9</v>
          </cell>
          <cell r="H8">
            <v>26</v>
          </cell>
          <cell r="I8">
            <v>37</v>
          </cell>
          <cell r="J8">
            <v>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7</v>
          </cell>
          <cell r="R8">
            <v>19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103</v>
          </cell>
          <cell r="AJ8">
            <v>37</v>
          </cell>
          <cell r="AK8">
            <v>6</v>
          </cell>
        </row>
        <row r="9"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6</v>
          </cell>
          <cell r="H9">
            <v>0</v>
          </cell>
          <cell r="I9">
            <v>38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46</v>
          </cell>
          <cell r="AJ9">
            <v>38</v>
          </cell>
          <cell r="AK9">
            <v>3</v>
          </cell>
        </row>
        <row r="10">
          <cell r="C10">
            <v>350125003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91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14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107</v>
          </cell>
          <cell r="AJ10">
            <v>91</v>
          </cell>
          <cell r="AK10">
            <v>4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11</v>
          </cell>
          <cell r="H11">
            <v>0</v>
          </cell>
          <cell r="I11">
            <v>56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22</v>
          </cell>
          <cell r="S11">
            <v>6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95</v>
          </cell>
          <cell r="AJ11">
            <v>56</v>
          </cell>
          <cell r="AK11">
            <v>4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55</v>
          </cell>
          <cell r="J12">
            <v>16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71</v>
          </cell>
          <cell r="AJ12">
            <v>55</v>
          </cell>
          <cell r="AK12">
            <v>2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108</v>
          </cell>
          <cell r="J13">
            <v>6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114</v>
          </cell>
          <cell r="AJ13">
            <v>108</v>
          </cell>
          <cell r="AK13">
            <v>2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44</v>
          </cell>
          <cell r="J14">
            <v>16</v>
          </cell>
          <cell r="K14">
            <v>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69</v>
          </cell>
          <cell r="AJ14">
            <v>44</v>
          </cell>
          <cell r="AK14">
            <v>4</v>
          </cell>
        </row>
        <row r="15">
          <cell r="C15">
            <v>350124022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28</v>
          </cell>
          <cell r="J15">
            <v>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44</v>
          </cell>
          <cell r="AJ15">
            <v>28</v>
          </cell>
          <cell r="AK15">
            <v>2</v>
          </cell>
        </row>
        <row r="16">
          <cell r="C16">
            <v>350124021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88</v>
          </cell>
          <cell r="J16">
            <v>12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101</v>
          </cell>
          <cell r="AJ16">
            <v>88</v>
          </cell>
          <cell r="AK16">
            <v>3</v>
          </cell>
        </row>
        <row r="17">
          <cell r="C17">
            <v>350124020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26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2</v>
          </cell>
          <cell r="T17">
            <v>0</v>
          </cell>
          <cell r="U17">
            <v>2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30</v>
          </cell>
          <cell r="AJ17">
            <v>26</v>
          </cell>
          <cell r="AK17">
            <v>3</v>
          </cell>
        </row>
        <row r="18">
          <cell r="C18">
            <v>350124019</v>
          </cell>
          <cell r="D18">
            <v>0</v>
          </cell>
          <cell r="E18">
            <v>0</v>
          </cell>
          <cell r="F18">
            <v>0</v>
          </cell>
          <cell r="G18">
            <v>10</v>
          </cell>
          <cell r="H18">
            <v>0</v>
          </cell>
          <cell r="I18">
            <v>16</v>
          </cell>
          <cell r="J18">
            <v>14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40</v>
          </cell>
          <cell r="AJ18">
            <v>16</v>
          </cell>
          <cell r="AK18">
            <v>3</v>
          </cell>
        </row>
        <row r="19">
          <cell r="C19">
            <v>350124018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21</v>
          </cell>
          <cell r="J19">
            <v>14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35</v>
          </cell>
          <cell r="AJ19">
            <v>21</v>
          </cell>
          <cell r="AK19">
            <v>2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4</v>
          </cell>
          <cell r="G20">
            <v>0</v>
          </cell>
          <cell r="H20">
            <v>0</v>
          </cell>
          <cell r="I20">
            <v>120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3</v>
          </cell>
          <cell r="AG20">
            <v>0</v>
          </cell>
          <cell r="AH20">
            <v>0</v>
          </cell>
          <cell r="AI20">
            <v>127</v>
          </cell>
          <cell r="AJ20">
            <v>120</v>
          </cell>
          <cell r="AK20">
            <v>3</v>
          </cell>
        </row>
        <row r="21">
          <cell r="C21">
            <v>350124016</v>
          </cell>
          <cell r="D21">
            <v>0</v>
          </cell>
          <cell r="E21">
            <v>0</v>
          </cell>
          <cell r="F21">
            <v>1</v>
          </cell>
          <cell r="G21">
            <v>0</v>
          </cell>
          <cell r="H21">
            <v>0</v>
          </cell>
          <cell r="I21">
            <v>73</v>
          </cell>
          <cell r="J21">
            <v>19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95</v>
          </cell>
          <cell r="AJ21">
            <v>73</v>
          </cell>
          <cell r="AK21">
            <v>5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46</v>
          </cell>
          <cell r="J22">
            <v>6</v>
          </cell>
          <cell r="K22">
            <v>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2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56</v>
          </cell>
          <cell r="AJ22">
            <v>46</v>
          </cell>
          <cell r="AK22">
            <v>4</v>
          </cell>
        </row>
        <row r="23">
          <cell r="C23">
            <v>350124014</v>
          </cell>
          <cell r="D23">
            <v>0</v>
          </cell>
          <cell r="E23">
            <v>0</v>
          </cell>
          <cell r="F23">
            <v>17</v>
          </cell>
          <cell r="G23">
            <v>0</v>
          </cell>
          <cell r="H23">
            <v>0</v>
          </cell>
          <cell r="I23">
            <v>94</v>
          </cell>
          <cell r="J23">
            <v>2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</v>
          </cell>
          <cell r="R23">
            <v>3</v>
          </cell>
          <cell r="S23">
            <v>7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125</v>
          </cell>
          <cell r="AJ23">
            <v>94</v>
          </cell>
          <cell r="AK23">
            <v>7</v>
          </cell>
        </row>
        <row r="24">
          <cell r="C24">
            <v>350124013</v>
          </cell>
          <cell r="D24">
            <v>0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92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1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96</v>
          </cell>
          <cell r="AJ24">
            <v>92</v>
          </cell>
          <cell r="AK24">
            <v>4</v>
          </cell>
        </row>
        <row r="25">
          <cell r="C25">
            <v>350124012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23</v>
          </cell>
          <cell r="J25">
            <v>12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12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3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50</v>
          </cell>
          <cell r="AJ25">
            <v>23</v>
          </cell>
          <cell r="AK25">
            <v>4</v>
          </cell>
        </row>
        <row r="26">
          <cell r="C26">
            <v>350124011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18</v>
          </cell>
          <cell r="J26">
            <v>38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2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58</v>
          </cell>
          <cell r="AJ26">
            <v>38</v>
          </cell>
          <cell r="AK26">
            <v>3</v>
          </cell>
        </row>
        <row r="27">
          <cell r="C27">
            <v>350124010</v>
          </cell>
          <cell r="D27">
            <v>0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142</v>
          </cell>
          <cell r="J27">
            <v>5</v>
          </cell>
          <cell r="K27">
            <v>6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8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3</v>
          </cell>
          <cell r="AG27">
            <v>0</v>
          </cell>
          <cell r="AH27">
            <v>0</v>
          </cell>
          <cell r="AI27">
            <v>166</v>
          </cell>
          <cell r="AJ27">
            <v>142</v>
          </cell>
          <cell r="AK27">
            <v>6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4</v>
          </cell>
          <cell r="I28">
            <v>89</v>
          </cell>
          <cell r="J28">
            <v>19</v>
          </cell>
          <cell r="K28">
            <v>0</v>
          </cell>
          <cell r="L28">
            <v>0</v>
          </cell>
          <cell r="M28">
            <v>0</v>
          </cell>
          <cell r="N28">
            <v>3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</v>
          </cell>
          <cell r="T28">
            <v>31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2</v>
          </cell>
          <cell r="Z28">
            <v>0</v>
          </cell>
          <cell r="AA28">
            <v>5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156</v>
          </cell>
          <cell r="AJ28">
            <v>89</v>
          </cell>
          <cell r="AK28">
            <v>8</v>
          </cell>
        </row>
        <row r="29">
          <cell r="C29">
            <v>350124008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38</v>
          </cell>
          <cell r="J29">
            <v>26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64</v>
          </cell>
          <cell r="AJ29">
            <v>38</v>
          </cell>
          <cell r="AK29">
            <v>2</v>
          </cell>
        </row>
        <row r="30">
          <cell r="C30">
            <v>350124007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30</v>
          </cell>
          <cell r="J30">
            <v>12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42</v>
          </cell>
          <cell r="AJ30">
            <v>30</v>
          </cell>
          <cell r="AK30">
            <v>2</v>
          </cell>
        </row>
        <row r="31">
          <cell r="C31">
            <v>350124006</v>
          </cell>
          <cell r="D31">
            <v>0</v>
          </cell>
          <cell r="E31">
            <v>0</v>
          </cell>
          <cell r="F31">
            <v>1</v>
          </cell>
          <cell r="G31">
            <v>0</v>
          </cell>
          <cell r="H31">
            <v>0</v>
          </cell>
          <cell r="I31">
            <v>18</v>
          </cell>
          <cell r="J31">
            <v>2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4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1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26</v>
          </cell>
          <cell r="AJ31">
            <v>18</v>
          </cell>
          <cell r="AK31">
            <v>5</v>
          </cell>
        </row>
        <row r="32">
          <cell r="C32">
            <v>350124005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76</v>
          </cell>
          <cell r="J32">
            <v>12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12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4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104</v>
          </cell>
          <cell r="AJ32">
            <v>76</v>
          </cell>
          <cell r="AK32">
            <v>4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79</v>
          </cell>
          <cell r="J33">
            <v>17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96</v>
          </cell>
          <cell r="AJ33">
            <v>79</v>
          </cell>
          <cell r="AK33">
            <v>2</v>
          </cell>
        </row>
        <row r="34">
          <cell r="C34">
            <v>350124003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54</v>
          </cell>
          <cell r="J34">
            <v>10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64</v>
          </cell>
          <cell r="AJ34">
            <v>54</v>
          </cell>
          <cell r="AK34">
            <v>2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12</v>
          </cell>
          <cell r="G35">
            <v>0</v>
          </cell>
          <cell r="H35">
            <v>0</v>
          </cell>
          <cell r="I35">
            <v>101</v>
          </cell>
          <cell r="J35">
            <v>0</v>
          </cell>
          <cell r="K35">
            <v>1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8</v>
          </cell>
          <cell r="S35">
            <v>4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126</v>
          </cell>
          <cell r="AJ35">
            <v>101</v>
          </cell>
          <cell r="AK35">
            <v>5</v>
          </cell>
        </row>
        <row r="36">
          <cell r="C36">
            <v>350124001</v>
          </cell>
          <cell r="D36">
            <v>0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45</v>
          </cell>
          <cell r="J36">
            <v>20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67</v>
          </cell>
          <cell r="AJ36">
            <v>45</v>
          </cell>
          <cell r="AK36">
            <v>3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38</v>
          </cell>
          <cell r="J37">
            <v>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5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44</v>
          </cell>
          <cell r="AJ37">
            <v>38</v>
          </cell>
          <cell r="AK37">
            <v>3</v>
          </cell>
        </row>
        <row r="38">
          <cell r="C38">
            <v>350123036</v>
          </cell>
          <cell r="D38">
            <v>0</v>
          </cell>
          <cell r="E38">
            <v>0</v>
          </cell>
          <cell r="F38">
            <v>8</v>
          </cell>
          <cell r="G38">
            <v>0</v>
          </cell>
          <cell r="H38">
            <v>0</v>
          </cell>
          <cell r="I38">
            <v>40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8</v>
          </cell>
          <cell r="Q38">
            <v>5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63</v>
          </cell>
          <cell r="AJ38">
            <v>40</v>
          </cell>
          <cell r="AK38">
            <v>5</v>
          </cell>
        </row>
        <row r="39">
          <cell r="C39">
            <v>350123035</v>
          </cell>
          <cell r="D39">
            <v>0</v>
          </cell>
          <cell r="E39">
            <v>0</v>
          </cell>
          <cell r="F39">
            <v>1</v>
          </cell>
          <cell r="G39">
            <v>0</v>
          </cell>
          <cell r="H39">
            <v>0</v>
          </cell>
          <cell r="I39">
            <v>52</v>
          </cell>
          <cell r="J39">
            <v>8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</v>
          </cell>
          <cell r="R39">
            <v>1</v>
          </cell>
          <cell r="S39">
            <v>0</v>
          </cell>
          <cell r="T39">
            <v>3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66</v>
          </cell>
          <cell r="AJ39">
            <v>52</v>
          </cell>
          <cell r="AK39">
            <v>6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3</v>
          </cell>
          <cell r="G40">
            <v>0</v>
          </cell>
          <cell r="H40">
            <v>0</v>
          </cell>
          <cell r="I40">
            <v>71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2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</v>
          </cell>
          <cell r="Z40">
            <v>0</v>
          </cell>
          <cell r="AA40">
            <v>1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79</v>
          </cell>
          <cell r="AJ40">
            <v>71</v>
          </cell>
          <cell r="AK40">
            <v>6</v>
          </cell>
        </row>
        <row r="41">
          <cell r="C41">
            <v>350123033</v>
          </cell>
          <cell r="D41">
            <v>0</v>
          </cell>
          <cell r="E41">
            <v>0</v>
          </cell>
          <cell r="F41">
            <v>3</v>
          </cell>
          <cell r="G41">
            <v>0</v>
          </cell>
          <cell r="H41">
            <v>32</v>
          </cell>
          <cell r="I41">
            <v>68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103</v>
          </cell>
          <cell r="AJ41">
            <v>68</v>
          </cell>
          <cell r="AK41">
            <v>3</v>
          </cell>
        </row>
        <row r="42">
          <cell r="C42">
            <v>350123032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5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50</v>
          </cell>
          <cell r="AJ42">
            <v>45</v>
          </cell>
          <cell r="AK42">
            <v>2</v>
          </cell>
        </row>
        <row r="43">
          <cell r="C43">
            <v>350123031</v>
          </cell>
          <cell r="D43">
            <v>0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64</v>
          </cell>
          <cell r="J43">
            <v>22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88</v>
          </cell>
          <cell r="AJ43">
            <v>64</v>
          </cell>
          <cell r="AK43">
            <v>3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27</v>
          </cell>
          <cell r="J44">
            <v>3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7</v>
          </cell>
          <cell r="R44">
            <v>0</v>
          </cell>
          <cell r="S44">
            <v>0</v>
          </cell>
          <cell r="T44">
            <v>30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67</v>
          </cell>
          <cell r="AJ44">
            <v>30</v>
          </cell>
          <cell r="AK44">
            <v>4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15</v>
          </cell>
          <cell r="G45">
            <v>0</v>
          </cell>
          <cell r="H45">
            <v>0</v>
          </cell>
          <cell r="I45">
            <v>79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10</v>
          </cell>
          <cell r="Q45">
            <v>3</v>
          </cell>
          <cell r="R45">
            <v>0</v>
          </cell>
          <cell r="S45">
            <v>7</v>
          </cell>
          <cell r="T45">
            <v>1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115</v>
          </cell>
          <cell r="AJ45">
            <v>79</v>
          </cell>
          <cell r="AK45">
            <v>6</v>
          </cell>
        </row>
        <row r="46">
          <cell r="C46">
            <v>350123028</v>
          </cell>
          <cell r="D46">
            <v>0</v>
          </cell>
          <cell r="E46">
            <v>0</v>
          </cell>
          <cell r="F46">
            <v>8</v>
          </cell>
          <cell r="G46">
            <v>0</v>
          </cell>
          <cell r="H46">
            <v>0</v>
          </cell>
          <cell r="I46">
            <v>28</v>
          </cell>
          <cell r="J46">
            <v>5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4</v>
          </cell>
          <cell r="Q46">
            <v>9</v>
          </cell>
          <cell r="R46">
            <v>0</v>
          </cell>
          <cell r="S46">
            <v>10</v>
          </cell>
          <cell r="T46">
            <v>2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66</v>
          </cell>
          <cell r="AJ46">
            <v>28</v>
          </cell>
          <cell r="AK46">
            <v>7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41</v>
          </cell>
          <cell r="J47">
            <v>15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27</v>
          </cell>
          <cell r="R47">
            <v>0</v>
          </cell>
          <cell r="S47">
            <v>0</v>
          </cell>
          <cell r="T47">
            <v>4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87</v>
          </cell>
          <cell r="AJ47">
            <v>41</v>
          </cell>
          <cell r="AK47">
            <v>4</v>
          </cell>
        </row>
        <row r="48">
          <cell r="C48">
            <v>350123026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24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1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26</v>
          </cell>
          <cell r="AJ48">
            <v>24</v>
          </cell>
          <cell r="AK48">
            <v>3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92</v>
          </cell>
          <cell r="J49">
            <v>8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80</v>
          </cell>
          <cell r="R49">
            <v>0</v>
          </cell>
          <cell r="S49">
            <v>4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30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214</v>
          </cell>
          <cell r="AJ49">
            <v>92</v>
          </cell>
          <cell r="AK49">
            <v>5</v>
          </cell>
        </row>
        <row r="50">
          <cell r="C50">
            <v>350123024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31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31</v>
          </cell>
          <cell r="AJ50">
            <v>31</v>
          </cell>
          <cell r="AK50">
            <v>1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12</v>
          </cell>
          <cell r="J51">
            <v>7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7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26</v>
          </cell>
          <cell r="AJ51">
            <v>12</v>
          </cell>
          <cell r="AK51">
            <v>3</v>
          </cell>
        </row>
        <row r="52">
          <cell r="C52">
            <v>350123022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62</v>
          </cell>
          <cell r="J52">
            <v>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66</v>
          </cell>
          <cell r="AJ52">
            <v>62</v>
          </cell>
          <cell r="AK52">
            <v>2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82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82</v>
          </cell>
          <cell r="AJ53">
            <v>82</v>
          </cell>
          <cell r="AK53">
            <v>1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28</v>
          </cell>
          <cell r="J54">
            <v>1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8</v>
          </cell>
          <cell r="R54">
            <v>0</v>
          </cell>
          <cell r="S54">
            <v>9</v>
          </cell>
          <cell r="T54">
            <v>33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3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82</v>
          </cell>
          <cell r="AJ54">
            <v>33</v>
          </cell>
          <cell r="AK54">
            <v>6</v>
          </cell>
        </row>
        <row r="55">
          <cell r="C55">
            <v>350123019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36</v>
          </cell>
          <cell r="J55">
            <v>6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3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45</v>
          </cell>
          <cell r="AJ55">
            <v>36</v>
          </cell>
          <cell r="AK55">
            <v>3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28</v>
          </cell>
          <cell r="J56">
            <v>47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6</v>
          </cell>
          <cell r="R56">
            <v>0</v>
          </cell>
          <cell r="S56">
            <v>0</v>
          </cell>
          <cell r="T56">
            <v>15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96</v>
          </cell>
          <cell r="AJ56">
            <v>47</v>
          </cell>
          <cell r="AK56">
            <v>4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20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6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26</v>
          </cell>
          <cell r="AJ57">
            <v>20</v>
          </cell>
          <cell r="AK57">
            <v>2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53</v>
          </cell>
          <cell r="J58">
            <v>2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56</v>
          </cell>
          <cell r="AJ58">
            <v>53</v>
          </cell>
          <cell r="AK58">
            <v>3</v>
          </cell>
        </row>
        <row r="59">
          <cell r="C59">
            <v>350123015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23</v>
          </cell>
          <cell r="J59">
            <v>26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3</v>
          </cell>
          <cell r="R59">
            <v>0</v>
          </cell>
          <cell r="S59">
            <v>0</v>
          </cell>
          <cell r="T59">
            <v>2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54</v>
          </cell>
          <cell r="AJ59">
            <v>26</v>
          </cell>
          <cell r="AK59">
            <v>4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34</v>
          </cell>
          <cell r="J60">
            <v>22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8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64</v>
          </cell>
          <cell r="AJ60">
            <v>34</v>
          </cell>
          <cell r="AK60">
            <v>3</v>
          </cell>
        </row>
        <row r="61">
          <cell r="C61">
            <v>350123013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23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23</v>
          </cell>
          <cell r="AJ61">
            <v>23</v>
          </cell>
          <cell r="AK61">
            <v>1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31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13</v>
          </cell>
          <cell r="R62">
            <v>0</v>
          </cell>
          <cell r="S62">
            <v>3</v>
          </cell>
          <cell r="T62">
            <v>2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49</v>
          </cell>
          <cell r="AJ62">
            <v>31</v>
          </cell>
          <cell r="AK62">
            <v>4</v>
          </cell>
        </row>
        <row r="63">
          <cell r="C63">
            <v>350123011</v>
          </cell>
          <cell r="D63">
            <v>0</v>
          </cell>
          <cell r="E63">
            <v>0</v>
          </cell>
          <cell r="F63">
            <v>3</v>
          </cell>
          <cell r="G63">
            <v>0</v>
          </cell>
          <cell r="H63">
            <v>1</v>
          </cell>
          <cell r="I63">
            <v>65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3</v>
          </cell>
          <cell r="Q63">
            <v>0</v>
          </cell>
          <cell r="R63">
            <v>17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89</v>
          </cell>
          <cell r="AJ63">
            <v>65</v>
          </cell>
          <cell r="AK63">
            <v>5</v>
          </cell>
        </row>
        <row r="64">
          <cell r="C64">
            <v>350123010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25</v>
          </cell>
          <cell r="J64">
            <v>29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17</v>
          </cell>
          <cell r="R64">
            <v>0</v>
          </cell>
          <cell r="S64">
            <v>0</v>
          </cell>
          <cell r="T64">
            <v>23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94</v>
          </cell>
          <cell r="AJ64">
            <v>29</v>
          </cell>
          <cell r="AK64">
            <v>4</v>
          </cell>
        </row>
        <row r="65">
          <cell r="C65">
            <v>350123009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27</v>
          </cell>
          <cell r="J65">
            <v>22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8</v>
          </cell>
          <cell r="R65">
            <v>0</v>
          </cell>
          <cell r="S65">
            <v>3.5</v>
          </cell>
          <cell r="T65">
            <v>10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7</v>
          </cell>
          <cell r="Z65">
            <v>10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87.5</v>
          </cell>
          <cell r="AJ65">
            <v>27</v>
          </cell>
          <cell r="AK65">
            <v>7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25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33</v>
          </cell>
          <cell r="AJ66">
            <v>25</v>
          </cell>
          <cell r="AK66">
            <v>2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28</v>
          </cell>
          <cell r="J67">
            <v>5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34</v>
          </cell>
          <cell r="R67">
            <v>0</v>
          </cell>
          <cell r="S67">
            <v>4</v>
          </cell>
          <cell r="T67">
            <v>10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13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94</v>
          </cell>
          <cell r="AJ67">
            <v>34</v>
          </cell>
          <cell r="AK67">
            <v>6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21</v>
          </cell>
          <cell r="J68">
            <v>12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7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40</v>
          </cell>
          <cell r="AJ68">
            <v>21</v>
          </cell>
          <cell r="AK68">
            <v>3</v>
          </cell>
        </row>
        <row r="69">
          <cell r="C69">
            <v>350123005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21</v>
          </cell>
          <cell r="I69">
            <v>16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3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40</v>
          </cell>
          <cell r="AJ69">
            <v>21</v>
          </cell>
          <cell r="AK69">
            <v>3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51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6</v>
          </cell>
          <cell r="R70">
            <v>0</v>
          </cell>
          <cell r="S70">
            <v>14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71</v>
          </cell>
          <cell r="AJ70">
            <v>51</v>
          </cell>
          <cell r="AK70">
            <v>3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64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16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80</v>
          </cell>
          <cell r="AJ71">
            <v>64</v>
          </cell>
          <cell r="AK71">
            <v>2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60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31</v>
          </cell>
          <cell r="R72">
            <v>0</v>
          </cell>
          <cell r="S72">
            <v>0</v>
          </cell>
          <cell r="T72">
            <v>2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112</v>
          </cell>
          <cell r="AJ72">
            <v>60</v>
          </cell>
          <cell r="AK72">
            <v>4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33</v>
          </cell>
          <cell r="J73">
            <v>21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7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3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64</v>
          </cell>
          <cell r="AJ73">
            <v>33</v>
          </cell>
          <cell r="AK73">
            <v>4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26</v>
          </cell>
          <cell r="J74">
            <v>2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28</v>
          </cell>
          <cell r="AJ74">
            <v>26</v>
          </cell>
          <cell r="AK74">
            <v>2</v>
          </cell>
        </row>
        <row r="75">
          <cell r="C75">
            <v>350122030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35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17</v>
          </cell>
          <cell r="P75">
            <v>0</v>
          </cell>
          <cell r="Q75">
            <v>4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56</v>
          </cell>
          <cell r="AJ75">
            <v>35</v>
          </cell>
          <cell r="AK75">
            <v>3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31</v>
          </cell>
          <cell r="J76">
            <v>17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1</v>
          </cell>
          <cell r="P76">
            <v>0</v>
          </cell>
          <cell r="Q76">
            <v>2</v>
          </cell>
          <cell r="R76">
            <v>0</v>
          </cell>
          <cell r="S76">
            <v>0</v>
          </cell>
          <cell r="T76">
            <v>7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58</v>
          </cell>
          <cell r="AJ76">
            <v>31</v>
          </cell>
          <cell r="AK76">
            <v>5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8</v>
          </cell>
          <cell r="J77">
            <v>4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2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14</v>
          </cell>
          <cell r="AJ77">
            <v>8</v>
          </cell>
          <cell r="AK77">
            <v>3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61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0.5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62.5</v>
          </cell>
          <cell r="AJ78">
            <v>61</v>
          </cell>
          <cell r="AK78">
            <v>3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2.5</v>
          </cell>
          <cell r="G79">
            <v>0</v>
          </cell>
          <cell r="H79">
            <v>0</v>
          </cell>
          <cell r="I79">
            <v>1.5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3.5</v>
          </cell>
          <cell r="P79">
            <v>0</v>
          </cell>
          <cell r="Q79">
            <v>6.5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14</v>
          </cell>
          <cell r="AJ79">
            <v>6.5</v>
          </cell>
          <cell r="AK79">
            <v>4</v>
          </cell>
        </row>
        <row r="80">
          <cell r="C80">
            <v>350122025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25</v>
          </cell>
          <cell r="J80">
            <v>7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32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66</v>
          </cell>
          <cell r="AJ80">
            <v>32</v>
          </cell>
          <cell r="AK80">
            <v>4</v>
          </cell>
        </row>
        <row r="81">
          <cell r="C81">
            <v>350122024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24</v>
          </cell>
          <cell r="J81">
            <v>8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17</v>
          </cell>
          <cell r="R81">
            <v>1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1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51</v>
          </cell>
          <cell r="AJ81">
            <v>24</v>
          </cell>
          <cell r="AK81">
            <v>5</v>
          </cell>
        </row>
        <row r="82">
          <cell r="C82">
            <v>350122023</v>
          </cell>
          <cell r="D82">
            <v>0</v>
          </cell>
          <cell r="E82">
            <v>0</v>
          </cell>
          <cell r="F82">
            <v>1</v>
          </cell>
          <cell r="G82">
            <v>0</v>
          </cell>
          <cell r="H82">
            <v>0</v>
          </cell>
          <cell r="I82">
            <v>24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23</v>
          </cell>
          <cell r="P82">
            <v>0</v>
          </cell>
          <cell r="Q82">
            <v>25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73</v>
          </cell>
          <cell r="AJ82">
            <v>25</v>
          </cell>
          <cell r="AK82">
            <v>4</v>
          </cell>
        </row>
        <row r="83">
          <cell r="C83">
            <v>350122022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19</v>
          </cell>
          <cell r="J83">
            <v>8.5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37.5</v>
          </cell>
          <cell r="AJ83">
            <v>19</v>
          </cell>
          <cell r="AK83">
            <v>3</v>
          </cell>
        </row>
        <row r="84">
          <cell r="C84">
            <v>350122021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13</v>
          </cell>
          <cell r="P84">
            <v>0</v>
          </cell>
          <cell r="Q84">
            <v>14.5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27.5</v>
          </cell>
          <cell r="AJ84">
            <v>14.5</v>
          </cell>
          <cell r="AK84">
            <v>2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15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16</v>
          </cell>
          <cell r="P85">
            <v>0</v>
          </cell>
          <cell r="Q85">
            <v>15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46</v>
          </cell>
          <cell r="AJ85">
            <v>16</v>
          </cell>
          <cell r="AK85">
            <v>3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17.5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5.5</v>
          </cell>
          <cell r="P86">
            <v>3</v>
          </cell>
          <cell r="Q86">
            <v>0</v>
          </cell>
          <cell r="R86">
            <v>0</v>
          </cell>
          <cell r="S86">
            <v>0</v>
          </cell>
          <cell r="T86">
            <v>3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29</v>
          </cell>
          <cell r="AJ86">
            <v>17.5</v>
          </cell>
          <cell r="AK86">
            <v>4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14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14</v>
          </cell>
          <cell r="AJ87">
            <v>14</v>
          </cell>
          <cell r="AK87">
            <v>1</v>
          </cell>
        </row>
        <row r="88">
          <cell r="C88">
            <v>350122017</v>
          </cell>
          <cell r="D88">
            <v>0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74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40</v>
          </cell>
          <cell r="P88">
            <v>0</v>
          </cell>
          <cell r="Q88">
            <v>4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120</v>
          </cell>
          <cell r="AJ88">
            <v>74</v>
          </cell>
          <cell r="AK88">
            <v>4</v>
          </cell>
        </row>
        <row r="89">
          <cell r="C89">
            <v>350122016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45</v>
          </cell>
          <cell r="J89">
            <v>5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51</v>
          </cell>
          <cell r="AJ89">
            <v>45</v>
          </cell>
          <cell r="AK89">
            <v>3</v>
          </cell>
        </row>
        <row r="90">
          <cell r="C90">
            <v>350122015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19</v>
          </cell>
          <cell r="J90">
            <v>14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33</v>
          </cell>
          <cell r="AJ90">
            <v>19</v>
          </cell>
          <cell r="AK90">
            <v>2</v>
          </cell>
        </row>
        <row r="91">
          <cell r="C91">
            <v>350122014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21</v>
          </cell>
          <cell r="J91">
            <v>8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3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32</v>
          </cell>
          <cell r="AJ91">
            <v>21</v>
          </cell>
          <cell r="AK91">
            <v>3</v>
          </cell>
        </row>
        <row r="92">
          <cell r="C92">
            <v>350122013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44</v>
          </cell>
          <cell r="J92">
            <v>29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73</v>
          </cell>
          <cell r="AJ92">
            <v>44</v>
          </cell>
          <cell r="AK92">
            <v>2</v>
          </cell>
        </row>
        <row r="93">
          <cell r="C93">
            <v>350122012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84</v>
          </cell>
          <cell r="J93">
            <v>18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102</v>
          </cell>
          <cell r="AJ93">
            <v>84</v>
          </cell>
          <cell r="AK93">
            <v>2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33</v>
          </cell>
          <cell r="J94">
            <v>10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3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30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76</v>
          </cell>
          <cell r="AJ94">
            <v>33</v>
          </cell>
          <cell r="AK94">
            <v>4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7</v>
          </cell>
          <cell r="J95">
            <v>18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5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30</v>
          </cell>
          <cell r="AJ95">
            <v>18</v>
          </cell>
          <cell r="AK95">
            <v>3</v>
          </cell>
        </row>
        <row r="96">
          <cell r="C96">
            <v>350122009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69</v>
          </cell>
          <cell r="J96">
            <v>18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87</v>
          </cell>
          <cell r="AJ96">
            <v>69</v>
          </cell>
          <cell r="AK96">
            <v>2</v>
          </cell>
        </row>
        <row r="97"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49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49</v>
          </cell>
          <cell r="AJ97">
            <v>49</v>
          </cell>
          <cell r="AK97">
            <v>1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7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5</v>
          </cell>
          <cell r="P98">
            <v>0</v>
          </cell>
          <cell r="Q98">
            <v>24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36</v>
          </cell>
          <cell r="AJ98">
            <v>24</v>
          </cell>
          <cell r="AK98">
            <v>3</v>
          </cell>
        </row>
        <row r="99">
          <cell r="C99">
            <v>350122006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3</v>
          </cell>
          <cell r="I99">
            <v>99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23</v>
          </cell>
          <cell r="P99">
            <v>0</v>
          </cell>
          <cell r="Q99">
            <v>25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150</v>
          </cell>
          <cell r="AJ99">
            <v>99</v>
          </cell>
          <cell r="AK99">
            <v>4</v>
          </cell>
        </row>
        <row r="100">
          <cell r="C100">
            <v>350122005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59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2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62</v>
          </cell>
          <cell r="AJ100">
            <v>59</v>
          </cell>
          <cell r="AK100">
            <v>3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41</v>
          </cell>
          <cell r="J101">
            <v>25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66</v>
          </cell>
          <cell r="AJ101">
            <v>41</v>
          </cell>
          <cell r="AK101">
            <v>2</v>
          </cell>
        </row>
        <row r="102">
          <cell r="C102">
            <v>350122003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31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31</v>
          </cell>
          <cell r="AJ102">
            <v>31</v>
          </cell>
          <cell r="AK102">
            <v>1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75</v>
          </cell>
          <cell r="J103">
            <v>5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6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86</v>
          </cell>
          <cell r="AJ103">
            <v>75</v>
          </cell>
          <cell r="AK103">
            <v>3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23</v>
          </cell>
          <cell r="J104">
            <v>18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50</v>
          </cell>
          <cell r="AJ104">
            <v>23</v>
          </cell>
          <cell r="AK104">
            <v>3</v>
          </cell>
        </row>
        <row r="105">
          <cell r="C105">
            <v>350619001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1.5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18</v>
          </cell>
          <cell r="P105">
            <v>0</v>
          </cell>
          <cell r="Q105">
            <v>0</v>
          </cell>
          <cell r="R105">
            <v>3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22.5</v>
          </cell>
          <cell r="AJ105">
            <v>18</v>
          </cell>
          <cell r="AK105">
            <v>3</v>
          </cell>
        </row>
        <row r="106">
          <cell r="C106">
            <v>350619002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4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4</v>
          </cell>
          <cell r="AJ106">
            <v>4</v>
          </cell>
          <cell r="AK106">
            <v>1</v>
          </cell>
        </row>
        <row r="107">
          <cell r="C107">
            <v>350619003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</row>
        <row r="108">
          <cell r="C108">
            <v>350619004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</row>
        <row r="109">
          <cell r="C109">
            <v>350619005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6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6</v>
          </cell>
          <cell r="AJ109">
            <v>6</v>
          </cell>
          <cell r="AK109">
            <v>1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5</v>
          </cell>
          <cell r="P110">
            <v>0</v>
          </cell>
          <cell r="Q110">
            <v>11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16</v>
          </cell>
          <cell r="AJ110">
            <v>11</v>
          </cell>
          <cell r="AK110">
            <v>2</v>
          </cell>
        </row>
        <row r="111">
          <cell r="C111">
            <v>350619007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3</v>
          </cell>
          <cell r="AJ111">
            <v>3</v>
          </cell>
          <cell r="AK111">
            <v>1</v>
          </cell>
        </row>
        <row r="112">
          <cell r="C112">
            <v>350619008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6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6</v>
          </cell>
          <cell r="AJ112">
            <v>6</v>
          </cell>
          <cell r="AK112">
            <v>1</v>
          </cell>
        </row>
        <row r="113">
          <cell r="C113">
            <v>350619009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5</v>
          </cell>
          <cell r="AJ113">
            <v>5</v>
          </cell>
          <cell r="AK113">
            <v>1</v>
          </cell>
        </row>
        <row r="114">
          <cell r="C114">
            <v>350619010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18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18</v>
          </cell>
          <cell r="AJ115">
            <v>18</v>
          </cell>
          <cell r="AK115">
            <v>1</v>
          </cell>
        </row>
        <row r="116">
          <cell r="C116">
            <v>350619012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7</v>
          </cell>
          <cell r="R116">
            <v>0</v>
          </cell>
          <cell r="S116">
            <v>0</v>
          </cell>
          <cell r="T116">
            <v>5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12</v>
          </cell>
          <cell r="AJ116">
            <v>7</v>
          </cell>
          <cell r="AK116">
            <v>2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16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16</v>
          </cell>
          <cell r="AJ117">
            <v>16</v>
          </cell>
          <cell r="AK117">
            <v>1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</row>
        <row r="119">
          <cell r="C119">
            <v>350619015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3</v>
          </cell>
          <cell r="AJ119">
            <v>3</v>
          </cell>
          <cell r="AK119">
            <v>1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C122">
            <v>350619018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10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10</v>
          </cell>
          <cell r="AJ122">
            <v>10</v>
          </cell>
          <cell r="AK122">
            <v>1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3</v>
          </cell>
          <cell r="AJ123">
            <v>3</v>
          </cell>
          <cell r="AK123">
            <v>1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C125">
            <v>350619021</v>
          </cell>
          <cell r="D125">
            <v>0</v>
          </cell>
          <cell r="E125">
            <v>0</v>
          </cell>
          <cell r="F125">
            <v>0</v>
          </cell>
          <cell r="G125">
            <v>1</v>
          </cell>
          <cell r="H125">
            <v>0</v>
          </cell>
          <cell r="I125">
            <v>2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16</v>
          </cell>
          <cell r="P125">
            <v>0</v>
          </cell>
          <cell r="Q125">
            <v>0</v>
          </cell>
          <cell r="R125">
            <v>4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23</v>
          </cell>
          <cell r="AJ125">
            <v>16</v>
          </cell>
          <cell r="AK125">
            <v>4</v>
          </cell>
        </row>
        <row r="126">
          <cell r="C126">
            <v>350619022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9</v>
          </cell>
          <cell r="J126">
            <v>2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23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34</v>
          </cell>
          <cell r="AJ126">
            <v>23</v>
          </cell>
          <cell r="AK126">
            <v>3</v>
          </cell>
        </row>
        <row r="127">
          <cell r="C127">
            <v>350619023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3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7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10</v>
          </cell>
          <cell r="AJ127">
            <v>7</v>
          </cell>
          <cell r="AK127">
            <v>2</v>
          </cell>
        </row>
        <row r="128">
          <cell r="C128">
            <v>350619024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4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13</v>
          </cell>
          <cell r="P128">
            <v>0</v>
          </cell>
          <cell r="Q128">
            <v>0</v>
          </cell>
          <cell r="R128">
            <v>7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24</v>
          </cell>
          <cell r="AJ128">
            <v>13</v>
          </cell>
          <cell r="AK128">
            <v>3</v>
          </cell>
        </row>
        <row r="129">
          <cell r="C129">
            <v>350619025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2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15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17</v>
          </cell>
          <cell r="AJ129">
            <v>15</v>
          </cell>
          <cell r="AK129">
            <v>2</v>
          </cell>
        </row>
        <row r="130">
          <cell r="C130">
            <v>350619026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</row>
        <row r="131">
          <cell r="C131">
            <v>350619027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</v>
          </cell>
          <cell r="J131">
            <v>4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16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21</v>
          </cell>
          <cell r="AJ131">
            <v>16</v>
          </cell>
          <cell r="AK131">
            <v>3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6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6</v>
          </cell>
          <cell r="AJ132">
            <v>6</v>
          </cell>
          <cell r="AK132">
            <v>1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2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4</v>
          </cell>
          <cell r="P133">
            <v>0</v>
          </cell>
          <cell r="Q133">
            <v>3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9</v>
          </cell>
          <cell r="AJ133">
            <v>4</v>
          </cell>
          <cell r="AK133">
            <v>3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10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10</v>
          </cell>
          <cell r="AJ134">
            <v>10</v>
          </cell>
          <cell r="AK134">
            <v>1</v>
          </cell>
        </row>
        <row r="135">
          <cell r="C135">
            <v>350619031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1</v>
          </cell>
          <cell r="J135">
            <v>11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3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15</v>
          </cell>
          <cell r="AJ135">
            <v>11</v>
          </cell>
          <cell r="AK135">
            <v>3</v>
          </cell>
        </row>
        <row r="136">
          <cell r="C136">
            <v>350619032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15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16</v>
          </cell>
          <cell r="AJ136">
            <v>15</v>
          </cell>
          <cell r="AK136">
            <v>2</v>
          </cell>
        </row>
        <row r="137">
          <cell r="C137">
            <v>350619033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16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18</v>
          </cell>
          <cell r="AJ137">
            <v>16</v>
          </cell>
          <cell r="AK137">
            <v>2</v>
          </cell>
        </row>
        <row r="138">
          <cell r="C138">
            <v>350619034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10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10</v>
          </cell>
          <cell r="AJ138">
            <v>10</v>
          </cell>
          <cell r="AK138">
            <v>1</v>
          </cell>
        </row>
        <row r="139">
          <cell r="C139">
            <v>350619035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8</v>
          </cell>
          <cell r="I139">
            <v>12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18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38</v>
          </cell>
          <cell r="AJ139">
            <v>18</v>
          </cell>
          <cell r="AK139">
            <v>3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10</v>
          </cell>
          <cell r="AJ140">
            <v>10</v>
          </cell>
          <cell r="AK140">
            <v>1</v>
          </cell>
        </row>
        <row r="141">
          <cell r="C141">
            <v>350620001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17</v>
          </cell>
          <cell r="J141">
            <v>12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2</v>
          </cell>
          <cell r="P141">
            <v>1</v>
          </cell>
          <cell r="Q141">
            <v>4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36</v>
          </cell>
          <cell r="AJ141">
            <v>17</v>
          </cell>
          <cell r="AK141">
            <v>5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35</v>
          </cell>
          <cell r="J142">
            <v>12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2</v>
          </cell>
          <cell r="P142">
            <v>0</v>
          </cell>
          <cell r="Q142">
            <v>14</v>
          </cell>
          <cell r="R142">
            <v>0</v>
          </cell>
          <cell r="S142">
            <v>1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64</v>
          </cell>
          <cell r="AJ142">
            <v>35</v>
          </cell>
          <cell r="AK142">
            <v>5</v>
          </cell>
        </row>
        <row r="143">
          <cell r="C143">
            <v>350620003</v>
          </cell>
          <cell r="D143">
            <v>0</v>
          </cell>
          <cell r="E143">
            <v>0</v>
          </cell>
          <cell r="F143">
            <v>4</v>
          </cell>
          <cell r="G143">
            <v>0</v>
          </cell>
          <cell r="H143">
            <v>0</v>
          </cell>
          <cell r="I143">
            <v>17</v>
          </cell>
          <cell r="J143">
            <v>8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2</v>
          </cell>
          <cell r="P143">
            <v>0</v>
          </cell>
          <cell r="Q143">
            <v>4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35</v>
          </cell>
          <cell r="AJ143">
            <v>17</v>
          </cell>
          <cell r="AK143">
            <v>5</v>
          </cell>
        </row>
        <row r="144">
          <cell r="C144">
            <v>350620004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19</v>
          </cell>
          <cell r="J144">
            <v>25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2</v>
          </cell>
          <cell r="P144">
            <v>2</v>
          </cell>
          <cell r="Q144">
            <v>6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55</v>
          </cell>
          <cell r="AJ144">
            <v>25</v>
          </cell>
          <cell r="AK144">
            <v>6</v>
          </cell>
        </row>
        <row r="145">
          <cell r="C145">
            <v>350620005</v>
          </cell>
          <cell r="D145">
            <v>0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30</v>
          </cell>
          <cell r="J145">
            <v>10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2</v>
          </cell>
          <cell r="P145">
            <v>0</v>
          </cell>
          <cell r="Q145">
            <v>5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49</v>
          </cell>
          <cell r="AJ145">
            <v>30</v>
          </cell>
          <cell r="AK145">
            <v>5</v>
          </cell>
        </row>
        <row r="146">
          <cell r="C146">
            <v>350620006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51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3</v>
          </cell>
          <cell r="P146">
            <v>1</v>
          </cell>
          <cell r="Q146">
            <v>6</v>
          </cell>
          <cell r="R146">
            <v>2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63</v>
          </cell>
          <cell r="AJ146">
            <v>51</v>
          </cell>
          <cell r="AK146">
            <v>5</v>
          </cell>
        </row>
        <row r="147">
          <cell r="C147">
            <v>350620007</v>
          </cell>
          <cell r="D147">
            <v>0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30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6</v>
          </cell>
          <cell r="P147">
            <v>0</v>
          </cell>
          <cell r="Q147">
            <v>3</v>
          </cell>
          <cell r="R147">
            <v>6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47</v>
          </cell>
          <cell r="AJ147">
            <v>30</v>
          </cell>
          <cell r="AK147">
            <v>5</v>
          </cell>
        </row>
        <row r="148">
          <cell r="C148">
            <v>350620008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10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2</v>
          </cell>
          <cell r="P148">
            <v>3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15</v>
          </cell>
          <cell r="AJ148">
            <v>10</v>
          </cell>
          <cell r="AK148">
            <v>3</v>
          </cell>
        </row>
        <row r="149">
          <cell r="C149">
            <v>350620009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46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0</v>
          </cell>
          <cell r="Q149">
            <v>14</v>
          </cell>
          <cell r="R149">
            <v>14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75</v>
          </cell>
          <cell r="AJ149">
            <v>46</v>
          </cell>
          <cell r="AK149">
            <v>4</v>
          </cell>
        </row>
        <row r="150">
          <cell r="C150">
            <v>350620010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24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1</v>
          </cell>
          <cell r="P150">
            <v>0</v>
          </cell>
          <cell r="Q150">
            <v>28</v>
          </cell>
          <cell r="R150">
            <v>2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55</v>
          </cell>
          <cell r="AJ150">
            <v>28</v>
          </cell>
          <cell r="AK150">
            <v>4</v>
          </cell>
        </row>
        <row r="151">
          <cell r="C151">
            <v>350620011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43</v>
          </cell>
          <cell r="J151">
            <v>0</v>
          </cell>
          <cell r="K151">
            <v>3</v>
          </cell>
          <cell r="L151">
            <v>0</v>
          </cell>
          <cell r="M151">
            <v>0</v>
          </cell>
          <cell r="N151">
            <v>0</v>
          </cell>
          <cell r="O151">
            <v>3</v>
          </cell>
          <cell r="P151">
            <v>0</v>
          </cell>
          <cell r="Q151">
            <v>48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97</v>
          </cell>
          <cell r="AJ151">
            <v>48</v>
          </cell>
          <cell r="AK151">
            <v>4</v>
          </cell>
        </row>
        <row r="152">
          <cell r="C152">
            <v>350620012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32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13</v>
          </cell>
          <cell r="R152">
            <v>5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50</v>
          </cell>
          <cell r="AJ152">
            <v>32</v>
          </cell>
          <cell r="AK152">
            <v>3</v>
          </cell>
        </row>
        <row r="153">
          <cell r="C153">
            <v>350620013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20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31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52</v>
          </cell>
          <cell r="AJ153">
            <v>31</v>
          </cell>
          <cell r="AK153">
            <v>3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4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4</v>
          </cell>
          <cell r="AJ154">
            <v>4</v>
          </cell>
          <cell r="AK154">
            <v>1</v>
          </cell>
        </row>
        <row r="155">
          <cell r="C155">
            <v>350620015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41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41</v>
          </cell>
          <cell r="AJ155">
            <v>41</v>
          </cell>
          <cell r="AK155">
            <v>1</v>
          </cell>
        </row>
        <row r="156">
          <cell r="C156">
            <v>350620016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75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75</v>
          </cell>
          <cell r="AJ156">
            <v>75</v>
          </cell>
          <cell r="AK156">
            <v>1</v>
          </cell>
        </row>
        <row r="157">
          <cell r="C157">
            <v>350620017</v>
          </cell>
          <cell r="D157">
            <v>0</v>
          </cell>
          <cell r="E157">
            <v>0</v>
          </cell>
          <cell r="F157">
            <v>1</v>
          </cell>
          <cell r="G157">
            <v>0</v>
          </cell>
          <cell r="H157">
            <v>0</v>
          </cell>
          <cell r="I157">
            <v>2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7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10</v>
          </cell>
          <cell r="AJ157">
            <v>7</v>
          </cell>
          <cell r="AK157">
            <v>3</v>
          </cell>
        </row>
        <row r="158">
          <cell r="C158">
            <v>350620018</v>
          </cell>
          <cell r="D158">
            <v>0</v>
          </cell>
          <cell r="E158">
            <v>2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4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6</v>
          </cell>
          <cell r="AJ158">
            <v>4</v>
          </cell>
          <cell r="AK158">
            <v>2</v>
          </cell>
        </row>
        <row r="159"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8</v>
          </cell>
          <cell r="I159">
            <v>39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19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66</v>
          </cell>
          <cell r="AJ159">
            <v>39</v>
          </cell>
          <cell r="AK159">
            <v>3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14</v>
          </cell>
          <cell r="J160">
            <v>7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2</v>
          </cell>
          <cell r="P160">
            <v>0</v>
          </cell>
          <cell r="Q160">
            <v>2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25</v>
          </cell>
          <cell r="AJ160">
            <v>14</v>
          </cell>
          <cell r="AK160">
            <v>4</v>
          </cell>
        </row>
        <row r="161">
          <cell r="C161">
            <v>350621001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11</v>
          </cell>
          <cell r="P161">
            <v>0</v>
          </cell>
          <cell r="Q161">
            <v>4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18</v>
          </cell>
          <cell r="AJ161">
            <v>11</v>
          </cell>
          <cell r="AK161">
            <v>3</v>
          </cell>
        </row>
        <row r="162">
          <cell r="C162">
            <v>350621002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36</v>
          </cell>
          <cell r="J162">
            <v>11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2</v>
          </cell>
          <cell r="P162">
            <v>0</v>
          </cell>
          <cell r="Q162">
            <v>7</v>
          </cell>
          <cell r="R162">
            <v>1</v>
          </cell>
          <cell r="S162">
            <v>3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60</v>
          </cell>
          <cell r="AJ162">
            <v>36</v>
          </cell>
          <cell r="AK162">
            <v>6</v>
          </cell>
        </row>
        <row r="163">
          <cell r="C163">
            <v>350621003</v>
          </cell>
          <cell r="D163">
            <v>0</v>
          </cell>
          <cell r="E163">
            <v>0</v>
          </cell>
          <cell r="F163">
            <v>0</v>
          </cell>
          <cell r="G163">
            <v>5</v>
          </cell>
          <cell r="H163">
            <v>0</v>
          </cell>
          <cell r="I163">
            <v>1</v>
          </cell>
          <cell r="J163">
            <v>2.5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8.5</v>
          </cell>
          <cell r="AJ163">
            <v>5</v>
          </cell>
          <cell r="AK163">
            <v>3</v>
          </cell>
        </row>
        <row r="164">
          <cell r="C164">
            <v>350621004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1</v>
          </cell>
          <cell r="AK164">
            <v>1</v>
          </cell>
        </row>
        <row r="165">
          <cell r="C165">
            <v>350621005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1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1</v>
          </cell>
          <cell r="AK165">
            <v>1</v>
          </cell>
        </row>
        <row r="166">
          <cell r="C166">
            <v>350621006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7</v>
          </cell>
          <cell r="P166">
            <v>0</v>
          </cell>
          <cell r="Q166">
            <v>2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9</v>
          </cell>
          <cell r="AJ166">
            <v>7</v>
          </cell>
          <cell r="AK166">
            <v>2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1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2</v>
          </cell>
          <cell r="AJ167">
            <v>1</v>
          </cell>
          <cell r="AK167">
            <v>2</v>
          </cell>
        </row>
        <row r="168">
          <cell r="C168">
            <v>350621008</v>
          </cell>
          <cell r="D168">
            <v>0</v>
          </cell>
          <cell r="E168">
            <v>0</v>
          </cell>
          <cell r="F168">
            <v>3</v>
          </cell>
          <cell r="G168">
            <v>0</v>
          </cell>
          <cell r="H168">
            <v>0</v>
          </cell>
          <cell r="I168">
            <v>2</v>
          </cell>
          <cell r="J168">
            <v>3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13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21</v>
          </cell>
          <cell r="AJ168">
            <v>13</v>
          </cell>
          <cell r="AK168">
            <v>4</v>
          </cell>
        </row>
        <row r="169">
          <cell r="C169">
            <v>350621009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1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10</v>
          </cell>
          <cell r="P169">
            <v>5</v>
          </cell>
          <cell r="Q169">
            <v>2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18</v>
          </cell>
          <cell r="AJ169">
            <v>10</v>
          </cell>
          <cell r="AK169">
            <v>4</v>
          </cell>
        </row>
        <row r="170">
          <cell r="C170">
            <v>350621010</v>
          </cell>
          <cell r="D170">
            <v>0</v>
          </cell>
          <cell r="E170">
            <v>0</v>
          </cell>
          <cell r="F170">
            <v>5</v>
          </cell>
          <cell r="G170">
            <v>0</v>
          </cell>
          <cell r="H170">
            <v>23</v>
          </cell>
          <cell r="I170">
            <v>25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3</v>
          </cell>
          <cell r="P170">
            <v>0</v>
          </cell>
          <cell r="Q170">
            <v>14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70</v>
          </cell>
          <cell r="AJ170">
            <v>25</v>
          </cell>
          <cell r="AK170">
            <v>5</v>
          </cell>
        </row>
        <row r="171">
          <cell r="C171">
            <v>350621011</v>
          </cell>
          <cell r="D171">
            <v>0</v>
          </cell>
          <cell r="E171">
            <v>0</v>
          </cell>
          <cell r="F171">
            <v>3</v>
          </cell>
          <cell r="G171">
            <v>4</v>
          </cell>
          <cell r="H171">
            <v>0</v>
          </cell>
          <cell r="I171">
            <v>21</v>
          </cell>
          <cell r="J171">
            <v>3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7</v>
          </cell>
          <cell r="P171">
            <v>0</v>
          </cell>
          <cell r="Q171">
            <v>3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41</v>
          </cell>
          <cell r="AJ171">
            <v>21</v>
          </cell>
          <cell r="AK171">
            <v>6</v>
          </cell>
        </row>
        <row r="172">
          <cell r="C172">
            <v>350621012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17.5</v>
          </cell>
          <cell r="J172">
            <v>1.5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</v>
          </cell>
          <cell r="P172">
            <v>0</v>
          </cell>
          <cell r="Q172">
            <v>2</v>
          </cell>
          <cell r="R172">
            <v>0</v>
          </cell>
          <cell r="S172">
            <v>1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28</v>
          </cell>
          <cell r="AJ172">
            <v>17.5</v>
          </cell>
          <cell r="AK172">
            <v>5</v>
          </cell>
        </row>
        <row r="173">
          <cell r="C173">
            <v>350621013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3.7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5.3</v>
          </cell>
          <cell r="P173">
            <v>7.5</v>
          </cell>
          <cell r="Q173">
            <v>0</v>
          </cell>
          <cell r="R173">
            <v>0</v>
          </cell>
          <cell r="S173">
            <v>4.7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21.2</v>
          </cell>
          <cell r="AJ173">
            <v>7.5</v>
          </cell>
          <cell r="AK173">
            <v>4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10</v>
          </cell>
          <cell r="I175">
            <v>7</v>
          </cell>
          <cell r="J175">
            <v>12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29</v>
          </cell>
          <cell r="AJ175">
            <v>12</v>
          </cell>
          <cell r="AK175">
            <v>3</v>
          </cell>
        </row>
        <row r="176">
          <cell r="C176">
            <v>350621016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41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41</v>
          </cell>
          <cell r="AJ176">
            <v>41</v>
          </cell>
          <cell r="AK176">
            <v>1</v>
          </cell>
        </row>
        <row r="177">
          <cell r="C177">
            <v>350621017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7</v>
          </cell>
          <cell r="J177">
            <v>12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19</v>
          </cell>
          <cell r="AJ177">
            <v>12</v>
          </cell>
          <cell r="AK177">
            <v>2</v>
          </cell>
        </row>
        <row r="178">
          <cell r="C178">
            <v>350621018</v>
          </cell>
          <cell r="D178">
            <v>0</v>
          </cell>
          <cell r="E178">
            <v>0</v>
          </cell>
          <cell r="F178">
            <v>0</v>
          </cell>
          <cell r="G178">
            <v>3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9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12</v>
          </cell>
          <cell r="AJ178">
            <v>9</v>
          </cell>
          <cell r="AK178">
            <v>2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8</v>
          </cell>
          <cell r="J179">
            <v>12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15</v>
          </cell>
          <cell r="P179">
            <v>5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40</v>
          </cell>
          <cell r="AJ179">
            <v>15</v>
          </cell>
          <cell r="AK179">
            <v>4</v>
          </cell>
        </row>
        <row r="180">
          <cell r="C180">
            <v>350621020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</row>
        <row r="181"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6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6</v>
          </cell>
          <cell r="AJ181">
            <v>6</v>
          </cell>
          <cell r="AK181">
            <v>1</v>
          </cell>
        </row>
        <row r="182">
          <cell r="C182">
            <v>350621022</v>
          </cell>
          <cell r="D182">
            <v>0</v>
          </cell>
          <cell r="E182">
            <v>0</v>
          </cell>
          <cell r="F182">
            <v>11</v>
          </cell>
          <cell r="G182">
            <v>0</v>
          </cell>
          <cell r="H182">
            <v>0</v>
          </cell>
          <cell r="I182">
            <v>18</v>
          </cell>
          <cell r="J182">
            <v>7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23</v>
          </cell>
          <cell r="P182">
            <v>0</v>
          </cell>
          <cell r="Q182">
            <v>30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89</v>
          </cell>
          <cell r="AJ182">
            <v>30</v>
          </cell>
          <cell r="AK182">
            <v>5</v>
          </cell>
        </row>
        <row r="183">
          <cell r="C183">
            <v>350621023</v>
          </cell>
          <cell r="D183">
            <v>0</v>
          </cell>
          <cell r="E183">
            <v>0</v>
          </cell>
          <cell r="F183">
            <v>10.6</v>
          </cell>
          <cell r="G183">
            <v>0</v>
          </cell>
          <cell r="H183">
            <v>0</v>
          </cell>
          <cell r="I183">
            <v>12.5</v>
          </cell>
          <cell r="J183">
            <v>7.1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32</v>
          </cell>
          <cell r="P183">
            <v>0</v>
          </cell>
          <cell r="Q183">
            <v>29.5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91.7</v>
          </cell>
          <cell r="AJ183">
            <v>32</v>
          </cell>
          <cell r="AK183">
            <v>5</v>
          </cell>
        </row>
        <row r="184">
          <cell r="C184">
            <v>350621024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5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5</v>
          </cell>
          <cell r="AJ184">
            <v>5</v>
          </cell>
          <cell r="AK184">
            <v>1</v>
          </cell>
        </row>
        <row r="185">
          <cell r="C185">
            <v>350621025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11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3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14</v>
          </cell>
          <cell r="AJ185">
            <v>11</v>
          </cell>
          <cell r="AK185">
            <v>2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8</v>
          </cell>
          <cell r="G186">
            <v>0</v>
          </cell>
          <cell r="H186">
            <v>0</v>
          </cell>
          <cell r="I186">
            <v>12</v>
          </cell>
          <cell r="J186">
            <v>9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7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36</v>
          </cell>
          <cell r="AJ186">
            <v>12</v>
          </cell>
          <cell r="AK186">
            <v>4</v>
          </cell>
        </row>
        <row r="187">
          <cell r="C187">
            <v>350602001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1.5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3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4.5</v>
          </cell>
          <cell r="AJ187">
            <v>3</v>
          </cell>
          <cell r="AK187">
            <v>2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</row>
        <row r="189">
          <cell r="C189">
            <v>350602003</v>
          </cell>
          <cell r="D189">
            <v>0</v>
          </cell>
          <cell r="E189">
            <v>0</v>
          </cell>
          <cell r="F189">
            <v>4</v>
          </cell>
          <cell r="G189">
            <v>0</v>
          </cell>
          <cell r="H189">
            <v>0</v>
          </cell>
          <cell r="I189">
            <v>14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9</v>
          </cell>
          <cell r="Q189">
            <v>1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28</v>
          </cell>
          <cell r="AJ189">
            <v>14</v>
          </cell>
          <cell r="AK189">
            <v>4</v>
          </cell>
        </row>
        <row r="190">
          <cell r="C190">
            <v>350602004</v>
          </cell>
          <cell r="D190">
            <v>0</v>
          </cell>
          <cell r="E190">
            <v>0</v>
          </cell>
          <cell r="F190">
            <v>5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2</v>
          </cell>
          <cell r="Q190">
            <v>5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12</v>
          </cell>
          <cell r="AJ190">
            <v>5</v>
          </cell>
          <cell r="AK190">
            <v>3</v>
          </cell>
        </row>
        <row r="191">
          <cell r="C191">
            <v>350602005</v>
          </cell>
          <cell r="D191">
            <v>0</v>
          </cell>
          <cell r="E191">
            <v>0</v>
          </cell>
          <cell r="F191">
            <v>6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1</v>
          </cell>
          <cell r="Q191">
            <v>5</v>
          </cell>
          <cell r="R191">
            <v>3</v>
          </cell>
          <cell r="S191">
            <v>1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4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20</v>
          </cell>
          <cell r="AJ191">
            <v>6</v>
          </cell>
          <cell r="AK191">
            <v>6</v>
          </cell>
        </row>
        <row r="192">
          <cell r="C192">
            <v>350602006</v>
          </cell>
          <cell r="D192">
            <v>0</v>
          </cell>
          <cell r="E192">
            <v>0</v>
          </cell>
          <cell r="F192">
            <v>12</v>
          </cell>
          <cell r="G192">
            <v>0</v>
          </cell>
          <cell r="H192">
            <v>0</v>
          </cell>
          <cell r="I192">
            <v>1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2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15</v>
          </cell>
          <cell r="AJ192">
            <v>12</v>
          </cell>
          <cell r="AK192">
            <v>3</v>
          </cell>
        </row>
        <row r="193">
          <cell r="C193">
            <v>350602007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C194">
            <v>350602008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1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1</v>
          </cell>
          <cell r="AJ194">
            <v>1</v>
          </cell>
          <cell r="AK194">
            <v>1</v>
          </cell>
        </row>
        <row r="195">
          <cell r="C195">
            <v>350602009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17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17</v>
          </cell>
          <cell r="AJ195">
            <v>17</v>
          </cell>
          <cell r="AK195">
            <v>1</v>
          </cell>
        </row>
        <row r="196">
          <cell r="C196">
            <v>350602010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8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23</v>
          </cell>
          <cell r="AA196">
            <v>1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32</v>
          </cell>
          <cell r="AJ196">
            <v>23</v>
          </cell>
          <cell r="AK196">
            <v>3</v>
          </cell>
        </row>
        <row r="197">
          <cell r="C197">
            <v>350602011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12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2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14</v>
          </cell>
          <cell r="AJ197">
            <v>12</v>
          </cell>
          <cell r="AK197">
            <v>2</v>
          </cell>
        </row>
        <row r="198">
          <cell r="C198">
            <v>350602012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1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1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2</v>
          </cell>
          <cell r="AJ198">
            <v>1</v>
          </cell>
          <cell r="AK198">
            <v>2</v>
          </cell>
        </row>
        <row r="199">
          <cell r="C199">
            <v>350602013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1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41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42</v>
          </cell>
          <cell r="AJ199">
            <v>41</v>
          </cell>
          <cell r="AK199">
            <v>2</v>
          </cell>
        </row>
        <row r="200">
          <cell r="C200">
            <v>350602014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24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25</v>
          </cell>
          <cell r="AJ200">
            <v>24</v>
          </cell>
          <cell r="AK200">
            <v>2</v>
          </cell>
        </row>
        <row r="201">
          <cell r="C201">
            <v>350602015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8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6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14</v>
          </cell>
          <cell r="AJ201">
            <v>8</v>
          </cell>
          <cell r="AK201">
            <v>2</v>
          </cell>
        </row>
        <row r="202">
          <cell r="C202">
            <v>350602016</v>
          </cell>
          <cell r="D202">
            <v>0</v>
          </cell>
          <cell r="E202">
            <v>0</v>
          </cell>
          <cell r="F202">
            <v>4</v>
          </cell>
          <cell r="G202">
            <v>0</v>
          </cell>
          <cell r="H202">
            <v>0</v>
          </cell>
          <cell r="I202">
            <v>11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46</v>
          </cell>
          <cell r="Q202">
            <v>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62</v>
          </cell>
          <cell r="AJ202">
            <v>46</v>
          </cell>
          <cell r="AK202">
            <v>4</v>
          </cell>
        </row>
        <row r="203">
          <cell r="C203">
            <v>350602017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12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2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14</v>
          </cell>
          <cell r="AJ203">
            <v>12</v>
          </cell>
          <cell r="AK203">
            <v>2</v>
          </cell>
        </row>
        <row r="204">
          <cell r="C204">
            <v>350602018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9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9</v>
          </cell>
          <cell r="AJ204">
            <v>9</v>
          </cell>
          <cell r="AK204">
            <v>1</v>
          </cell>
        </row>
        <row r="205">
          <cell r="C205">
            <v>350602019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2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4</v>
          </cell>
          <cell r="AJ205">
            <v>2</v>
          </cell>
          <cell r="AK205">
            <v>2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30</v>
          </cell>
          <cell r="AJ206">
            <v>30</v>
          </cell>
          <cell r="AK206">
            <v>1</v>
          </cell>
        </row>
        <row r="207">
          <cell r="C207">
            <v>350602021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1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46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47</v>
          </cell>
          <cell r="AJ207">
            <v>46</v>
          </cell>
          <cell r="AK207">
            <v>2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2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8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10</v>
          </cell>
          <cell r="AJ208">
            <v>8</v>
          </cell>
          <cell r="AK208">
            <v>2</v>
          </cell>
        </row>
        <row r="209">
          <cell r="C209">
            <v>350602023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6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2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8</v>
          </cell>
          <cell r="AJ209">
            <v>6</v>
          </cell>
          <cell r="AK209">
            <v>2</v>
          </cell>
        </row>
        <row r="210">
          <cell r="C210">
            <v>350601001</v>
          </cell>
          <cell r="D210">
            <v>0</v>
          </cell>
          <cell r="E210">
            <v>0</v>
          </cell>
          <cell r="F210">
            <v>5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5</v>
          </cell>
          <cell r="R210">
            <v>22</v>
          </cell>
          <cell r="S210">
            <v>1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18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51</v>
          </cell>
          <cell r="AJ210">
            <v>22</v>
          </cell>
          <cell r="AK210">
            <v>5</v>
          </cell>
        </row>
        <row r="211">
          <cell r="C211">
            <v>350601002</v>
          </cell>
          <cell r="D211">
            <v>0</v>
          </cell>
          <cell r="E211">
            <v>2</v>
          </cell>
          <cell r="F211">
            <v>7</v>
          </cell>
          <cell r="G211">
            <v>0</v>
          </cell>
          <cell r="H211">
            <v>0</v>
          </cell>
          <cell r="I211">
            <v>0</v>
          </cell>
          <cell r="J211">
            <v>1</v>
          </cell>
          <cell r="K211">
            <v>1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8</v>
          </cell>
          <cell r="R211">
            <v>24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1</v>
          </cell>
          <cell r="Z211">
            <v>0</v>
          </cell>
          <cell r="AA211">
            <v>27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71</v>
          </cell>
          <cell r="AJ211">
            <v>27</v>
          </cell>
          <cell r="AK211">
            <v>8</v>
          </cell>
        </row>
        <row r="212">
          <cell r="C212">
            <v>350601003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2</v>
          </cell>
          <cell r="R212">
            <v>3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12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17</v>
          </cell>
          <cell r="AJ212">
            <v>12</v>
          </cell>
          <cell r="AK212">
            <v>3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1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3</v>
          </cell>
          <cell r="R213">
            <v>7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6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17</v>
          </cell>
          <cell r="AJ213">
            <v>7</v>
          </cell>
          <cell r="AK213">
            <v>4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10</v>
          </cell>
          <cell r="R214">
            <v>8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6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24</v>
          </cell>
          <cell r="AJ214">
            <v>10</v>
          </cell>
          <cell r="AK214">
            <v>3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4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25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29</v>
          </cell>
          <cell r="AJ215">
            <v>25</v>
          </cell>
          <cell r="AK215">
            <v>2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40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40</v>
          </cell>
          <cell r="AJ216">
            <v>40</v>
          </cell>
          <cell r="AK216">
            <v>1</v>
          </cell>
        </row>
        <row r="217">
          <cell r="C217">
            <v>350601008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4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27</v>
          </cell>
          <cell r="R217">
            <v>15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7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53</v>
          </cell>
          <cell r="AJ217">
            <v>27</v>
          </cell>
          <cell r="AK217">
            <v>4</v>
          </cell>
        </row>
        <row r="218">
          <cell r="C218">
            <v>350601009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1</v>
          </cell>
          <cell r="J218">
            <v>3</v>
          </cell>
          <cell r="K218">
            <v>1</v>
          </cell>
          <cell r="L218">
            <v>2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12</v>
          </cell>
          <cell r="R218">
            <v>10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1</v>
          </cell>
          <cell r="Z218">
            <v>0</v>
          </cell>
          <cell r="AA218">
            <v>12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42</v>
          </cell>
          <cell r="AJ218">
            <v>12</v>
          </cell>
          <cell r="AK218">
            <v>8</v>
          </cell>
        </row>
        <row r="219">
          <cell r="C219">
            <v>350601010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3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22</v>
          </cell>
          <cell r="R219">
            <v>6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14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45</v>
          </cell>
          <cell r="AJ219">
            <v>22</v>
          </cell>
          <cell r="AK219">
            <v>4</v>
          </cell>
        </row>
        <row r="220">
          <cell r="C220">
            <v>350601011</v>
          </cell>
          <cell r="D220">
            <v>0</v>
          </cell>
          <cell r="E220">
            <v>0</v>
          </cell>
          <cell r="F220">
            <v>0</v>
          </cell>
          <cell r="G220">
            <v>1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11.2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13.2</v>
          </cell>
          <cell r="AJ220">
            <v>11.2</v>
          </cell>
          <cell r="AK220">
            <v>3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5</v>
          </cell>
          <cell r="K221">
            <v>0</v>
          </cell>
          <cell r="L221">
            <v>2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15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22</v>
          </cell>
          <cell r="AJ221">
            <v>15</v>
          </cell>
          <cell r="AK221">
            <v>3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1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4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5</v>
          </cell>
          <cell r="AJ222">
            <v>4</v>
          </cell>
          <cell r="AK222">
            <v>2</v>
          </cell>
        </row>
        <row r="223">
          <cell r="C223">
            <v>350601014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5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5</v>
          </cell>
          <cell r="AJ223">
            <v>5</v>
          </cell>
          <cell r="AK223">
            <v>1</v>
          </cell>
        </row>
        <row r="224">
          <cell r="C224">
            <v>350601015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4</v>
          </cell>
          <cell r="R224">
            <v>9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9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22</v>
          </cell>
          <cell r="AJ224">
            <v>9</v>
          </cell>
          <cell r="AK224">
            <v>3</v>
          </cell>
        </row>
        <row r="225">
          <cell r="C225">
            <v>350125006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156</v>
          </cell>
          <cell r="J225">
            <v>0</v>
          </cell>
          <cell r="K225">
            <v>6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162</v>
          </cell>
          <cell r="AJ225">
            <v>156</v>
          </cell>
          <cell r="AK225">
            <v>2</v>
          </cell>
        </row>
        <row r="226">
          <cell r="C226">
            <v>350125007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20</v>
          </cell>
          <cell r="I226">
            <v>75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5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100</v>
          </cell>
          <cell r="AJ226">
            <v>75</v>
          </cell>
          <cell r="AK226">
            <v>3</v>
          </cell>
        </row>
        <row r="227">
          <cell r="C227">
            <v>350125008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179</v>
          </cell>
          <cell r="J227">
            <v>0</v>
          </cell>
          <cell r="K227">
            <v>1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1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5</v>
          </cell>
          <cell r="AG227">
            <v>0</v>
          </cell>
          <cell r="AH227">
            <v>0</v>
          </cell>
          <cell r="AI227">
            <v>186</v>
          </cell>
          <cell r="AJ227">
            <v>179</v>
          </cell>
          <cell r="AK227">
            <v>4</v>
          </cell>
        </row>
        <row r="228">
          <cell r="C228">
            <v>350125009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88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52</v>
          </cell>
          <cell r="P228">
            <v>23</v>
          </cell>
          <cell r="Q228">
            <v>0</v>
          </cell>
          <cell r="R228">
            <v>0</v>
          </cell>
          <cell r="S228">
            <v>37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49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249</v>
          </cell>
          <cell r="AJ228">
            <v>88</v>
          </cell>
          <cell r="AK228">
            <v>5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28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28</v>
          </cell>
          <cell r="AJ229">
            <v>28</v>
          </cell>
          <cell r="AK229">
            <v>1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14</v>
          </cell>
          <cell r="H230">
            <v>0</v>
          </cell>
          <cell r="I230">
            <v>70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30</v>
          </cell>
          <cell r="S230">
            <v>0</v>
          </cell>
          <cell r="T230">
            <v>0</v>
          </cell>
          <cell r="U230">
            <v>0</v>
          </cell>
          <cell r="V230">
            <v>1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115</v>
          </cell>
          <cell r="AJ230">
            <v>70</v>
          </cell>
          <cell r="AK230">
            <v>4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0</v>
          </cell>
          <cell r="G231">
            <v>10</v>
          </cell>
          <cell r="H231">
            <v>0</v>
          </cell>
          <cell r="I231">
            <v>64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12</v>
          </cell>
          <cell r="R231">
            <v>13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99</v>
          </cell>
          <cell r="AJ231">
            <v>64</v>
          </cell>
          <cell r="AK231">
            <v>4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5</v>
          </cell>
          <cell r="G232">
            <v>0</v>
          </cell>
          <cell r="H232">
            <v>0</v>
          </cell>
          <cell r="I232">
            <v>10</v>
          </cell>
          <cell r="J232">
            <v>0</v>
          </cell>
          <cell r="K232">
            <v>5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5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25</v>
          </cell>
          <cell r="AJ232">
            <v>10</v>
          </cell>
          <cell r="AK232">
            <v>4</v>
          </cell>
        </row>
        <row r="233">
          <cell r="C233">
            <v>350125014</v>
          </cell>
          <cell r="D233">
            <v>0</v>
          </cell>
          <cell r="E233">
            <v>0</v>
          </cell>
          <cell r="F233">
            <v>7</v>
          </cell>
          <cell r="G233">
            <v>0</v>
          </cell>
          <cell r="H233">
            <v>3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16</v>
          </cell>
          <cell r="R233">
            <v>0</v>
          </cell>
          <cell r="S233">
            <v>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35</v>
          </cell>
          <cell r="AJ233">
            <v>16</v>
          </cell>
          <cell r="AK233">
            <v>4</v>
          </cell>
        </row>
        <row r="234">
          <cell r="C234">
            <v>350125015</v>
          </cell>
          <cell r="D234">
            <v>0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9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1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12</v>
          </cell>
          <cell r="AJ234">
            <v>9</v>
          </cell>
          <cell r="AK234">
            <v>3</v>
          </cell>
        </row>
        <row r="235">
          <cell r="C235">
            <v>350122032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37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5</v>
          </cell>
          <cell r="R235">
            <v>0</v>
          </cell>
          <cell r="S235">
            <v>0</v>
          </cell>
          <cell r="T235">
            <v>7</v>
          </cell>
          <cell r="U235">
            <v>0</v>
          </cell>
          <cell r="V235">
            <v>1</v>
          </cell>
          <cell r="W235">
            <v>0</v>
          </cell>
          <cell r="X235">
            <v>0</v>
          </cell>
          <cell r="Y235">
            <v>0</v>
          </cell>
          <cell r="Z235">
            <v>9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59</v>
          </cell>
          <cell r="AJ235">
            <v>37</v>
          </cell>
          <cell r="AK235">
            <v>5</v>
          </cell>
        </row>
      </sheetData>
      <sheetData sheetId="9">
        <row r="8">
          <cell r="C8">
            <v>350125005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26</v>
          </cell>
          <cell r="S8">
            <v>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34</v>
          </cell>
          <cell r="AJ8">
            <v>26</v>
          </cell>
          <cell r="AK8">
            <v>3</v>
          </cell>
        </row>
        <row r="9"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</row>
        <row r="10">
          <cell r="C10">
            <v>350125003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8</v>
          </cell>
          <cell r="AJ10">
            <v>8</v>
          </cell>
          <cell r="AK10">
            <v>1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5</v>
          </cell>
          <cell r="AK11">
            <v>1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5</v>
          </cell>
          <cell r="R12">
            <v>10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15</v>
          </cell>
          <cell r="AJ12">
            <v>10</v>
          </cell>
          <cell r="AK12">
            <v>2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8</v>
          </cell>
          <cell r="R13">
            <v>4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12</v>
          </cell>
          <cell r="AJ13">
            <v>8</v>
          </cell>
          <cell r="AK13">
            <v>2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76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3</v>
          </cell>
          <cell r="AF14">
            <v>0</v>
          </cell>
          <cell r="AG14">
            <v>0</v>
          </cell>
          <cell r="AH14">
            <v>0</v>
          </cell>
          <cell r="AI14">
            <v>82</v>
          </cell>
          <cell r="AJ14">
            <v>76</v>
          </cell>
          <cell r="AK14">
            <v>4</v>
          </cell>
        </row>
        <row r="15">
          <cell r="C15">
            <v>350124022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37</v>
          </cell>
          <cell r="R15">
            <v>0</v>
          </cell>
          <cell r="S15"/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11</v>
          </cell>
          <cell r="AF15">
            <v>0</v>
          </cell>
          <cell r="AG15">
            <v>0</v>
          </cell>
          <cell r="AH15">
            <v>0</v>
          </cell>
          <cell r="AI15">
            <v>51</v>
          </cell>
          <cell r="AJ15">
            <v>37</v>
          </cell>
          <cell r="AK15">
            <v>3</v>
          </cell>
        </row>
        <row r="16">
          <cell r="C16">
            <v>350124021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6</v>
          </cell>
          <cell r="R16">
            <v>2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8</v>
          </cell>
          <cell r="AJ16">
            <v>6</v>
          </cell>
          <cell r="AK16">
            <v>2</v>
          </cell>
        </row>
        <row r="17">
          <cell r="C17">
            <v>350124020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70</v>
          </cell>
          <cell r="R17">
            <v>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71</v>
          </cell>
          <cell r="AJ17">
            <v>70</v>
          </cell>
          <cell r="AK17">
            <v>2</v>
          </cell>
        </row>
        <row r="18">
          <cell r="C18">
            <v>350124019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89</v>
          </cell>
          <cell r="R18">
            <v>2</v>
          </cell>
          <cell r="S18">
            <v>0</v>
          </cell>
          <cell r="T18">
            <v>6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102</v>
          </cell>
          <cell r="AJ18">
            <v>89</v>
          </cell>
          <cell r="AK18">
            <v>4</v>
          </cell>
        </row>
        <row r="19">
          <cell r="C19">
            <v>350124018</v>
          </cell>
          <cell r="D19">
            <v>0</v>
          </cell>
          <cell r="E19">
            <v>0</v>
          </cell>
          <cell r="F19">
            <v>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74</v>
          </cell>
          <cell r="R19">
            <v>9</v>
          </cell>
          <cell r="S19">
            <v>0</v>
          </cell>
          <cell r="T19">
            <v>16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2</v>
          </cell>
          <cell r="AE19">
            <v>0</v>
          </cell>
          <cell r="AF19">
            <v>0</v>
          </cell>
          <cell r="AG19">
            <v>0</v>
          </cell>
          <cell r="AH19">
            <v>12</v>
          </cell>
          <cell r="AI19">
            <v>114</v>
          </cell>
          <cell r="AJ19">
            <v>74</v>
          </cell>
          <cell r="AK19">
            <v>6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0</v>
          </cell>
          <cell r="G20">
            <v>4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56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60</v>
          </cell>
          <cell r="AJ20">
            <v>56</v>
          </cell>
          <cell r="AK20">
            <v>2</v>
          </cell>
        </row>
        <row r="21">
          <cell r="C21">
            <v>350124016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55</v>
          </cell>
          <cell r="R21">
            <v>0</v>
          </cell>
          <cell r="S21">
            <v>0</v>
          </cell>
          <cell r="T21">
            <v>18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39</v>
          </cell>
          <cell r="AI21">
            <v>112</v>
          </cell>
          <cell r="AJ21">
            <v>55</v>
          </cell>
          <cell r="AK21">
            <v>3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4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2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7</v>
          </cell>
          <cell r="AJ22">
            <v>4</v>
          </cell>
          <cell r="AK22">
            <v>3</v>
          </cell>
        </row>
        <row r="23">
          <cell r="C23">
            <v>350124014</v>
          </cell>
          <cell r="D23">
            <v>0</v>
          </cell>
          <cell r="E23">
            <v>0</v>
          </cell>
          <cell r="F23">
            <v>1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10</v>
          </cell>
          <cell r="Q23">
            <v>21</v>
          </cell>
          <cell r="R23">
            <v>11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43</v>
          </cell>
          <cell r="AJ23">
            <v>21</v>
          </cell>
          <cell r="AK23">
            <v>4</v>
          </cell>
        </row>
        <row r="24">
          <cell r="C24">
            <v>350124013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5</v>
          </cell>
          <cell r="R24">
            <v>8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13</v>
          </cell>
          <cell r="AJ24">
            <v>8</v>
          </cell>
          <cell r="AK24">
            <v>2</v>
          </cell>
        </row>
        <row r="25">
          <cell r="C25">
            <v>350124012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48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48</v>
          </cell>
          <cell r="AJ25">
            <v>48</v>
          </cell>
          <cell r="AK25">
            <v>1</v>
          </cell>
        </row>
        <row r="26">
          <cell r="C26">
            <v>350124011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76</v>
          </cell>
          <cell r="R26">
            <v>9</v>
          </cell>
          <cell r="S26">
            <v>0</v>
          </cell>
          <cell r="T26">
            <v>23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8</v>
          </cell>
          <cell r="AI26">
            <v>116</v>
          </cell>
          <cell r="AJ26">
            <v>76</v>
          </cell>
          <cell r="AK26">
            <v>4</v>
          </cell>
        </row>
        <row r="27">
          <cell r="C27">
            <v>350124010</v>
          </cell>
          <cell r="D27">
            <v>0</v>
          </cell>
          <cell r="E27">
            <v>0</v>
          </cell>
          <cell r="F27">
            <v>0</v>
          </cell>
          <cell r="G27">
            <v>8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9</v>
          </cell>
          <cell r="R27">
            <v>4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21</v>
          </cell>
          <cell r="AJ27">
            <v>9</v>
          </cell>
          <cell r="AK27">
            <v>3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0</v>
          </cell>
          <cell r="G28">
            <v>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56</v>
          </cell>
          <cell r="R28">
            <v>4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62</v>
          </cell>
          <cell r="AJ28">
            <v>56</v>
          </cell>
          <cell r="AK28">
            <v>3</v>
          </cell>
        </row>
        <row r="29">
          <cell r="C29">
            <v>350124008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5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34</v>
          </cell>
          <cell r="R29">
            <v>0</v>
          </cell>
          <cell r="S29">
            <v>0</v>
          </cell>
          <cell r="T29">
            <v>5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1</v>
          </cell>
          <cell r="AI29">
            <v>45</v>
          </cell>
          <cell r="AJ29">
            <v>34</v>
          </cell>
          <cell r="AK29">
            <v>4</v>
          </cell>
        </row>
        <row r="30">
          <cell r="C30">
            <v>350124007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97</v>
          </cell>
          <cell r="R30">
            <v>2</v>
          </cell>
          <cell r="S30">
            <v>0</v>
          </cell>
          <cell r="T30">
            <v>21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2</v>
          </cell>
          <cell r="AI30">
            <v>122</v>
          </cell>
          <cell r="AJ30">
            <v>97</v>
          </cell>
          <cell r="AK30">
            <v>4</v>
          </cell>
        </row>
        <row r="31">
          <cell r="C31">
            <v>350124006</v>
          </cell>
          <cell r="D31">
            <v>0</v>
          </cell>
          <cell r="E31">
            <v>0</v>
          </cell>
          <cell r="F31">
            <v>0</v>
          </cell>
          <cell r="G31">
            <v>3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45</v>
          </cell>
          <cell r="R31">
            <v>2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50</v>
          </cell>
          <cell r="AJ31">
            <v>45</v>
          </cell>
          <cell r="AK31">
            <v>3</v>
          </cell>
        </row>
        <row r="32">
          <cell r="C32">
            <v>350124005</v>
          </cell>
          <cell r="D32">
            <v>0</v>
          </cell>
          <cell r="E32">
            <v>0</v>
          </cell>
          <cell r="F32">
            <v>0</v>
          </cell>
          <cell r="G32">
            <v>4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38</v>
          </cell>
          <cell r="R32">
            <v>12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54</v>
          </cell>
          <cell r="AJ32">
            <v>38</v>
          </cell>
          <cell r="AK32">
            <v>3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14</v>
          </cell>
          <cell r="R33">
            <v>56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70</v>
          </cell>
          <cell r="AJ33">
            <v>56</v>
          </cell>
          <cell r="AK33">
            <v>2</v>
          </cell>
        </row>
        <row r="34">
          <cell r="C34">
            <v>350124003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113</v>
          </cell>
          <cell r="R34">
            <v>26</v>
          </cell>
          <cell r="S34">
            <v>0</v>
          </cell>
          <cell r="T34">
            <v>4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19</v>
          </cell>
          <cell r="AI34">
            <v>163</v>
          </cell>
          <cell r="AJ34">
            <v>113</v>
          </cell>
          <cell r="AK34">
            <v>5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3</v>
          </cell>
          <cell r="Q35">
            <v>73</v>
          </cell>
          <cell r="R35">
            <v>6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82</v>
          </cell>
          <cell r="AJ35">
            <v>73</v>
          </cell>
          <cell r="AK35">
            <v>3</v>
          </cell>
        </row>
        <row r="36">
          <cell r="C36">
            <v>350124001</v>
          </cell>
          <cell r="D36">
            <v>0</v>
          </cell>
          <cell r="E36">
            <v>0</v>
          </cell>
          <cell r="F36">
            <v>0</v>
          </cell>
          <cell r="G36">
            <v>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57</v>
          </cell>
          <cell r="R36">
            <v>2</v>
          </cell>
          <cell r="S36">
            <v>0</v>
          </cell>
          <cell r="T36">
            <v>3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4</v>
          </cell>
          <cell r="AI36">
            <v>67</v>
          </cell>
          <cell r="AJ36">
            <v>57</v>
          </cell>
          <cell r="AK36">
            <v>5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85</v>
          </cell>
          <cell r="R37">
            <v>13</v>
          </cell>
          <cell r="S37">
            <v>0</v>
          </cell>
          <cell r="T37">
            <v>3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101</v>
          </cell>
          <cell r="AJ37">
            <v>85</v>
          </cell>
          <cell r="AK37">
            <v>3</v>
          </cell>
        </row>
        <row r="38">
          <cell r="C38">
            <v>350123036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32</v>
          </cell>
          <cell r="R38">
            <v>1</v>
          </cell>
          <cell r="S38">
            <v>1</v>
          </cell>
          <cell r="T38">
            <v>6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16</v>
          </cell>
          <cell r="AF38">
            <v>0</v>
          </cell>
          <cell r="AG38">
            <v>0</v>
          </cell>
          <cell r="AH38">
            <v>0</v>
          </cell>
          <cell r="AI38">
            <v>56</v>
          </cell>
          <cell r="AJ38">
            <v>32</v>
          </cell>
          <cell r="AK38">
            <v>5</v>
          </cell>
        </row>
        <row r="39">
          <cell r="C39">
            <v>350123035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76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0</v>
          </cell>
          <cell r="AG39">
            <v>0</v>
          </cell>
          <cell r="AH39">
            <v>2</v>
          </cell>
          <cell r="AI39">
            <v>79</v>
          </cell>
          <cell r="AJ39">
            <v>76</v>
          </cell>
          <cell r="AK39">
            <v>3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2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16</v>
          </cell>
          <cell r="R40">
            <v>8</v>
          </cell>
          <cell r="S40">
            <v>0</v>
          </cell>
          <cell r="T40">
            <v>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2</v>
          </cell>
          <cell r="AF40">
            <v>0</v>
          </cell>
          <cell r="AG40">
            <v>0</v>
          </cell>
          <cell r="AH40">
            <v>0</v>
          </cell>
          <cell r="AI40">
            <v>31</v>
          </cell>
          <cell r="AJ40">
            <v>16</v>
          </cell>
          <cell r="AK40">
            <v>6</v>
          </cell>
        </row>
        <row r="41">
          <cell r="C41">
            <v>350123033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80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80</v>
          </cell>
          <cell r="AJ41">
            <v>80</v>
          </cell>
          <cell r="AK41">
            <v>1</v>
          </cell>
        </row>
        <row r="42">
          <cell r="C42">
            <v>350123032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77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77</v>
          </cell>
          <cell r="AJ42">
            <v>77</v>
          </cell>
          <cell r="AK42">
            <v>1</v>
          </cell>
        </row>
        <row r="43">
          <cell r="C43">
            <v>350123031</v>
          </cell>
          <cell r="D43">
            <v>0</v>
          </cell>
          <cell r="E43">
            <v>0</v>
          </cell>
          <cell r="F43">
            <v>0</v>
          </cell>
          <cell r="G43">
            <v>13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33</v>
          </cell>
          <cell r="R43">
            <v>6</v>
          </cell>
          <cell r="S43">
            <v>0</v>
          </cell>
          <cell r="T43">
            <v>5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57</v>
          </cell>
          <cell r="AJ43">
            <v>33</v>
          </cell>
          <cell r="AK43">
            <v>4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34</v>
          </cell>
          <cell r="R44">
            <v>1</v>
          </cell>
          <cell r="S44">
            <v>3</v>
          </cell>
          <cell r="T44">
            <v>5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16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59</v>
          </cell>
          <cell r="AJ44">
            <v>34</v>
          </cell>
          <cell r="AK44">
            <v>5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1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22</v>
          </cell>
          <cell r="R45">
            <v>16</v>
          </cell>
          <cell r="S45">
            <v>0</v>
          </cell>
          <cell r="T45">
            <v>8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47</v>
          </cell>
          <cell r="AJ45">
            <v>22</v>
          </cell>
          <cell r="AK45">
            <v>4</v>
          </cell>
        </row>
        <row r="46">
          <cell r="C46">
            <v>350123028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26</v>
          </cell>
          <cell r="R46">
            <v>7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33</v>
          </cell>
          <cell r="AJ46">
            <v>26</v>
          </cell>
          <cell r="AK46">
            <v>2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89</v>
          </cell>
          <cell r="R47">
            <v>39</v>
          </cell>
          <cell r="S47">
            <v>0</v>
          </cell>
          <cell r="T47">
            <v>19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147</v>
          </cell>
          <cell r="AJ47">
            <v>89</v>
          </cell>
          <cell r="AK47">
            <v>3</v>
          </cell>
        </row>
        <row r="48">
          <cell r="C48">
            <v>350123026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50</v>
          </cell>
          <cell r="R48">
            <v>3</v>
          </cell>
          <cell r="S48">
            <v>0</v>
          </cell>
          <cell r="T48">
            <v>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</v>
          </cell>
          <cell r="AE48">
            <v>0</v>
          </cell>
          <cell r="AF48">
            <v>0</v>
          </cell>
          <cell r="AG48">
            <v>0</v>
          </cell>
          <cell r="AH48">
            <v>2</v>
          </cell>
          <cell r="AI48">
            <v>65</v>
          </cell>
          <cell r="AJ48">
            <v>50</v>
          </cell>
          <cell r="AK48">
            <v>6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40</v>
          </cell>
          <cell r="R49">
            <v>8</v>
          </cell>
          <cell r="S49">
            <v>0</v>
          </cell>
          <cell r="T49">
            <v>12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60</v>
          </cell>
          <cell r="AJ49">
            <v>40</v>
          </cell>
          <cell r="AK49">
            <v>3</v>
          </cell>
        </row>
        <row r="50">
          <cell r="C50">
            <v>350123024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70</v>
          </cell>
          <cell r="R50">
            <v>0</v>
          </cell>
          <cell r="S50">
            <v>3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73</v>
          </cell>
          <cell r="AJ50">
            <v>70</v>
          </cell>
          <cell r="AK50">
            <v>2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4</v>
          </cell>
          <cell r="R51">
            <v>17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21</v>
          </cell>
          <cell r="AJ51">
            <v>17</v>
          </cell>
          <cell r="AK51">
            <v>2</v>
          </cell>
        </row>
        <row r="52">
          <cell r="C52">
            <v>350123022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75</v>
          </cell>
          <cell r="R52">
            <v>4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79</v>
          </cell>
          <cell r="AJ52">
            <v>75</v>
          </cell>
          <cell r="AK52">
            <v>2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96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96</v>
          </cell>
          <cell r="AJ53">
            <v>96</v>
          </cell>
          <cell r="AK53">
            <v>1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33</v>
          </cell>
          <cell r="R54">
            <v>4</v>
          </cell>
          <cell r="S54">
            <v>0</v>
          </cell>
          <cell r="T54">
            <v>24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8</v>
          </cell>
          <cell r="AE54">
            <v>2</v>
          </cell>
          <cell r="AF54">
            <v>0</v>
          </cell>
          <cell r="AG54">
            <v>0</v>
          </cell>
          <cell r="AH54">
            <v>0</v>
          </cell>
          <cell r="AI54">
            <v>71</v>
          </cell>
          <cell r="AJ54">
            <v>33</v>
          </cell>
          <cell r="AK54">
            <v>5</v>
          </cell>
        </row>
        <row r="55">
          <cell r="C55">
            <v>350123019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56</v>
          </cell>
          <cell r="R55">
            <v>0</v>
          </cell>
          <cell r="S55">
            <v>0</v>
          </cell>
          <cell r="T55">
            <v>3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14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73</v>
          </cell>
          <cell r="AJ55">
            <v>56</v>
          </cell>
          <cell r="AK55">
            <v>3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58</v>
          </cell>
          <cell r="R56">
            <v>22</v>
          </cell>
          <cell r="S56">
            <v>0</v>
          </cell>
          <cell r="T56">
            <v>8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91</v>
          </cell>
          <cell r="AJ56">
            <v>58</v>
          </cell>
          <cell r="AK56">
            <v>4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79</v>
          </cell>
          <cell r="R57">
            <v>0</v>
          </cell>
          <cell r="S57">
            <v>0</v>
          </cell>
          <cell r="T57">
            <v>2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81</v>
          </cell>
          <cell r="AJ57">
            <v>79</v>
          </cell>
          <cell r="AK57">
            <v>2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60</v>
          </cell>
          <cell r="R58">
            <v>1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61</v>
          </cell>
          <cell r="AJ58">
            <v>60</v>
          </cell>
          <cell r="AK58">
            <v>2</v>
          </cell>
        </row>
        <row r="59">
          <cell r="C59">
            <v>350123015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8</v>
          </cell>
          <cell r="R59">
            <v>5</v>
          </cell>
          <cell r="S59">
            <v>0</v>
          </cell>
          <cell r="T59">
            <v>3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16</v>
          </cell>
          <cell r="AJ59">
            <v>8</v>
          </cell>
          <cell r="AK59">
            <v>3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48</v>
          </cell>
          <cell r="R60">
            <v>16</v>
          </cell>
          <cell r="S60">
            <v>0</v>
          </cell>
          <cell r="T60">
            <v>8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5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77</v>
          </cell>
          <cell r="AJ60">
            <v>48</v>
          </cell>
          <cell r="AK60">
            <v>4</v>
          </cell>
        </row>
        <row r="61">
          <cell r="C61">
            <v>350123013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4</v>
          </cell>
          <cell r="Q61">
            <v>72</v>
          </cell>
          <cell r="R61">
            <v>13</v>
          </cell>
          <cell r="S61">
            <v>0</v>
          </cell>
          <cell r="T61">
            <v>5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94</v>
          </cell>
          <cell r="AJ61">
            <v>72</v>
          </cell>
          <cell r="AK61">
            <v>4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28</v>
          </cell>
          <cell r="R62">
            <v>0</v>
          </cell>
          <cell r="S62">
            <v>0</v>
          </cell>
          <cell r="T62">
            <v>17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45</v>
          </cell>
          <cell r="AJ62">
            <v>28</v>
          </cell>
          <cell r="AK62">
            <v>2</v>
          </cell>
        </row>
        <row r="63">
          <cell r="C63">
            <v>350123011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26</v>
          </cell>
          <cell r="R63">
            <v>2</v>
          </cell>
          <cell r="S63">
            <v>0</v>
          </cell>
          <cell r="T63">
            <v>1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4</v>
          </cell>
          <cell r="AF63">
            <v>0</v>
          </cell>
          <cell r="AG63">
            <v>0</v>
          </cell>
          <cell r="AH63">
            <v>0</v>
          </cell>
          <cell r="AI63">
            <v>33</v>
          </cell>
          <cell r="AJ63">
            <v>26</v>
          </cell>
          <cell r="AK63">
            <v>4</v>
          </cell>
        </row>
        <row r="64">
          <cell r="C64">
            <v>350123010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52</v>
          </cell>
          <cell r="R64">
            <v>22</v>
          </cell>
          <cell r="S64">
            <v>9</v>
          </cell>
          <cell r="T64">
            <v>6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89</v>
          </cell>
          <cell r="AJ64">
            <v>52</v>
          </cell>
          <cell r="AK64">
            <v>4</v>
          </cell>
        </row>
        <row r="65">
          <cell r="C65">
            <v>350123009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40</v>
          </cell>
          <cell r="R65">
            <v>20</v>
          </cell>
          <cell r="S65">
            <v>0</v>
          </cell>
          <cell r="T65">
            <v>2</v>
          </cell>
          <cell r="U65">
            <v>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65</v>
          </cell>
          <cell r="AJ65">
            <v>40</v>
          </cell>
          <cell r="AK65">
            <v>4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65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65</v>
          </cell>
          <cell r="AJ66">
            <v>65</v>
          </cell>
          <cell r="AK66">
            <v>1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20</v>
          </cell>
          <cell r="R67">
            <v>4</v>
          </cell>
          <cell r="S67">
            <v>0</v>
          </cell>
          <cell r="T67">
            <v>7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31</v>
          </cell>
          <cell r="AJ67">
            <v>20</v>
          </cell>
          <cell r="AK67">
            <v>3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45</v>
          </cell>
          <cell r="R68">
            <v>4</v>
          </cell>
          <cell r="S68">
            <v>0</v>
          </cell>
          <cell r="T68">
            <v>2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51</v>
          </cell>
          <cell r="AJ68">
            <v>45</v>
          </cell>
          <cell r="AK68">
            <v>3</v>
          </cell>
        </row>
        <row r="69">
          <cell r="C69">
            <v>350123005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72</v>
          </cell>
          <cell r="R69">
            <v>2</v>
          </cell>
          <cell r="S69">
            <v>0</v>
          </cell>
          <cell r="T69">
            <v>6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2</v>
          </cell>
          <cell r="AF69">
            <v>0</v>
          </cell>
          <cell r="AG69">
            <v>0</v>
          </cell>
          <cell r="AH69">
            <v>0</v>
          </cell>
          <cell r="AI69">
            <v>82</v>
          </cell>
          <cell r="AJ69">
            <v>72</v>
          </cell>
          <cell r="AK69">
            <v>4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48</v>
          </cell>
          <cell r="R70">
            <v>9</v>
          </cell>
          <cell r="S70">
            <v>0</v>
          </cell>
          <cell r="T70">
            <v>6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3</v>
          </cell>
          <cell r="AF70">
            <v>0</v>
          </cell>
          <cell r="AG70">
            <v>0</v>
          </cell>
          <cell r="AH70">
            <v>0</v>
          </cell>
          <cell r="AI70">
            <v>66</v>
          </cell>
          <cell r="AJ70">
            <v>48</v>
          </cell>
          <cell r="AK70">
            <v>4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48</v>
          </cell>
          <cell r="R71">
            <v>6</v>
          </cell>
          <cell r="S71">
            <v>0</v>
          </cell>
          <cell r="T71">
            <v>7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61</v>
          </cell>
          <cell r="AJ71">
            <v>48</v>
          </cell>
          <cell r="AK71">
            <v>3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27</v>
          </cell>
          <cell r="R72">
            <v>0</v>
          </cell>
          <cell r="S72">
            <v>0</v>
          </cell>
          <cell r="T72">
            <v>4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31</v>
          </cell>
          <cell r="AJ72">
            <v>27</v>
          </cell>
          <cell r="AK72">
            <v>2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34</v>
          </cell>
          <cell r="R73">
            <v>7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41</v>
          </cell>
          <cell r="AJ73">
            <v>34</v>
          </cell>
          <cell r="AK73">
            <v>2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67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67</v>
          </cell>
          <cell r="AJ74">
            <v>67</v>
          </cell>
          <cell r="AK74">
            <v>1</v>
          </cell>
        </row>
        <row r="75">
          <cell r="C75">
            <v>350122030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23</v>
          </cell>
          <cell r="R75">
            <v>0</v>
          </cell>
          <cell r="S75">
            <v>0</v>
          </cell>
          <cell r="T75">
            <v>13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36</v>
          </cell>
          <cell r="AJ75">
            <v>23</v>
          </cell>
          <cell r="AK75">
            <v>2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10</v>
          </cell>
          <cell r="R76">
            <v>0</v>
          </cell>
          <cell r="S76">
            <v>0</v>
          </cell>
          <cell r="T76">
            <v>27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45</v>
          </cell>
          <cell r="AI76">
            <v>82</v>
          </cell>
          <cell r="AJ76">
            <v>45</v>
          </cell>
          <cell r="AK76">
            <v>3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32</v>
          </cell>
          <cell r="R77">
            <v>0</v>
          </cell>
          <cell r="S77">
            <v>0</v>
          </cell>
          <cell r="T77">
            <v>7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39</v>
          </cell>
          <cell r="AJ77">
            <v>32</v>
          </cell>
          <cell r="AK77">
            <v>2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77</v>
          </cell>
          <cell r="R78">
            <v>0</v>
          </cell>
          <cell r="S78">
            <v>0</v>
          </cell>
          <cell r="T78">
            <v>9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1.5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87.5</v>
          </cell>
          <cell r="AJ78">
            <v>77</v>
          </cell>
          <cell r="AK78">
            <v>3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27.5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27.5</v>
          </cell>
          <cell r="AJ79">
            <v>27.5</v>
          </cell>
          <cell r="AK79">
            <v>1</v>
          </cell>
        </row>
        <row r="80">
          <cell r="C80">
            <v>350122025</v>
          </cell>
          <cell r="D80">
            <v>0</v>
          </cell>
          <cell r="E80">
            <v>0</v>
          </cell>
          <cell r="F80">
            <v>0</v>
          </cell>
          <cell r="G80">
            <v>2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32</v>
          </cell>
          <cell r="R80">
            <v>0</v>
          </cell>
          <cell r="S80">
            <v>0</v>
          </cell>
          <cell r="T80">
            <v>48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4</v>
          </cell>
          <cell r="AI80">
            <v>86</v>
          </cell>
          <cell r="AJ80">
            <v>48</v>
          </cell>
          <cell r="AK80">
            <v>4</v>
          </cell>
        </row>
        <row r="81">
          <cell r="C81">
            <v>350122024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123</v>
          </cell>
          <cell r="R81">
            <v>0</v>
          </cell>
          <cell r="S81">
            <v>0</v>
          </cell>
          <cell r="T81">
            <v>10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133</v>
          </cell>
          <cell r="AJ81">
            <v>123</v>
          </cell>
          <cell r="AK81">
            <v>2</v>
          </cell>
        </row>
        <row r="82">
          <cell r="C82">
            <v>350122023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11</v>
          </cell>
          <cell r="R82">
            <v>0</v>
          </cell>
          <cell r="S82">
            <v>0</v>
          </cell>
          <cell r="T82">
            <v>4.5999999999999996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15.6</v>
          </cell>
          <cell r="AJ82">
            <v>11</v>
          </cell>
          <cell r="AK82">
            <v>2</v>
          </cell>
        </row>
        <row r="83">
          <cell r="C83">
            <v>350122022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52</v>
          </cell>
          <cell r="R83">
            <v>3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18</v>
          </cell>
          <cell r="AE83">
            <v>0</v>
          </cell>
          <cell r="AF83">
            <v>0</v>
          </cell>
          <cell r="AG83">
            <v>0</v>
          </cell>
          <cell r="AH83">
            <v>13</v>
          </cell>
          <cell r="AI83">
            <v>86</v>
          </cell>
          <cell r="AJ83">
            <v>52</v>
          </cell>
          <cell r="AK83">
            <v>4</v>
          </cell>
        </row>
        <row r="84">
          <cell r="C84">
            <v>350122021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82</v>
          </cell>
          <cell r="R84">
            <v>1.5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83.5</v>
          </cell>
          <cell r="AJ84">
            <v>82</v>
          </cell>
          <cell r="AK84">
            <v>2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41</v>
          </cell>
          <cell r="R85">
            <v>1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42</v>
          </cell>
          <cell r="AJ85">
            <v>41</v>
          </cell>
          <cell r="AK85">
            <v>2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47</v>
          </cell>
          <cell r="R86">
            <v>0</v>
          </cell>
          <cell r="S86">
            <v>0</v>
          </cell>
          <cell r="T86">
            <v>3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65</v>
          </cell>
          <cell r="AI86">
            <v>115</v>
          </cell>
          <cell r="AJ86">
            <v>65</v>
          </cell>
          <cell r="AK86">
            <v>3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52</v>
          </cell>
          <cell r="R87">
            <v>1</v>
          </cell>
          <cell r="S87">
            <v>0</v>
          </cell>
          <cell r="T87">
            <v>34</v>
          </cell>
          <cell r="U87">
            <v>7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94</v>
          </cell>
          <cell r="AJ87">
            <v>52</v>
          </cell>
          <cell r="AK87">
            <v>4</v>
          </cell>
        </row>
        <row r="88">
          <cell r="C88">
            <v>350122017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70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70</v>
          </cell>
          <cell r="AJ88">
            <v>70</v>
          </cell>
          <cell r="AK88">
            <v>1</v>
          </cell>
        </row>
        <row r="89">
          <cell r="C89">
            <v>350122016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72</v>
          </cell>
          <cell r="R89">
            <v>1</v>
          </cell>
          <cell r="S89">
            <v>0</v>
          </cell>
          <cell r="T89">
            <v>2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4</v>
          </cell>
          <cell r="AE89">
            <v>0</v>
          </cell>
          <cell r="AF89">
            <v>0</v>
          </cell>
          <cell r="AG89">
            <v>0</v>
          </cell>
          <cell r="AH89">
            <v>18</v>
          </cell>
          <cell r="AI89">
            <v>97</v>
          </cell>
          <cell r="AJ89">
            <v>72</v>
          </cell>
          <cell r="AK89">
            <v>5</v>
          </cell>
        </row>
        <row r="90">
          <cell r="C90">
            <v>350122015</v>
          </cell>
          <cell r="D90">
            <v>0</v>
          </cell>
          <cell r="E90">
            <v>0</v>
          </cell>
          <cell r="F90">
            <v>0</v>
          </cell>
          <cell r="G90">
            <v>2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89</v>
          </cell>
          <cell r="R90">
            <v>0</v>
          </cell>
          <cell r="S90">
            <v>0</v>
          </cell>
          <cell r="T90">
            <v>13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104</v>
          </cell>
          <cell r="AJ90">
            <v>89</v>
          </cell>
          <cell r="AK90">
            <v>3</v>
          </cell>
        </row>
        <row r="91">
          <cell r="C91">
            <v>350122014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60</v>
          </cell>
          <cell r="R91">
            <v>2</v>
          </cell>
          <cell r="S91">
            <v>0</v>
          </cell>
          <cell r="T91">
            <v>3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2</v>
          </cell>
          <cell r="AI91">
            <v>67</v>
          </cell>
          <cell r="AJ91">
            <v>60</v>
          </cell>
          <cell r="AK91">
            <v>4</v>
          </cell>
        </row>
        <row r="92">
          <cell r="C92">
            <v>350122013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92</v>
          </cell>
          <cell r="R92">
            <v>6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12</v>
          </cell>
          <cell r="AI92">
            <v>110</v>
          </cell>
          <cell r="AJ92">
            <v>92</v>
          </cell>
          <cell r="AK92">
            <v>3</v>
          </cell>
        </row>
        <row r="93">
          <cell r="C93">
            <v>350122012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110</v>
          </cell>
          <cell r="R93">
            <v>21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3</v>
          </cell>
          <cell r="AI93">
            <v>134</v>
          </cell>
          <cell r="AJ93">
            <v>110</v>
          </cell>
          <cell r="AK93">
            <v>3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0</v>
          </cell>
          <cell r="G94">
            <v>7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34</v>
          </cell>
          <cell r="R94">
            <v>0</v>
          </cell>
          <cell r="S94">
            <v>3</v>
          </cell>
          <cell r="T94">
            <v>50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94</v>
          </cell>
          <cell r="AJ94">
            <v>50</v>
          </cell>
          <cell r="AK94">
            <v>4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121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7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128</v>
          </cell>
          <cell r="AJ95">
            <v>121</v>
          </cell>
          <cell r="AK95">
            <v>2</v>
          </cell>
        </row>
        <row r="96">
          <cell r="C96">
            <v>350122009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85</v>
          </cell>
          <cell r="R96">
            <v>5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90</v>
          </cell>
          <cell r="AJ96">
            <v>85</v>
          </cell>
          <cell r="AK96">
            <v>2</v>
          </cell>
        </row>
        <row r="97"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28</v>
          </cell>
          <cell r="R97">
            <v>1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29</v>
          </cell>
          <cell r="AJ97">
            <v>28</v>
          </cell>
          <cell r="AK97">
            <v>2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26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26</v>
          </cell>
          <cell r="AJ98">
            <v>26</v>
          </cell>
          <cell r="AK98">
            <v>1</v>
          </cell>
        </row>
        <row r="99">
          <cell r="C99">
            <v>350122006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30</v>
          </cell>
          <cell r="R99">
            <v>0</v>
          </cell>
          <cell r="S99">
            <v>0</v>
          </cell>
          <cell r="T99">
            <v>21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51</v>
          </cell>
          <cell r="AJ99">
            <v>30</v>
          </cell>
          <cell r="AK99">
            <v>2</v>
          </cell>
        </row>
        <row r="100">
          <cell r="C100">
            <v>350122005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29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29</v>
          </cell>
          <cell r="AJ100">
            <v>29</v>
          </cell>
          <cell r="AK100">
            <v>1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118</v>
          </cell>
          <cell r="R101">
            <v>0</v>
          </cell>
          <cell r="S101">
            <v>0</v>
          </cell>
          <cell r="T101">
            <v>4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3</v>
          </cell>
          <cell r="AI101">
            <v>125</v>
          </cell>
          <cell r="AJ101">
            <v>118</v>
          </cell>
          <cell r="AK101">
            <v>3</v>
          </cell>
        </row>
        <row r="102">
          <cell r="C102">
            <v>350122003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18</v>
          </cell>
          <cell r="AJ102">
            <v>18</v>
          </cell>
          <cell r="AK102">
            <v>1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60</v>
          </cell>
          <cell r="R103">
            <v>8</v>
          </cell>
          <cell r="S103">
            <v>0</v>
          </cell>
          <cell r="T103">
            <v>8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5</v>
          </cell>
          <cell r="AI103">
            <v>81</v>
          </cell>
          <cell r="AJ103">
            <v>60</v>
          </cell>
          <cell r="AK103">
            <v>4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67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13</v>
          </cell>
          <cell r="AE104">
            <v>0</v>
          </cell>
          <cell r="AF104">
            <v>0</v>
          </cell>
          <cell r="AG104">
            <v>0</v>
          </cell>
          <cell r="AH104">
            <v>1</v>
          </cell>
          <cell r="AI104">
            <v>81</v>
          </cell>
          <cell r="AJ104">
            <v>67</v>
          </cell>
          <cell r="AK104">
            <v>3</v>
          </cell>
        </row>
        <row r="105">
          <cell r="C105">
            <v>350619001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8</v>
          </cell>
          <cell r="R105">
            <v>6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14</v>
          </cell>
          <cell r="AJ105">
            <v>8</v>
          </cell>
          <cell r="AK105">
            <v>2</v>
          </cell>
        </row>
        <row r="106">
          <cell r="C106">
            <v>350619002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46</v>
          </cell>
          <cell r="R106">
            <v>3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49</v>
          </cell>
          <cell r="AJ106">
            <v>46</v>
          </cell>
          <cell r="AK106">
            <v>2</v>
          </cell>
        </row>
        <row r="107">
          <cell r="C107">
            <v>350619003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41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41</v>
          </cell>
          <cell r="AJ107">
            <v>41</v>
          </cell>
          <cell r="AK107">
            <v>1</v>
          </cell>
        </row>
        <row r="108">
          <cell r="C108">
            <v>350619004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</v>
          </cell>
          <cell r="R108">
            <v>7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16</v>
          </cell>
          <cell r="AJ108">
            <v>9</v>
          </cell>
          <cell r="AK108">
            <v>2</v>
          </cell>
        </row>
        <row r="109">
          <cell r="C109">
            <v>350619005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55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55</v>
          </cell>
          <cell r="AJ109">
            <v>55</v>
          </cell>
          <cell r="AK109">
            <v>1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45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45</v>
          </cell>
          <cell r="AJ110">
            <v>45</v>
          </cell>
          <cell r="AK110">
            <v>1</v>
          </cell>
        </row>
        <row r="111">
          <cell r="C111">
            <v>350619007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17</v>
          </cell>
          <cell r="R111">
            <v>14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31</v>
          </cell>
          <cell r="AJ111">
            <v>17</v>
          </cell>
          <cell r="AK111">
            <v>2</v>
          </cell>
        </row>
        <row r="112">
          <cell r="C112">
            <v>350619008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48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48</v>
          </cell>
          <cell r="AJ112">
            <v>48</v>
          </cell>
          <cell r="AK112">
            <v>1</v>
          </cell>
        </row>
        <row r="113">
          <cell r="C113">
            <v>350619009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28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28</v>
          </cell>
          <cell r="AJ113">
            <v>28</v>
          </cell>
          <cell r="AK113">
            <v>1</v>
          </cell>
        </row>
        <row r="114">
          <cell r="C114">
            <v>350619010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20</v>
          </cell>
          <cell r="AJ114">
            <v>20</v>
          </cell>
          <cell r="AK114">
            <v>1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43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43</v>
          </cell>
          <cell r="AJ115">
            <v>43</v>
          </cell>
          <cell r="AK115">
            <v>1</v>
          </cell>
        </row>
        <row r="116">
          <cell r="C116">
            <v>350619012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40</v>
          </cell>
          <cell r="R116">
            <v>6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46</v>
          </cell>
          <cell r="AJ116">
            <v>40</v>
          </cell>
          <cell r="AK116">
            <v>2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7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7</v>
          </cell>
          <cell r="AJ117">
            <v>7</v>
          </cell>
          <cell r="AK117">
            <v>1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5</v>
          </cell>
          <cell r="O118">
            <v>0</v>
          </cell>
          <cell r="P118">
            <v>0</v>
          </cell>
          <cell r="Q118">
            <v>6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11</v>
          </cell>
          <cell r="AJ118">
            <v>6</v>
          </cell>
          <cell r="AK118">
            <v>2</v>
          </cell>
        </row>
        <row r="119">
          <cell r="C119">
            <v>350619015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9</v>
          </cell>
          <cell r="R119">
            <v>2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11</v>
          </cell>
          <cell r="AJ119">
            <v>9</v>
          </cell>
          <cell r="AK119">
            <v>2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2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2</v>
          </cell>
          <cell r="AJ120">
            <v>2</v>
          </cell>
          <cell r="AK120">
            <v>1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5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5</v>
          </cell>
          <cell r="AJ121">
            <v>5</v>
          </cell>
          <cell r="AK121">
            <v>1</v>
          </cell>
        </row>
        <row r="122">
          <cell r="C122">
            <v>350619018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10</v>
          </cell>
          <cell r="R122">
            <v>8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18</v>
          </cell>
          <cell r="AJ122">
            <v>10</v>
          </cell>
          <cell r="AK122">
            <v>2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6</v>
          </cell>
          <cell r="O123">
            <v>0</v>
          </cell>
          <cell r="P123">
            <v>0</v>
          </cell>
          <cell r="Q123">
            <v>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11</v>
          </cell>
          <cell r="AJ123">
            <v>6</v>
          </cell>
          <cell r="AK123">
            <v>2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C125">
            <v>350619021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9</v>
          </cell>
          <cell r="O125">
            <v>0</v>
          </cell>
          <cell r="P125">
            <v>0</v>
          </cell>
          <cell r="Q125">
            <v>32</v>
          </cell>
          <cell r="R125">
            <v>7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48</v>
          </cell>
          <cell r="AJ125">
            <v>32</v>
          </cell>
          <cell r="AK125">
            <v>3</v>
          </cell>
        </row>
        <row r="126">
          <cell r="C126">
            <v>350619022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  <cell r="Q126">
            <v>59</v>
          </cell>
          <cell r="R126">
            <v>45</v>
          </cell>
          <cell r="S126">
            <v>3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109</v>
          </cell>
          <cell r="AJ126">
            <v>59</v>
          </cell>
          <cell r="AK126">
            <v>4</v>
          </cell>
        </row>
        <row r="127">
          <cell r="C127">
            <v>350619023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21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21</v>
          </cell>
          <cell r="AJ127">
            <v>21</v>
          </cell>
          <cell r="AK127">
            <v>1</v>
          </cell>
        </row>
        <row r="128">
          <cell r="C128">
            <v>350619024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43</v>
          </cell>
          <cell r="R128">
            <v>16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59</v>
          </cell>
          <cell r="AJ128">
            <v>43</v>
          </cell>
          <cell r="AK128">
            <v>2</v>
          </cell>
        </row>
        <row r="129">
          <cell r="C129">
            <v>350619025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20</v>
          </cell>
          <cell r="R129">
            <v>6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26</v>
          </cell>
          <cell r="AJ129">
            <v>20</v>
          </cell>
          <cell r="AK129">
            <v>2</v>
          </cell>
        </row>
        <row r="130">
          <cell r="C130">
            <v>350619026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30</v>
          </cell>
          <cell r="Q130">
            <v>45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75</v>
          </cell>
          <cell r="AJ130">
            <v>45</v>
          </cell>
          <cell r="AK130">
            <v>2</v>
          </cell>
        </row>
        <row r="131">
          <cell r="C131">
            <v>350619027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7</v>
          </cell>
          <cell r="R131">
            <v>5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12</v>
          </cell>
          <cell r="AJ131">
            <v>7</v>
          </cell>
          <cell r="AK131">
            <v>2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7</v>
          </cell>
          <cell r="R132">
            <v>5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12</v>
          </cell>
          <cell r="AJ132">
            <v>7</v>
          </cell>
          <cell r="AK132">
            <v>2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5</v>
          </cell>
          <cell r="R133">
            <v>3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8</v>
          </cell>
          <cell r="AJ133">
            <v>5</v>
          </cell>
          <cell r="AK133">
            <v>2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8</v>
          </cell>
          <cell r="R134">
            <v>10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18</v>
          </cell>
          <cell r="AJ134">
            <v>10</v>
          </cell>
          <cell r="AK134">
            <v>2</v>
          </cell>
        </row>
        <row r="135">
          <cell r="C135">
            <v>350619031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4</v>
          </cell>
          <cell r="R135">
            <v>3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7</v>
          </cell>
          <cell r="AJ135">
            <v>4</v>
          </cell>
          <cell r="AK135">
            <v>2</v>
          </cell>
        </row>
        <row r="136">
          <cell r="C136">
            <v>350619032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1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3</v>
          </cell>
          <cell r="S136">
            <v>0</v>
          </cell>
          <cell r="T136">
            <v>3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7</v>
          </cell>
          <cell r="AJ136">
            <v>3</v>
          </cell>
          <cell r="AK136">
            <v>3</v>
          </cell>
        </row>
        <row r="137">
          <cell r="C137">
            <v>350619033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7</v>
          </cell>
          <cell r="R137">
            <v>4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11</v>
          </cell>
          <cell r="AJ137">
            <v>7</v>
          </cell>
          <cell r="AK137">
            <v>2</v>
          </cell>
        </row>
        <row r="138">
          <cell r="C138">
            <v>350619034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2</v>
          </cell>
          <cell r="R138">
            <v>4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6</v>
          </cell>
          <cell r="AJ138">
            <v>4</v>
          </cell>
          <cell r="AK138">
            <v>2</v>
          </cell>
        </row>
        <row r="139">
          <cell r="C139">
            <v>350619035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5</v>
          </cell>
          <cell r="R139">
            <v>16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21</v>
          </cell>
          <cell r="AJ139">
            <v>16</v>
          </cell>
          <cell r="AK139">
            <v>2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9</v>
          </cell>
          <cell r="R140">
            <v>5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14</v>
          </cell>
          <cell r="AJ140">
            <v>9</v>
          </cell>
          <cell r="AK140">
            <v>2</v>
          </cell>
        </row>
        <row r="141">
          <cell r="C141">
            <v>350620001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52</v>
          </cell>
          <cell r="R141">
            <v>22</v>
          </cell>
          <cell r="S141">
            <v>1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75</v>
          </cell>
          <cell r="AJ141">
            <v>52</v>
          </cell>
          <cell r="AK141">
            <v>3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10</v>
          </cell>
          <cell r="O142">
            <v>0</v>
          </cell>
          <cell r="P142">
            <v>0</v>
          </cell>
          <cell r="Q142">
            <v>59</v>
          </cell>
          <cell r="R142">
            <v>14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83</v>
          </cell>
          <cell r="AJ142">
            <v>59</v>
          </cell>
          <cell r="AK142">
            <v>3</v>
          </cell>
        </row>
        <row r="143">
          <cell r="C143">
            <v>350620003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74</v>
          </cell>
          <cell r="R143">
            <v>0</v>
          </cell>
          <cell r="S143">
            <v>0</v>
          </cell>
          <cell r="T143">
            <v>5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79</v>
          </cell>
          <cell r="AJ143">
            <v>74</v>
          </cell>
          <cell r="AK143">
            <v>2</v>
          </cell>
        </row>
        <row r="144">
          <cell r="C144">
            <v>350620004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73</v>
          </cell>
          <cell r="R144">
            <v>30</v>
          </cell>
          <cell r="S144">
            <v>0</v>
          </cell>
          <cell r="T144">
            <v>4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107</v>
          </cell>
          <cell r="AJ144">
            <v>73</v>
          </cell>
          <cell r="AK144">
            <v>3</v>
          </cell>
        </row>
        <row r="145">
          <cell r="C145">
            <v>350620005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78</v>
          </cell>
          <cell r="R145">
            <v>17</v>
          </cell>
          <cell r="S145">
            <v>0</v>
          </cell>
          <cell r="T145">
            <v>6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101</v>
          </cell>
          <cell r="AJ145">
            <v>78</v>
          </cell>
          <cell r="AK145">
            <v>3</v>
          </cell>
        </row>
        <row r="146">
          <cell r="C146">
            <v>350620006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10</v>
          </cell>
          <cell r="R146">
            <v>2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12</v>
          </cell>
          <cell r="AJ146">
            <v>10</v>
          </cell>
          <cell r="AK146">
            <v>2</v>
          </cell>
        </row>
        <row r="147">
          <cell r="C147">
            <v>350620007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8</v>
          </cell>
          <cell r="R147">
            <v>2</v>
          </cell>
          <cell r="S147">
            <v>0</v>
          </cell>
          <cell r="T147">
            <v>30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40</v>
          </cell>
          <cell r="AJ147">
            <v>30</v>
          </cell>
          <cell r="AK147">
            <v>3</v>
          </cell>
        </row>
        <row r="148">
          <cell r="C148">
            <v>350620008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5</v>
          </cell>
          <cell r="R148">
            <v>3</v>
          </cell>
          <cell r="S148">
            <v>0</v>
          </cell>
          <cell r="T148">
            <v>40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48</v>
          </cell>
          <cell r="AJ148">
            <v>40</v>
          </cell>
          <cell r="AK148">
            <v>3</v>
          </cell>
        </row>
        <row r="149">
          <cell r="C149">
            <v>350620009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16</v>
          </cell>
          <cell r="R149">
            <v>0</v>
          </cell>
          <cell r="S149">
            <v>0</v>
          </cell>
          <cell r="T149">
            <v>43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59</v>
          </cell>
          <cell r="AJ149">
            <v>43</v>
          </cell>
          <cell r="AK149">
            <v>2</v>
          </cell>
        </row>
        <row r="150">
          <cell r="C150">
            <v>350620010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2</v>
          </cell>
          <cell r="Q150">
            <v>13</v>
          </cell>
          <cell r="R150">
            <v>11</v>
          </cell>
          <cell r="S150">
            <v>0</v>
          </cell>
          <cell r="T150">
            <v>18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44</v>
          </cell>
          <cell r="AJ150">
            <v>18</v>
          </cell>
          <cell r="AK150">
            <v>4</v>
          </cell>
        </row>
        <row r="151">
          <cell r="C151">
            <v>350620011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2</v>
          </cell>
          <cell r="K151">
            <v>0</v>
          </cell>
          <cell r="L151">
            <v>0</v>
          </cell>
          <cell r="M151">
            <v>0</v>
          </cell>
          <cell r="N151">
            <v>2</v>
          </cell>
          <cell r="O151">
            <v>0</v>
          </cell>
          <cell r="P151">
            <v>11</v>
          </cell>
          <cell r="Q151">
            <v>32</v>
          </cell>
          <cell r="R151">
            <v>7</v>
          </cell>
          <cell r="S151">
            <v>28</v>
          </cell>
          <cell r="T151">
            <v>3</v>
          </cell>
          <cell r="U151">
            <v>0</v>
          </cell>
          <cell r="V151">
            <v>0</v>
          </cell>
          <cell r="W151">
            <v>3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88</v>
          </cell>
          <cell r="AJ151">
            <v>32</v>
          </cell>
          <cell r="AK151">
            <v>8</v>
          </cell>
        </row>
        <row r="152">
          <cell r="C152">
            <v>350620012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26</v>
          </cell>
          <cell r="R152">
            <v>5</v>
          </cell>
          <cell r="S152">
            <v>0</v>
          </cell>
          <cell r="T152">
            <v>25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56</v>
          </cell>
          <cell r="AJ152">
            <v>26</v>
          </cell>
          <cell r="AK152">
            <v>3</v>
          </cell>
        </row>
        <row r="153">
          <cell r="C153">
            <v>350620013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</v>
          </cell>
          <cell r="Q153">
            <v>22</v>
          </cell>
          <cell r="R153">
            <v>10</v>
          </cell>
          <cell r="S153">
            <v>0</v>
          </cell>
          <cell r="T153">
            <v>10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44</v>
          </cell>
          <cell r="AJ153">
            <v>22</v>
          </cell>
          <cell r="AK153">
            <v>4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4</v>
          </cell>
          <cell r="R154">
            <v>2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6</v>
          </cell>
          <cell r="AJ154">
            <v>4</v>
          </cell>
          <cell r="AK154">
            <v>2</v>
          </cell>
        </row>
        <row r="155">
          <cell r="C155">
            <v>350620015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6</v>
          </cell>
          <cell r="R155">
            <v>1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7</v>
          </cell>
          <cell r="AJ155">
            <v>6</v>
          </cell>
          <cell r="AK155">
            <v>2</v>
          </cell>
        </row>
        <row r="156">
          <cell r="C156">
            <v>350620016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13</v>
          </cell>
          <cell r="R156">
            <v>1</v>
          </cell>
          <cell r="S156">
            <v>2</v>
          </cell>
          <cell r="T156">
            <v>0</v>
          </cell>
          <cell r="U156">
            <v>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17</v>
          </cell>
          <cell r="AJ156">
            <v>13</v>
          </cell>
          <cell r="AK156">
            <v>4</v>
          </cell>
        </row>
        <row r="157">
          <cell r="C157">
            <v>350620017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2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</v>
          </cell>
          <cell r="Q157">
            <v>30</v>
          </cell>
          <cell r="R157">
            <v>4</v>
          </cell>
          <cell r="S157">
            <v>2</v>
          </cell>
          <cell r="T157">
            <v>1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40</v>
          </cell>
          <cell r="AJ157">
            <v>30</v>
          </cell>
          <cell r="AK157">
            <v>6</v>
          </cell>
        </row>
        <row r="158">
          <cell r="C158">
            <v>350620018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29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29</v>
          </cell>
          <cell r="AJ158">
            <v>29</v>
          </cell>
          <cell r="AK158">
            <v>1</v>
          </cell>
        </row>
        <row r="159">
          <cell r="C159">
            <v>350620019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2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41</v>
          </cell>
          <cell r="Q159">
            <v>24</v>
          </cell>
          <cell r="R159">
            <v>0</v>
          </cell>
          <cell r="S159">
            <v>12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79</v>
          </cell>
          <cell r="AJ159">
            <v>41</v>
          </cell>
          <cell r="AK159">
            <v>4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2</v>
          </cell>
          <cell r="O160">
            <v>0</v>
          </cell>
          <cell r="P160">
            <v>0</v>
          </cell>
          <cell r="Q160">
            <v>51</v>
          </cell>
          <cell r="R160">
            <v>11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64</v>
          </cell>
          <cell r="AJ160">
            <v>51</v>
          </cell>
          <cell r="AK160">
            <v>3</v>
          </cell>
        </row>
        <row r="161">
          <cell r="C161">
            <v>350621001</v>
          </cell>
          <cell r="D161">
            <v>0</v>
          </cell>
          <cell r="E161">
            <v>0</v>
          </cell>
          <cell r="F161">
            <v>0</v>
          </cell>
          <cell r="G161">
            <v>7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7</v>
          </cell>
          <cell r="R161">
            <v>110</v>
          </cell>
          <cell r="S161">
            <v>49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173</v>
          </cell>
          <cell r="AJ161">
            <v>110</v>
          </cell>
          <cell r="AK161">
            <v>4</v>
          </cell>
        </row>
        <row r="162">
          <cell r="C162">
            <v>350621002</v>
          </cell>
          <cell r="D162">
            <v>0</v>
          </cell>
          <cell r="E162">
            <v>0</v>
          </cell>
          <cell r="F162">
            <v>0</v>
          </cell>
          <cell r="G162">
            <v>2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25</v>
          </cell>
          <cell r="R162">
            <v>9</v>
          </cell>
          <cell r="S162">
            <v>1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37</v>
          </cell>
          <cell r="AJ162">
            <v>25</v>
          </cell>
          <cell r="AK162">
            <v>4</v>
          </cell>
        </row>
        <row r="163">
          <cell r="C163">
            <v>350621003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3</v>
          </cell>
          <cell r="O163">
            <v>0</v>
          </cell>
          <cell r="P163">
            <v>0</v>
          </cell>
          <cell r="Q163">
            <v>16</v>
          </cell>
          <cell r="R163">
            <v>26</v>
          </cell>
          <cell r="S163">
            <v>13</v>
          </cell>
          <cell r="T163">
            <v>1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59</v>
          </cell>
          <cell r="AJ163">
            <v>26</v>
          </cell>
          <cell r="AK163">
            <v>5</v>
          </cell>
        </row>
        <row r="164">
          <cell r="C164">
            <v>350621004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15</v>
          </cell>
          <cell r="R164">
            <v>17</v>
          </cell>
          <cell r="S164">
            <v>14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46</v>
          </cell>
          <cell r="AJ164">
            <v>17</v>
          </cell>
          <cell r="AK164">
            <v>3</v>
          </cell>
        </row>
        <row r="165">
          <cell r="C165">
            <v>350621005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10</v>
          </cell>
          <cell r="R165">
            <v>9</v>
          </cell>
          <cell r="S165">
            <v>38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3</v>
          </cell>
          <cell r="AI165">
            <v>60</v>
          </cell>
          <cell r="AJ165">
            <v>38</v>
          </cell>
          <cell r="AK165">
            <v>4</v>
          </cell>
        </row>
        <row r="166">
          <cell r="C166">
            <v>350621006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18</v>
          </cell>
          <cell r="R166">
            <v>3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21</v>
          </cell>
          <cell r="AJ166">
            <v>18</v>
          </cell>
          <cell r="AK166">
            <v>2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5</v>
          </cell>
          <cell r="R167">
            <v>3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8</v>
          </cell>
          <cell r="AJ167">
            <v>5</v>
          </cell>
          <cell r="AK167">
            <v>2</v>
          </cell>
        </row>
        <row r="168">
          <cell r="C168">
            <v>350621008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39</v>
          </cell>
          <cell r="R168">
            <v>7</v>
          </cell>
          <cell r="S168">
            <v>5</v>
          </cell>
          <cell r="T168">
            <v>11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62</v>
          </cell>
          <cell r="AJ168">
            <v>39</v>
          </cell>
          <cell r="AK168">
            <v>4</v>
          </cell>
        </row>
        <row r="169">
          <cell r="C169">
            <v>350621009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8</v>
          </cell>
          <cell r="R169">
            <v>3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11</v>
          </cell>
          <cell r="AJ169">
            <v>8</v>
          </cell>
          <cell r="AK169">
            <v>2</v>
          </cell>
        </row>
        <row r="170">
          <cell r="C170">
            <v>350621010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17</v>
          </cell>
          <cell r="R170">
            <v>0</v>
          </cell>
          <cell r="S170">
            <v>6</v>
          </cell>
          <cell r="T170">
            <v>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28</v>
          </cell>
          <cell r="AJ170">
            <v>17</v>
          </cell>
          <cell r="AK170">
            <v>3</v>
          </cell>
        </row>
        <row r="171">
          <cell r="C171">
            <v>350621011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3</v>
          </cell>
          <cell r="R171">
            <v>38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41</v>
          </cell>
          <cell r="AJ171">
            <v>38</v>
          </cell>
          <cell r="AK171">
            <v>2</v>
          </cell>
        </row>
        <row r="172">
          <cell r="C172">
            <v>350621012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1</v>
          </cell>
          <cell r="R172">
            <v>38.5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39.5</v>
          </cell>
          <cell r="AJ172">
            <v>38.5</v>
          </cell>
          <cell r="AK172">
            <v>2</v>
          </cell>
        </row>
        <row r="173">
          <cell r="C173">
            <v>350621013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6.2</v>
          </cell>
          <cell r="O173">
            <v>0</v>
          </cell>
          <cell r="P173">
            <v>1.1000000000000001</v>
          </cell>
          <cell r="Q173">
            <v>7.9</v>
          </cell>
          <cell r="R173">
            <v>13.1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28.3</v>
          </cell>
          <cell r="AJ173">
            <v>13.1</v>
          </cell>
          <cell r="AK173">
            <v>4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13</v>
          </cell>
          <cell r="R174">
            <v>0</v>
          </cell>
          <cell r="S174">
            <v>9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22</v>
          </cell>
          <cell r="AJ174">
            <v>13</v>
          </cell>
          <cell r="AK174">
            <v>2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18</v>
          </cell>
          <cell r="Q175">
            <v>5</v>
          </cell>
          <cell r="R175">
            <v>1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24</v>
          </cell>
          <cell r="AJ175">
            <v>18</v>
          </cell>
          <cell r="AK175">
            <v>3</v>
          </cell>
        </row>
        <row r="176">
          <cell r="C176">
            <v>350621016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8</v>
          </cell>
          <cell r="O176">
            <v>0</v>
          </cell>
          <cell r="P176">
            <v>0</v>
          </cell>
          <cell r="Q176">
            <v>11</v>
          </cell>
          <cell r="R176">
            <v>0</v>
          </cell>
          <cell r="S176">
            <v>6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25</v>
          </cell>
          <cell r="AJ176">
            <v>11</v>
          </cell>
          <cell r="AK176">
            <v>3</v>
          </cell>
        </row>
        <row r="177">
          <cell r="C177">
            <v>350621017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5</v>
          </cell>
          <cell r="R177">
            <v>16</v>
          </cell>
          <cell r="S177">
            <v>25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46</v>
          </cell>
          <cell r="AJ177">
            <v>25</v>
          </cell>
          <cell r="AK177">
            <v>3</v>
          </cell>
        </row>
        <row r="178">
          <cell r="C178">
            <v>350621018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38</v>
          </cell>
          <cell r="R178">
            <v>8.1999999999999993</v>
          </cell>
          <cell r="S178">
            <v>11.3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57.5</v>
          </cell>
          <cell r="AJ178">
            <v>38</v>
          </cell>
          <cell r="AK178">
            <v>3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4</v>
          </cell>
          <cell r="O179">
            <v>0</v>
          </cell>
          <cell r="P179">
            <v>15</v>
          </cell>
          <cell r="Q179">
            <v>6</v>
          </cell>
          <cell r="R179">
            <v>4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29</v>
          </cell>
          <cell r="AJ179">
            <v>15</v>
          </cell>
          <cell r="AK179">
            <v>4</v>
          </cell>
        </row>
        <row r="180">
          <cell r="C180">
            <v>350621020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</row>
        <row r="181"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5</v>
          </cell>
          <cell r="R181">
            <v>3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8</v>
          </cell>
          <cell r="AJ181">
            <v>5</v>
          </cell>
          <cell r="AK181">
            <v>2</v>
          </cell>
        </row>
        <row r="182">
          <cell r="C182">
            <v>350621022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15</v>
          </cell>
          <cell r="O182">
            <v>0</v>
          </cell>
          <cell r="P182">
            <v>0</v>
          </cell>
          <cell r="Q182">
            <v>13</v>
          </cell>
          <cell r="R182">
            <v>49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77</v>
          </cell>
          <cell r="AJ182">
            <v>49</v>
          </cell>
          <cell r="AK182">
            <v>3</v>
          </cell>
        </row>
        <row r="183">
          <cell r="C183">
            <v>350621023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16.5</v>
          </cell>
          <cell r="O183">
            <v>0</v>
          </cell>
          <cell r="P183">
            <v>0</v>
          </cell>
          <cell r="Q183">
            <v>10.5</v>
          </cell>
          <cell r="R183">
            <v>33.1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60.1</v>
          </cell>
          <cell r="AJ183">
            <v>33.1</v>
          </cell>
          <cell r="AK183">
            <v>3</v>
          </cell>
        </row>
        <row r="184">
          <cell r="C184">
            <v>350621024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6</v>
          </cell>
          <cell r="R184">
            <v>2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8</v>
          </cell>
          <cell r="AJ184">
            <v>6</v>
          </cell>
          <cell r="AK184">
            <v>2</v>
          </cell>
        </row>
        <row r="185">
          <cell r="C185">
            <v>350621025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3</v>
          </cell>
          <cell r="O185">
            <v>0</v>
          </cell>
          <cell r="P185">
            <v>0</v>
          </cell>
          <cell r="Q185">
            <v>48</v>
          </cell>
          <cell r="R185">
            <v>4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55</v>
          </cell>
          <cell r="AJ185">
            <v>48</v>
          </cell>
          <cell r="AK185">
            <v>3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12</v>
          </cell>
          <cell r="R186">
            <v>27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39</v>
          </cell>
          <cell r="AJ186">
            <v>27</v>
          </cell>
          <cell r="AK186">
            <v>2</v>
          </cell>
        </row>
        <row r="187">
          <cell r="C187">
            <v>350602001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5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17</v>
          </cell>
          <cell r="Q187">
            <v>0</v>
          </cell>
          <cell r="R187">
            <v>4.5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26.5</v>
          </cell>
          <cell r="AJ187">
            <v>17</v>
          </cell>
          <cell r="AK187">
            <v>3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3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3</v>
          </cell>
          <cell r="S188">
            <v>1</v>
          </cell>
          <cell r="T188">
            <v>1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8</v>
          </cell>
          <cell r="AJ188">
            <v>3</v>
          </cell>
          <cell r="AK188">
            <v>4</v>
          </cell>
        </row>
        <row r="189">
          <cell r="C189">
            <v>350602003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35</v>
          </cell>
          <cell r="R189">
            <v>33</v>
          </cell>
          <cell r="S189">
            <v>4</v>
          </cell>
          <cell r="T189">
            <v>0</v>
          </cell>
          <cell r="U189">
            <v>0</v>
          </cell>
          <cell r="V189">
            <v>0</v>
          </cell>
          <cell r="W189">
            <v>2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74</v>
          </cell>
          <cell r="AJ189">
            <v>35</v>
          </cell>
          <cell r="AK189">
            <v>4</v>
          </cell>
        </row>
        <row r="190">
          <cell r="C190">
            <v>350602004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3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14</v>
          </cell>
          <cell r="R190">
            <v>45</v>
          </cell>
          <cell r="S190">
            <v>10</v>
          </cell>
          <cell r="T190">
            <v>0</v>
          </cell>
          <cell r="U190">
            <v>0</v>
          </cell>
          <cell r="V190">
            <v>0</v>
          </cell>
          <cell r="W190">
            <v>10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82</v>
          </cell>
          <cell r="AJ190">
            <v>45</v>
          </cell>
          <cell r="AK190">
            <v>5</v>
          </cell>
        </row>
        <row r="191">
          <cell r="C191">
            <v>350602005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4</v>
          </cell>
          <cell r="K191">
            <v>0</v>
          </cell>
          <cell r="L191">
            <v>0</v>
          </cell>
          <cell r="M191">
            <v>9</v>
          </cell>
          <cell r="N191">
            <v>0</v>
          </cell>
          <cell r="O191">
            <v>0</v>
          </cell>
          <cell r="P191">
            <v>2</v>
          </cell>
          <cell r="Q191">
            <v>5</v>
          </cell>
          <cell r="R191">
            <v>14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34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5</v>
          </cell>
          <cell r="AH191">
            <v>0</v>
          </cell>
          <cell r="AI191">
            <v>73</v>
          </cell>
          <cell r="AJ191">
            <v>34</v>
          </cell>
          <cell r="AK191">
            <v>7</v>
          </cell>
        </row>
        <row r="192">
          <cell r="C192">
            <v>350602006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3</v>
          </cell>
          <cell r="K192">
            <v>1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24</v>
          </cell>
          <cell r="R192">
            <v>8</v>
          </cell>
          <cell r="S192">
            <v>0</v>
          </cell>
          <cell r="T192">
            <v>0</v>
          </cell>
          <cell r="U192">
            <v>1</v>
          </cell>
          <cell r="V192">
            <v>1</v>
          </cell>
          <cell r="W192">
            <v>9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47</v>
          </cell>
          <cell r="AJ192">
            <v>24</v>
          </cell>
          <cell r="AK192">
            <v>7</v>
          </cell>
        </row>
        <row r="193">
          <cell r="C193">
            <v>350602007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3</v>
          </cell>
          <cell r="O193">
            <v>0</v>
          </cell>
          <cell r="P193">
            <v>0</v>
          </cell>
          <cell r="Q193">
            <v>15</v>
          </cell>
          <cell r="R193">
            <v>3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21</v>
          </cell>
          <cell r="AJ193">
            <v>15</v>
          </cell>
          <cell r="AK193">
            <v>3</v>
          </cell>
        </row>
        <row r="194">
          <cell r="C194">
            <v>350602008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5</v>
          </cell>
          <cell r="K194">
            <v>0</v>
          </cell>
          <cell r="L194">
            <v>0</v>
          </cell>
          <cell r="M194">
            <v>0</v>
          </cell>
          <cell r="N194">
            <v>1</v>
          </cell>
          <cell r="O194">
            <v>0</v>
          </cell>
          <cell r="P194">
            <v>0</v>
          </cell>
          <cell r="Q194">
            <v>1</v>
          </cell>
          <cell r="R194">
            <v>3</v>
          </cell>
          <cell r="S194">
            <v>0</v>
          </cell>
          <cell r="T194">
            <v>0</v>
          </cell>
          <cell r="U194">
            <v>2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12</v>
          </cell>
          <cell r="AJ194">
            <v>5</v>
          </cell>
          <cell r="AK194">
            <v>5</v>
          </cell>
        </row>
        <row r="195">
          <cell r="C195">
            <v>350602009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4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10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14</v>
          </cell>
          <cell r="AJ195">
            <v>10</v>
          </cell>
          <cell r="AK195">
            <v>2</v>
          </cell>
        </row>
        <row r="196">
          <cell r="C196">
            <v>350602010</v>
          </cell>
          <cell r="D196">
            <v>0</v>
          </cell>
          <cell r="E196">
            <v>0</v>
          </cell>
          <cell r="F196">
            <v>3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6</v>
          </cell>
          <cell r="O196">
            <v>0</v>
          </cell>
          <cell r="P196">
            <v>30</v>
          </cell>
          <cell r="Q196">
            <v>4</v>
          </cell>
          <cell r="R196">
            <v>3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46</v>
          </cell>
          <cell r="AJ196">
            <v>30</v>
          </cell>
          <cell r="AK196">
            <v>5</v>
          </cell>
        </row>
        <row r="197">
          <cell r="C197">
            <v>350602011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4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5</v>
          </cell>
          <cell r="P197">
            <v>0</v>
          </cell>
          <cell r="Q197">
            <v>28</v>
          </cell>
          <cell r="R197">
            <v>6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43</v>
          </cell>
          <cell r="AJ197">
            <v>28</v>
          </cell>
          <cell r="AK197">
            <v>4</v>
          </cell>
        </row>
        <row r="198">
          <cell r="C198">
            <v>350602012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2</v>
          </cell>
          <cell r="K198">
            <v>0</v>
          </cell>
          <cell r="L198">
            <v>0</v>
          </cell>
          <cell r="M198">
            <v>0</v>
          </cell>
          <cell r="N198">
            <v>2</v>
          </cell>
          <cell r="O198">
            <v>6</v>
          </cell>
          <cell r="P198">
            <v>42</v>
          </cell>
          <cell r="Q198">
            <v>1</v>
          </cell>
          <cell r="R198">
            <v>3</v>
          </cell>
          <cell r="S198">
            <v>3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59</v>
          </cell>
          <cell r="AJ198">
            <v>42</v>
          </cell>
          <cell r="AK198">
            <v>7</v>
          </cell>
        </row>
        <row r="199">
          <cell r="C199">
            <v>350602013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1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1</v>
          </cell>
          <cell r="P199">
            <v>0</v>
          </cell>
          <cell r="Q199">
            <v>31</v>
          </cell>
          <cell r="R199">
            <v>2</v>
          </cell>
          <cell r="S199">
            <v>1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36</v>
          </cell>
          <cell r="AJ199">
            <v>31</v>
          </cell>
          <cell r="AK199">
            <v>5</v>
          </cell>
        </row>
        <row r="200">
          <cell r="C200">
            <v>350602014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8</v>
          </cell>
          <cell r="P200">
            <v>0</v>
          </cell>
          <cell r="Q200">
            <v>35</v>
          </cell>
          <cell r="R200">
            <v>0</v>
          </cell>
          <cell r="S200">
            <v>12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56</v>
          </cell>
          <cell r="AJ200">
            <v>35</v>
          </cell>
          <cell r="AK200">
            <v>4</v>
          </cell>
        </row>
        <row r="201">
          <cell r="C201">
            <v>350602015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60</v>
          </cell>
          <cell r="R201">
            <v>35</v>
          </cell>
          <cell r="S201">
            <v>5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100</v>
          </cell>
          <cell r="AJ201">
            <v>60</v>
          </cell>
          <cell r="AK201">
            <v>3</v>
          </cell>
        </row>
        <row r="202">
          <cell r="C202">
            <v>350602016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1</v>
          </cell>
          <cell r="O202">
            <v>0</v>
          </cell>
          <cell r="P202">
            <v>0</v>
          </cell>
          <cell r="Q202">
            <v>38</v>
          </cell>
          <cell r="R202">
            <v>45</v>
          </cell>
          <cell r="S202">
            <v>2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86</v>
          </cell>
          <cell r="AJ202">
            <v>45</v>
          </cell>
          <cell r="AK202">
            <v>4</v>
          </cell>
        </row>
        <row r="203">
          <cell r="C203">
            <v>350602017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1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3</v>
          </cell>
          <cell r="Q203">
            <v>1</v>
          </cell>
          <cell r="R203">
            <v>7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2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15</v>
          </cell>
          <cell r="AJ203">
            <v>7</v>
          </cell>
          <cell r="AK203">
            <v>6</v>
          </cell>
        </row>
        <row r="204">
          <cell r="C204">
            <v>350602018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</v>
          </cell>
          <cell r="K204">
            <v>0</v>
          </cell>
          <cell r="L204">
            <v>0</v>
          </cell>
          <cell r="M204">
            <v>0</v>
          </cell>
          <cell r="N204">
            <v>2</v>
          </cell>
          <cell r="O204">
            <v>0</v>
          </cell>
          <cell r="P204">
            <v>0</v>
          </cell>
          <cell r="Q204">
            <v>2</v>
          </cell>
          <cell r="R204">
            <v>3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8</v>
          </cell>
          <cell r="AJ204">
            <v>3</v>
          </cell>
          <cell r="AK204">
            <v>4</v>
          </cell>
        </row>
        <row r="205">
          <cell r="C205">
            <v>350602019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5</v>
          </cell>
          <cell r="O205">
            <v>1</v>
          </cell>
          <cell r="P205">
            <v>20</v>
          </cell>
          <cell r="Q205">
            <v>1</v>
          </cell>
          <cell r="R205">
            <v>5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33</v>
          </cell>
          <cell r="AJ205">
            <v>20</v>
          </cell>
          <cell r="AK205">
            <v>6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7</v>
          </cell>
          <cell r="P206">
            <v>8</v>
          </cell>
          <cell r="Q206">
            <v>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18</v>
          </cell>
          <cell r="AJ206">
            <v>8</v>
          </cell>
          <cell r="AK206">
            <v>3</v>
          </cell>
        </row>
        <row r="207">
          <cell r="C207">
            <v>350602021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1</v>
          </cell>
          <cell r="O207">
            <v>27</v>
          </cell>
          <cell r="P207">
            <v>0</v>
          </cell>
          <cell r="Q207">
            <v>21</v>
          </cell>
          <cell r="R207">
            <v>1</v>
          </cell>
          <cell r="S207">
            <v>13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63</v>
          </cell>
          <cell r="AJ207">
            <v>27</v>
          </cell>
          <cell r="AK207">
            <v>5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76</v>
          </cell>
          <cell r="R208">
            <v>0</v>
          </cell>
          <cell r="S208">
            <v>10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86</v>
          </cell>
          <cell r="AJ208">
            <v>76</v>
          </cell>
          <cell r="AK208">
            <v>2</v>
          </cell>
        </row>
        <row r="209">
          <cell r="C209">
            <v>350602023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3</v>
          </cell>
          <cell r="K209">
            <v>0</v>
          </cell>
          <cell r="L209">
            <v>0</v>
          </cell>
          <cell r="M209">
            <v>0</v>
          </cell>
          <cell r="N209">
            <v>13</v>
          </cell>
          <cell r="O209">
            <v>1</v>
          </cell>
          <cell r="P209">
            <v>37</v>
          </cell>
          <cell r="Q209">
            <v>5</v>
          </cell>
          <cell r="R209">
            <v>9</v>
          </cell>
          <cell r="S209">
            <v>2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70</v>
          </cell>
          <cell r="AJ209">
            <v>37</v>
          </cell>
          <cell r="AK209">
            <v>7</v>
          </cell>
        </row>
        <row r="210">
          <cell r="C210">
            <v>350601001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12</v>
          </cell>
          <cell r="K210">
            <v>1</v>
          </cell>
          <cell r="L210">
            <v>1</v>
          </cell>
          <cell r="M210">
            <v>6</v>
          </cell>
          <cell r="N210">
            <v>21</v>
          </cell>
          <cell r="O210">
            <v>60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1</v>
          </cell>
          <cell r="W210">
            <v>1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1</v>
          </cell>
          <cell r="AC210">
            <v>0</v>
          </cell>
          <cell r="AD210">
            <v>0</v>
          </cell>
          <cell r="AE210">
            <v>2</v>
          </cell>
          <cell r="AF210">
            <v>1</v>
          </cell>
          <cell r="AG210">
            <v>3</v>
          </cell>
          <cell r="AH210">
            <v>0</v>
          </cell>
          <cell r="AI210">
            <v>115</v>
          </cell>
          <cell r="AJ210">
            <v>60</v>
          </cell>
          <cell r="AK210">
            <v>13</v>
          </cell>
        </row>
        <row r="211">
          <cell r="C211">
            <v>350601002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19</v>
          </cell>
          <cell r="K211">
            <v>3</v>
          </cell>
          <cell r="L211">
            <v>4</v>
          </cell>
          <cell r="M211">
            <v>16</v>
          </cell>
          <cell r="N211">
            <v>18</v>
          </cell>
          <cell r="O211">
            <v>158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7</v>
          </cell>
          <cell r="V211">
            <v>6</v>
          </cell>
          <cell r="W211">
            <v>10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1</v>
          </cell>
          <cell r="AC211">
            <v>0</v>
          </cell>
          <cell r="AD211">
            <v>0</v>
          </cell>
          <cell r="AE211">
            <v>1</v>
          </cell>
          <cell r="AF211">
            <v>2</v>
          </cell>
          <cell r="AG211">
            <v>2</v>
          </cell>
          <cell r="AH211">
            <v>2</v>
          </cell>
          <cell r="AI211">
            <v>249</v>
          </cell>
          <cell r="AJ211">
            <v>158</v>
          </cell>
          <cell r="AK211">
            <v>14</v>
          </cell>
        </row>
        <row r="212">
          <cell r="C212">
            <v>350601003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35</v>
          </cell>
          <cell r="K212">
            <v>15</v>
          </cell>
          <cell r="L212">
            <v>1</v>
          </cell>
          <cell r="M212">
            <v>1</v>
          </cell>
          <cell r="N212">
            <v>0</v>
          </cell>
          <cell r="O212">
            <v>0</v>
          </cell>
          <cell r="P212">
            <v>2</v>
          </cell>
          <cell r="Q212">
            <v>1</v>
          </cell>
          <cell r="R212">
            <v>3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1</v>
          </cell>
          <cell r="AH212">
            <v>0</v>
          </cell>
          <cell r="AI212">
            <v>59</v>
          </cell>
          <cell r="AJ212">
            <v>35</v>
          </cell>
          <cell r="AK212">
            <v>8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28</v>
          </cell>
          <cell r="K213">
            <v>10</v>
          </cell>
          <cell r="L213">
            <v>1</v>
          </cell>
          <cell r="M213">
            <v>1</v>
          </cell>
          <cell r="N213">
            <v>0</v>
          </cell>
          <cell r="O213">
            <v>0</v>
          </cell>
          <cell r="P213">
            <v>5</v>
          </cell>
          <cell r="Q213">
            <v>1</v>
          </cell>
          <cell r="R213">
            <v>1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1</v>
          </cell>
          <cell r="AG213">
            <v>0</v>
          </cell>
          <cell r="AH213">
            <v>1</v>
          </cell>
          <cell r="AI213">
            <v>49</v>
          </cell>
          <cell r="AJ213">
            <v>28</v>
          </cell>
          <cell r="AK213">
            <v>9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17</v>
          </cell>
          <cell r="K214">
            <v>0</v>
          </cell>
          <cell r="L214">
            <v>3</v>
          </cell>
          <cell r="M214">
            <v>3</v>
          </cell>
          <cell r="N214">
            <v>2</v>
          </cell>
          <cell r="O214">
            <v>20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11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3</v>
          </cell>
          <cell r="AH214">
            <v>0</v>
          </cell>
          <cell r="AI214">
            <v>59</v>
          </cell>
          <cell r="AJ214">
            <v>20</v>
          </cell>
          <cell r="AK214">
            <v>7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16</v>
          </cell>
          <cell r="K215">
            <v>3</v>
          </cell>
          <cell r="L215">
            <v>5</v>
          </cell>
          <cell r="M215">
            <v>8</v>
          </cell>
          <cell r="N215">
            <v>2</v>
          </cell>
          <cell r="O215">
            <v>65</v>
          </cell>
          <cell r="P215">
            <v>4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6</v>
          </cell>
          <cell r="V215">
            <v>1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2</v>
          </cell>
          <cell r="AF215">
            <v>0</v>
          </cell>
          <cell r="AG215">
            <v>3</v>
          </cell>
          <cell r="AH215">
            <v>0</v>
          </cell>
          <cell r="AI215">
            <v>115</v>
          </cell>
          <cell r="AJ215">
            <v>65</v>
          </cell>
          <cell r="AK215">
            <v>11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15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20</v>
          </cell>
          <cell r="P216">
            <v>10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45</v>
          </cell>
          <cell r="AJ216">
            <v>20</v>
          </cell>
          <cell r="AK216">
            <v>3</v>
          </cell>
        </row>
        <row r="217">
          <cell r="C217">
            <v>350601008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43</v>
          </cell>
          <cell r="K217">
            <v>3</v>
          </cell>
          <cell r="L217">
            <v>4</v>
          </cell>
          <cell r="M217">
            <v>10</v>
          </cell>
          <cell r="N217">
            <v>2</v>
          </cell>
          <cell r="O217">
            <v>1</v>
          </cell>
          <cell r="P217">
            <v>2</v>
          </cell>
          <cell r="Q217">
            <v>1</v>
          </cell>
          <cell r="R217">
            <v>0</v>
          </cell>
          <cell r="S217">
            <v>1</v>
          </cell>
          <cell r="T217">
            <v>0</v>
          </cell>
          <cell r="U217">
            <v>0</v>
          </cell>
          <cell r="V217">
            <v>2</v>
          </cell>
          <cell r="W217">
            <v>1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27</v>
          </cell>
          <cell r="AH217">
            <v>1</v>
          </cell>
          <cell r="AI217">
            <v>98</v>
          </cell>
          <cell r="AJ217">
            <v>43</v>
          </cell>
          <cell r="AK217">
            <v>13</v>
          </cell>
        </row>
        <row r="218">
          <cell r="C218">
            <v>350601009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59</v>
          </cell>
          <cell r="K218">
            <v>3</v>
          </cell>
          <cell r="L218">
            <v>7</v>
          </cell>
          <cell r="M218">
            <v>4</v>
          </cell>
          <cell r="N218">
            <v>0</v>
          </cell>
          <cell r="O218">
            <v>7</v>
          </cell>
          <cell r="P218">
            <v>0</v>
          </cell>
          <cell r="Q218">
            <v>0</v>
          </cell>
          <cell r="R218">
            <v>0</v>
          </cell>
          <cell r="S218">
            <v>1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40</v>
          </cell>
          <cell r="AH218">
            <v>2</v>
          </cell>
          <cell r="AI218">
            <v>123</v>
          </cell>
          <cell r="AJ218">
            <v>59</v>
          </cell>
          <cell r="AK218">
            <v>8</v>
          </cell>
        </row>
        <row r="219">
          <cell r="C219">
            <v>350601010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49</v>
          </cell>
          <cell r="K219">
            <v>4</v>
          </cell>
          <cell r="L219">
            <v>5</v>
          </cell>
          <cell r="M219">
            <v>7</v>
          </cell>
          <cell r="N219">
            <v>0</v>
          </cell>
          <cell r="O219">
            <v>3</v>
          </cell>
          <cell r="P219">
            <v>17</v>
          </cell>
          <cell r="Q219">
            <v>4</v>
          </cell>
          <cell r="R219">
            <v>2</v>
          </cell>
          <cell r="S219">
            <v>1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7</v>
          </cell>
          <cell r="AH219">
            <v>1</v>
          </cell>
          <cell r="AI219">
            <v>100</v>
          </cell>
          <cell r="AJ219">
            <v>49</v>
          </cell>
          <cell r="AK219">
            <v>11</v>
          </cell>
        </row>
        <row r="220">
          <cell r="C220">
            <v>350601011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8</v>
          </cell>
          <cell r="K220">
            <v>0</v>
          </cell>
          <cell r="L220">
            <v>1</v>
          </cell>
          <cell r="M220">
            <v>0</v>
          </cell>
          <cell r="N220">
            <v>1</v>
          </cell>
          <cell r="O220">
            <v>1</v>
          </cell>
          <cell r="P220">
            <v>16</v>
          </cell>
          <cell r="Q220">
            <v>14</v>
          </cell>
          <cell r="R220">
            <v>28</v>
          </cell>
          <cell r="S220">
            <v>1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70</v>
          </cell>
          <cell r="AJ220">
            <v>28</v>
          </cell>
          <cell r="AK220">
            <v>8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5</v>
          </cell>
          <cell r="K221">
            <v>0</v>
          </cell>
          <cell r="L221">
            <v>0</v>
          </cell>
          <cell r="M221">
            <v>0</v>
          </cell>
          <cell r="N221">
            <v>5</v>
          </cell>
          <cell r="O221">
            <v>0</v>
          </cell>
          <cell r="P221">
            <v>67</v>
          </cell>
          <cell r="Q221">
            <v>0</v>
          </cell>
          <cell r="R221">
            <v>46</v>
          </cell>
          <cell r="S221">
            <v>11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134</v>
          </cell>
          <cell r="AJ221">
            <v>67</v>
          </cell>
          <cell r="AK221">
            <v>5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7</v>
          </cell>
          <cell r="K222">
            <v>0</v>
          </cell>
          <cell r="L222">
            <v>0</v>
          </cell>
          <cell r="M222">
            <v>0</v>
          </cell>
          <cell r="N222">
            <v>3</v>
          </cell>
          <cell r="O222">
            <v>3</v>
          </cell>
          <cell r="P222">
            <v>59</v>
          </cell>
          <cell r="Q222">
            <v>4</v>
          </cell>
          <cell r="R222">
            <v>74</v>
          </cell>
          <cell r="S222">
            <v>13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163</v>
          </cell>
          <cell r="AJ222">
            <v>74</v>
          </cell>
          <cell r="AK222">
            <v>7</v>
          </cell>
        </row>
        <row r="223">
          <cell r="C223">
            <v>350601014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28</v>
          </cell>
          <cell r="K223">
            <v>2</v>
          </cell>
          <cell r="L223">
            <v>0</v>
          </cell>
          <cell r="M223">
            <v>0</v>
          </cell>
          <cell r="N223">
            <v>2</v>
          </cell>
          <cell r="O223">
            <v>2</v>
          </cell>
          <cell r="P223">
            <v>0</v>
          </cell>
          <cell r="Q223">
            <v>14</v>
          </cell>
          <cell r="R223">
            <v>19</v>
          </cell>
          <cell r="S223">
            <v>6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2</v>
          </cell>
          <cell r="AH223">
            <v>0</v>
          </cell>
          <cell r="AI223">
            <v>75</v>
          </cell>
          <cell r="AJ223">
            <v>28</v>
          </cell>
          <cell r="AK223">
            <v>8</v>
          </cell>
        </row>
        <row r="224">
          <cell r="C224">
            <v>350601015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29</v>
          </cell>
          <cell r="K224">
            <v>12</v>
          </cell>
          <cell r="L224">
            <v>3</v>
          </cell>
          <cell r="M224">
            <v>0</v>
          </cell>
          <cell r="N224">
            <v>0</v>
          </cell>
          <cell r="O224">
            <v>0</v>
          </cell>
          <cell r="P224">
            <v>1</v>
          </cell>
          <cell r="Q224">
            <v>0</v>
          </cell>
          <cell r="R224">
            <v>2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3</v>
          </cell>
          <cell r="AH224">
            <v>0</v>
          </cell>
          <cell r="AI224">
            <v>50</v>
          </cell>
          <cell r="AJ224">
            <v>29</v>
          </cell>
          <cell r="AK224">
            <v>6</v>
          </cell>
        </row>
        <row r="225">
          <cell r="C225">
            <v>350125006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15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15</v>
          </cell>
          <cell r="AJ225">
            <v>15</v>
          </cell>
          <cell r="AK225">
            <v>1</v>
          </cell>
        </row>
        <row r="226">
          <cell r="C226">
            <v>350125007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5</v>
          </cell>
          <cell r="R226">
            <v>15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20</v>
          </cell>
          <cell r="AJ226">
            <v>15</v>
          </cell>
          <cell r="AK226">
            <v>2</v>
          </cell>
        </row>
        <row r="227">
          <cell r="C227">
            <v>350125008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19</v>
          </cell>
          <cell r="R227">
            <v>22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41</v>
          </cell>
          <cell r="AJ227">
            <v>22</v>
          </cell>
          <cell r="AK227">
            <v>2</v>
          </cell>
        </row>
        <row r="228">
          <cell r="C228">
            <v>350125009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17</v>
          </cell>
          <cell r="R228">
            <v>53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70</v>
          </cell>
          <cell r="AJ228">
            <v>53</v>
          </cell>
          <cell r="AK228">
            <v>2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10</v>
          </cell>
          <cell r="R229">
            <v>37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47</v>
          </cell>
          <cell r="AJ229">
            <v>37</v>
          </cell>
          <cell r="AK229">
            <v>2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4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4</v>
          </cell>
          <cell r="AJ230">
            <v>4</v>
          </cell>
          <cell r="AK230">
            <v>1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2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20</v>
          </cell>
          <cell r="Q231">
            <v>36</v>
          </cell>
          <cell r="R231">
            <v>17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75</v>
          </cell>
          <cell r="AJ231">
            <v>36</v>
          </cell>
          <cell r="AK231">
            <v>4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5</v>
          </cell>
          <cell r="P232">
            <v>0</v>
          </cell>
          <cell r="Q232">
            <v>5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10</v>
          </cell>
          <cell r="AJ232">
            <v>5</v>
          </cell>
          <cell r="AK232">
            <v>2</v>
          </cell>
        </row>
        <row r="233">
          <cell r="C233">
            <v>350125014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3</v>
          </cell>
          <cell r="R233">
            <v>1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4</v>
          </cell>
          <cell r="AJ233">
            <v>3</v>
          </cell>
          <cell r="AK233">
            <v>2</v>
          </cell>
        </row>
        <row r="234">
          <cell r="C234">
            <v>350125015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1</v>
          </cell>
          <cell r="K234">
            <v>4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33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4</v>
          </cell>
          <cell r="AF234">
            <v>0</v>
          </cell>
          <cell r="AG234">
            <v>0</v>
          </cell>
          <cell r="AH234">
            <v>0</v>
          </cell>
          <cell r="AI234">
            <v>42</v>
          </cell>
          <cell r="AJ234">
            <v>33</v>
          </cell>
          <cell r="AK234">
            <v>4</v>
          </cell>
        </row>
        <row r="235">
          <cell r="C235">
            <v>350122032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43</v>
          </cell>
          <cell r="R235">
            <v>0</v>
          </cell>
          <cell r="S235">
            <v>0</v>
          </cell>
          <cell r="T235">
            <v>20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63</v>
          </cell>
          <cell r="AJ235">
            <v>43</v>
          </cell>
          <cell r="AK235">
            <v>2</v>
          </cell>
        </row>
      </sheetData>
      <sheetData sheetId="10">
        <row r="8">
          <cell r="C8">
            <v>350125005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13</v>
          </cell>
          <cell r="K8">
            <v>5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2</v>
          </cell>
          <cell r="Y8">
            <v>0</v>
          </cell>
          <cell r="Z8">
            <v>3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21</v>
          </cell>
          <cell r="AH8"/>
          <cell r="AI8">
            <v>44</v>
          </cell>
          <cell r="AJ8">
            <v>21</v>
          </cell>
          <cell r="AK8">
            <v>5</v>
          </cell>
        </row>
        <row r="9">
          <cell r="C9">
            <v>350125004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/>
          <cell r="AI9">
            <v>0</v>
          </cell>
          <cell r="AJ9">
            <v>0</v>
          </cell>
          <cell r="AK9">
            <v>0</v>
          </cell>
        </row>
        <row r="10">
          <cell r="C10">
            <v>350125003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/>
          <cell r="AI10">
            <v>0</v>
          </cell>
          <cell r="AJ10">
            <v>0</v>
          </cell>
          <cell r="AK10">
            <v>0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/>
          <cell r="AI11">
            <v>0</v>
          </cell>
          <cell r="AJ11">
            <v>0</v>
          </cell>
          <cell r="AK11">
            <v>0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/>
          <cell r="AI12">
            <v>0</v>
          </cell>
          <cell r="AJ12">
            <v>0</v>
          </cell>
          <cell r="AK12">
            <v>0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/>
          <cell r="AI13">
            <v>3</v>
          </cell>
          <cell r="AJ13">
            <v>3</v>
          </cell>
          <cell r="AK13">
            <v>1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/>
          <cell r="AI14">
            <v>0</v>
          </cell>
          <cell r="AJ14">
            <v>0</v>
          </cell>
          <cell r="AK14">
            <v>0</v>
          </cell>
        </row>
        <row r="15">
          <cell r="C15">
            <v>350124022</v>
          </cell>
          <cell r="D15">
            <v>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17.5</v>
          </cell>
          <cell r="K15">
            <v>0</v>
          </cell>
          <cell r="L15">
            <v>24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/>
          <cell r="AI15">
            <v>44.5</v>
          </cell>
          <cell r="AJ15">
            <v>24</v>
          </cell>
          <cell r="AK15">
            <v>4</v>
          </cell>
        </row>
        <row r="16">
          <cell r="C16">
            <v>350124021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/>
          <cell r="AI16">
            <v>3</v>
          </cell>
          <cell r="AJ16">
            <v>3</v>
          </cell>
          <cell r="AK16">
            <v>1</v>
          </cell>
        </row>
        <row r="17">
          <cell r="C17">
            <v>350124020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/>
          <cell r="AI17">
            <v>0</v>
          </cell>
          <cell r="AJ17">
            <v>0</v>
          </cell>
          <cell r="AK17">
            <v>0</v>
          </cell>
        </row>
        <row r="18">
          <cell r="C18">
            <v>350124019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</v>
          </cell>
          <cell r="K18">
            <v>0</v>
          </cell>
          <cell r="L18">
            <v>7</v>
          </cell>
          <cell r="M18">
            <v>0</v>
          </cell>
          <cell r="N18">
            <v>2</v>
          </cell>
          <cell r="O18">
            <v>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6</v>
          </cell>
          <cell r="Z18">
            <v>2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6</v>
          </cell>
          <cell r="AH18"/>
          <cell r="AI18">
            <v>29</v>
          </cell>
          <cell r="AJ18">
            <v>7</v>
          </cell>
          <cell r="AK18">
            <v>7</v>
          </cell>
        </row>
        <row r="19">
          <cell r="C19">
            <v>350124018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23</v>
          </cell>
          <cell r="K19">
            <v>0</v>
          </cell>
          <cell r="L19">
            <v>20</v>
          </cell>
          <cell r="M19">
            <v>0</v>
          </cell>
          <cell r="N19">
            <v>4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/>
          <cell r="AI19">
            <v>81</v>
          </cell>
          <cell r="AJ19">
            <v>33</v>
          </cell>
          <cell r="AK19">
            <v>5</v>
          </cell>
        </row>
        <row r="20">
          <cell r="C20">
            <v>350124017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/>
          <cell r="AI20">
            <v>0</v>
          </cell>
          <cell r="AJ20">
            <v>0</v>
          </cell>
          <cell r="AK20">
            <v>0</v>
          </cell>
        </row>
        <row r="21">
          <cell r="C21">
            <v>350124016</v>
          </cell>
          <cell r="D21">
            <v>3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23</v>
          </cell>
          <cell r="M21">
            <v>0</v>
          </cell>
          <cell r="N21">
            <v>0</v>
          </cell>
          <cell r="O21">
            <v>10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</v>
          </cell>
          <cell r="AH21"/>
          <cell r="AI21">
            <v>37</v>
          </cell>
          <cell r="AJ21">
            <v>23</v>
          </cell>
          <cell r="AK21">
            <v>4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/>
          <cell r="AI22">
            <v>0</v>
          </cell>
          <cell r="AJ22">
            <v>0</v>
          </cell>
          <cell r="AK22">
            <v>0</v>
          </cell>
        </row>
        <row r="23">
          <cell r="C23">
            <v>350124014</v>
          </cell>
          <cell r="D23">
            <v>5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1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/>
          <cell r="AI23">
            <v>6</v>
          </cell>
          <cell r="AJ23">
            <v>5</v>
          </cell>
          <cell r="AK23">
            <v>2</v>
          </cell>
        </row>
        <row r="24">
          <cell r="C24">
            <v>350124013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/>
          <cell r="AI24">
            <v>0</v>
          </cell>
          <cell r="AJ24">
            <v>0</v>
          </cell>
          <cell r="AK24">
            <v>0</v>
          </cell>
        </row>
        <row r="25">
          <cell r="C25">
            <v>350124012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</v>
          </cell>
          <cell r="K25">
            <v>0</v>
          </cell>
          <cell r="L25">
            <v>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/>
          <cell r="AI25">
            <v>7</v>
          </cell>
          <cell r="AJ25">
            <v>6</v>
          </cell>
          <cell r="AK25">
            <v>2</v>
          </cell>
        </row>
        <row r="26">
          <cell r="C26">
            <v>350124011</v>
          </cell>
          <cell r="D26">
            <v>1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19</v>
          </cell>
          <cell r="K26">
            <v>0</v>
          </cell>
          <cell r="L26">
            <v>6</v>
          </cell>
          <cell r="M26">
            <v>0</v>
          </cell>
          <cell r="N26">
            <v>0</v>
          </cell>
          <cell r="O26">
            <v>5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32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/>
          <cell r="AI26">
            <v>63</v>
          </cell>
          <cell r="AJ26">
            <v>32</v>
          </cell>
          <cell r="AK26">
            <v>5</v>
          </cell>
        </row>
        <row r="27">
          <cell r="C27">
            <v>350124010</v>
          </cell>
          <cell r="D27">
            <v>6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/>
          <cell r="AI27">
            <v>6</v>
          </cell>
          <cell r="AJ27">
            <v>6</v>
          </cell>
          <cell r="AK27">
            <v>1</v>
          </cell>
        </row>
        <row r="28">
          <cell r="C28">
            <v>350124009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/>
          <cell r="AI28">
            <v>0</v>
          </cell>
          <cell r="AJ28">
            <v>0</v>
          </cell>
          <cell r="AK28">
            <v>0</v>
          </cell>
        </row>
        <row r="29">
          <cell r="C29">
            <v>350124008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4</v>
          </cell>
          <cell r="K29">
            <v>0</v>
          </cell>
          <cell r="L29">
            <v>6</v>
          </cell>
          <cell r="M29">
            <v>0</v>
          </cell>
          <cell r="N29">
            <v>0</v>
          </cell>
          <cell r="O29">
            <v>8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/>
          <cell r="AI29">
            <v>18</v>
          </cell>
          <cell r="AJ29">
            <v>8</v>
          </cell>
          <cell r="AK29">
            <v>3</v>
          </cell>
        </row>
        <row r="30">
          <cell r="C30">
            <v>350124007</v>
          </cell>
          <cell r="D30">
            <v>1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37</v>
          </cell>
          <cell r="K30">
            <v>0</v>
          </cell>
          <cell r="L30">
            <v>17</v>
          </cell>
          <cell r="M30">
            <v>0</v>
          </cell>
          <cell r="N30">
            <v>5</v>
          </cell>
          <cell r="O30">
            <v>2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7</v>
          </cell>
          <cell r="Y30">
            <v>0</v>
          </cell>
          <cell r="Z30">
            <v>18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/>
          <cell r="AI30">
            <v>87</v>
          </cell>
          <cell r="AJ30">
            <v>37</v>
          </cell>
          <cell r="AK30">
            <v>7</v>
          </cell>
        </row>
        <row r="31">
          <cell r="C31">
            <v>350124006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/>
          <cell r="AI31">
            <v>0</v>
          </cell>
          <cell r="AJ31">
            <v>0</v>
          </cell>
          <cell r="AK31">
            <v>0</v>
          </cell>
        </row>
        <row r="32">
          <cell r="C32">
            <v>350124005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/>
          <cell r="AI32">
            <v>0</v>
          </cell>
          <cell r="AJ32">
            <v>0</v>
          </cell>
          <cell r="AK32">
            <v>0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/>
          <cell r="AI33">
            <v>0</v>
          </cell>
          <cell r="AJ33">
            <v>0</v>
          </cell>
          <cell r="AK33">
            <v>0</v>
          </cell>
        </row>
        <row r="34">
          <cell r="C34">
            <v>350124003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21</v>
          </cell>
          <cell r="I34">
            <v>0</v>
          </cell>
          <cell r="J34">
            <v>12</v>
          </cell>
          <cell r="K34">
            <v>0</v>
          </cell>
          <cell r="L34">
            <v>12</v>
          </cell>
          <cell r="M34">
            <v>0</v>
          </cell>
          <cell r="N34">
            <v>9</v>
          </cell>
          <cell r="O34">
            <v>25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7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11</v>
          </cell>
          <cell r="AH34"/>
          <cell r="AI34">
            <v>97</v>
          </cell>
          <cell r="AJ34">
            <v>25</v>
          </cell>
          <cell r="AK34">
            <v>7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2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/>
          <cell r="AI35">
            <v>2</v>
          </cell>
          <cell r="AJ35">
            <v>2</v>
          </cell>
          <cell r="AK35">
            <v>1</v>
          </cell>
        </row>
        <row r="36">
          <cell r="C36">
            <v>350124001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17</v>
          </cell>
          <cell r="M36">
            <v>0</v>
          </cell>
          <cell r="N36">
            <v>31</v>
          </cell>
          <cell r="O36">
            <v>3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/>
          <cell r="AI36">
            <v>51</v>
          </cell>
          <cell r="AJ36">
            <v>31</v>
          </cell>
          <cell r="AK36">
            <v>3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/>
          <cell r="AI37">
            <v>2</v>
          </cell>
          <cell r="AJ37">
            <v>2</v>
          </cell>
          <cell r="AK37">
            <v>1</v>
          </cell>
        </row>
        <row r="38">
          <cell r="C38">
            <v>350123036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27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35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/>
          <cell r="AI38">
            <v>62</v>
          </cell>
          <cell r="AJ38">
            <v>35</v>
          </cell>
          <cell r="AK38">
            <v>2</v>
          </cell>
        </row>
        <row r="39">
          <cell r="C39">
            <v>350123035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1</v>
          </cell>
          <cell r="L39">
            <v>4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7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1</v>
          </cell>
          <cell r="X39">
            <v>0</v>
          </cell>
          <cell r="Y39">
            <v>0</v>
          </cell>
          <cell r="Z39">
            <v>35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/>
          <cell r="AI39">
            <v>49</v>
          </cell>
          <cell r="AJ39">
            <v>35</v>
          </cell>
          <cell r="AK39">
            <v>6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/>
          <cell r="AI40">
            <v>0</v>
          </cell>
          <cell r="AJ40">
            <v>0</v>
          </cell>
          <cell r="AK40">
            <v>0</v>
          </cell>
        </row>
        <row r="41">
          <cell r="C41">
            <v>350123033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41.5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/>
          <cell r="AI41">
            <v>53.5</v>
          </cell>
          <cell r="AJ41">
            <v>41.5</v>
          </cell>
          <cell r="AK41">
            <v>2</v>
          </cell>
        </row>
        <row r="42">
          <cell r="C42">
            <v>350123032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5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7</v>
          </cell>
          <cell r="X42">
            <v>0</v>
          </cell>
          <cell r="Y42">
            <v>0</v>
          </cell>
          <cell r="Z42">
            <v>16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/>
          <cell r="AI42">
            <v>28</v>
          </cell>
          <cell r="AJ42">
            <v>16</v>
          </cell>
          <cell r="AK42">
            <v>3</v>
          </cell>
        </row>
        <row r="43">
          <cell r="C43">
            <v>350123031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5</v>
          </cell>
          <cell r="M43">
            <v>0</v>
          </cell>
          <cell r="N43">
            <v>74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/>
          <cell r="AI43">
            <v>79</v>
          </cell>
          <cell r="AJ43">
            <v>74</v>
          </cell>
          <cell r="AK43">
            <v>2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21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3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/>
          <cell r="AI44">
            <v>24</v>
          </cell>
          <cell r="AJ44">
            <v>21</v>
          </cell>
          <cell r="AK44">
            <v>2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</v>
          </cell>
          <cell r="AE45">
            <v>0</v>
          </cell>
          <cell r="AF45">
            <v>0</v>
          </cell>
          <cell r="AG45">
            <v>0</v>
          </cell>
          <cell r="AH45"/>
          <cell r="AI45">
            <v>4</v>
          </cell>
          <cell r="AJ45">
            <v>3</v>
          </cell>
          <cell r="AK45">
            <v>2</v>
          </cell>
        </row>
        <row r="46">
          <cell r="C46">
            <v>350123028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31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1</v>
          </cell>
          <cell r="Y46">
            <v>0</v>
          </cell>
          <cell r="Z46">
            <v>4</v>
          </cell>
          <cell r="AA46">
            <v>0</v>
          </cell>
          <cell r="AB46">
            <v>0</v>
          </cell>
          <cell r="AC46">
            <v>0</v>
          </cell>
          <cell r="AD46">
            <v>1</v>
          </cell>
          <cell r="AE46">
            <v>0</v>
          </cell>
          <cell r="AF46">
            <v>0</v>
          </cell>
          <cell r="AG46">
            <v>2</v>
          </cell>
          <cell r="AH46"/>
          <cell r="AI46">
            <v>39</v>
          </cell>
          <cell r="AJ46">
            <v>31</v>
          </cell>
          <cell r="AK46">
            <v>5</v>
          </cell>
        </row>
        <row r="47">
          <cell r="C47">
            <v>350123027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16</v>
          </cell>
          <cell r="M47">
            <v>0</v>
          </cell>
          <cell r="N47">
            <v>12</v>
          </cell>
          <cell r="O47">
            <v>5</v>
          </cell>
          <cell r="P47">
            <v>0</v>
          </cell>
          <cell r="Q47">
            <v>19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29</v>
          </cell>
          <cell r="X47">
            <v>0</v>
          </cell>
          <cell r="Y47">
            <v>0</v>
          </cell>
          <cell r="Z47">
            <v>39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/>
          <cell r="AI47">
            <v>120</v>
          </cell>
          <cell r="AJ47">
            <v>39</v>
          </cell>
          <cell r="AK47">
            <v>6</v>
          </cell>
        </row>
        <row r="48">
          <cell r="C48">
            <v>350123026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1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11</v>
          </cell>
          <cell r="O48">
            <v>0</v>
          </cell>
          <cell r="P48">
            <v>0</v>
          </cell>
          <cell r="Q48">
            <v>2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4</v>
          </cell>
          <cell r="X48">
            <v>0</v>
          </cell>
          <cell r="Y48">
            <v>0</v>
          </cell>
          <cell r="Z48">
            <v>13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/>
          <cell r="AI48">
            <v>31</v>
          </cell>
          <cell r="AJ48">
            <v>13</v>
          </cell>
          <cell r="AK48">
            <v>5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18</v>
          </cell>
          <cell r="AH49"/>
          <cell r="AI49">
            <v>18</v>
          </cell>
          <cell r="AJ49">
            <v>18</v>
          </cell>
          <cell r="AK49">
            <v>1</v>
          </cell>
        </row>
        <row r="50">
          <cell r="C50">
            <v>350123024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13.5</v>
          </cell>
          <cell r="L50">
            <v>5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5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/>
          <cell r="AI50">
            <v>31.5</v>
          </cell>
          <cell r="AJ50">
            <v>13.5</v>
          </cell>
          <cell r="AK50">
            <v>5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3</v>
          </cell>
          <cell r="AD51">
            <v>0</v>
          </cell>
          <cell r="AE51">
            <v>0</v>
          </cell>
          <cell r="AF51">
            <v>0</v>
          </cell>
          <cell r="AG51">
            <v>9</v>
          </cell>
          <cell r="AH51"/>
          <cell r="AI51">
            <v>12</v>
          </cell>
          <cell r="AJ51">
            <v>9</v>
          </cell>
          <cell r="AK51">
            <v>2</v>
          </cell>
        </row>
        <row r="52">
          <cell r="C52">
            <v>350123022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35</v>
          </cell>
          <cell r="O52">
            <v>2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68</v>
          </cell>
          <cell r="X52">
            <v>0</v>
          </cell>
          <cell r="Y52">
            <v>0</v>
          </cell>
          <cell r="Z52">
            <v>21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/>
          <cell r="AI52">
            <v>126</v>
          </cell>
          <cell r="AJ52">
            <v>68</v>
          </cell>
          <cell r="AK52">
            <v>4</v>
          </cell>
        </row>
        <row r="53">
          <cell r="C53">
            <v>350123021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5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/>
          <cell r="AI53">
            <v>15</v>
          </cell>
          <cell r="AJ53">
            <v>10</v>
          </cell>
          <cell r="AK53">
            <v>2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3</v>
          </cell>
          <cell r="AD54">
            <v>4</v>
          </cell>
          <cell r="AE54">
            <v>0</v>
          </cell>
          <cell r="AF54">
            <v>0</v>
          </cell>
          <cell r="AG54">
            <v>0</v>
          </cell>
          <cell r="AH54"/>
          <cell r="AI54">
            <v>7</v>
          </cell>
          <cell r="AJ54">
            <v>4</v>
          </cell>
          <cell r="AK54">
            <v>2</v>
          </cell>
        </row>
        <row r="55">
          <cell r="C55">
            <v>350123019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9</v>
          </cell>
          <cell r="O55">
            <v>0</v>
          </cell>
          <cell r="P55">
            <v>0</v>
          </cell>
          <cell r="Q55">
            <v>3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25</v>
          </cell>
          <cell r="X55">
            <v>0</v>
          </cell>
          <cell r="Y55">
            <v>0</v>
          </cell>
          <cell r="Z55">
            <v>11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/>
          <cell r="AI55">
            <v>49</v>
          </cell>
          <cell r="AJ55">
            <v>25</v>
          </cell>
          <cell r="AK55">
            <v>5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4</v>
          </cell>
          <cell r="L56">
            <v>0</v>
          </cell>
          <cell r="M56">
            <v>35</v>
          </cell>
          <cell r="N56">
            <v>16</v>
          </cell>
          <cell r="O56">
            <v>0</v>
          </cell>
          <cell r="P56">
            <v>0</v>
          </cell>
          <cell r="Q56">
            <v>4</v>
          </cell>
          <cell r="R56">
            <v>0</v>
          </cell>
          <cell r="S56">
            <v>0</v>
          </cell>
          <cell r="T56">
            <v>23</v>
          </cell>
          <cell r="U56">
            <v>0</v>
          </cell>
          <cell r="V56">
            <v>0</v>
          </cell>
          <cell r="W56">
            <v>3</v>
          </cell>
          <cell r="X56">
            <v>0</v>
          </cell>
          <cell r="Y56">
            <v>0</v>
          </cell>
          <cell r="Z56">
            <v>11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/>
          <cell r="AI56">
            <v>96</v>
          </cell>
          <cell r="AJ56">
            <v>35</v>
          </cell>
          <cell r="AK56">
            <v>7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56</v>
          </cell>
          <cell r="O57">
            <v>3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11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/>
          <cell r="AI57">
            <v>70</v>
          </cell>
          <cell r="AJ57">
            <v>56</v>
          </cell>
          <cell r="AK57">
            <v>3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8</v>
          </cell>
          <cell r="O58">
            <v>0</v>
          </cell>
          <cell r="P58">
            <v>0</v>
          </cell>
          <cell r="Q58">
            <v>4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4.5</v>
          </cell>
          <cell r="X58">
            <v>0</v>
          </cell>
          <cell r="Y58">
            <v>0</v>
          </cell>
          <cell r="Z58">
            <v>20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/>
          <cell r="AI58">
            <v>36.5</v>
          </cell>
          <cell r="AJ58">
            <v>20</v>
          </cell>
          <cell r="AK58">
            <v>4</v>
          </cell>
        </row>
        <row r="59">
          <cell r="C59">
            <v>350123015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4</v>
          </cell>
          <cell r="N59">
            <v>7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2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2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/>
          <cell r="AI59">
            <v>15</v>
          </cell>
          <cell r="AJ59">
            <v>7</v>
          </cell>
          <cell r="AK59">
            <v>4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6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/>
          <cell r="AI60">
            <v>12</v>
          </cell>
          <cell r="AJ60">
            <v>6</v>
          </cell>
          <cell r="AK60">
            <v>2</v>
          </cell>
        </row>
        <row r="61">
          <cell r="C61">
            <v>350123013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2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/>
          <cell r="AI61">
            <v>42</v>
          </cell>
          <cell r="AJ61">
            <v>40</v>
          </cell>
          <cell r="AK61">
            <v>2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7</v>
          </cell>
          <cell r="AA62">
            <v>0</v>
          </cell>
          <cell r="AB62">
            <v>0</v>
          </cell>
          <cell r="AC62">
            <v>0</v>
          </cell>
          <cell r="AD62">
            <v>6</v>
          </cell>
          <cell r="AE62">
            <v>0</v>
          </cell>
          <cell r="AF62">
            <v>0</v>
          </cell>
          <cell r="AG62">
            <v>0</v>
          </cell>
          <cell r="AH62"/>
          <cell r="AI62">
            <v>13</v>
          </cell>
          <cell r="AJ62">
            <v>7</v>
          </cell>
          <cell r="AK62">
            <v>2</v>
          </cell>
        </row>
        <row r="63">
          <cell r="C63">
            <v>350123011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3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/>
          <cell r="AI63">
            <v>3</v>
          </cell>
          <cell r="AJ63">
            <v>3</v>
          </cell>
          <cell r="AK63">
            <v>1</v>
          </cell>
        </row>
        <row r="64">
          <cell r="C64">
            <v>350123010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5</v>
          </cell>
          <cell r="L64">
            <v>0</v>
          </cell>
          <cell r="M64">
            <v>0</v>
          </cell>
          <cell r="N64">
            <v>8</v>
          </cell>
          <cell r="O64">
            <v>0</v>
          </cell>
          <cell r="P64">
            <v>0</v>
          </cell>
          <cell r="Q64">
            <v>5</v>
          </cell>
          <cell r="R64">
            <v>0</v>
          </cell>
          <cell r="S64">
            <v>0</v>
          </cell>
          <cell r="T64">
            <v>4</v>
          </cell>
          <cell r="U64">
            <v>0</v>
          </cell>
          <cell r="V64">
            <v>0</v>
          </cell>
          <cell r="W64">
            <v>2</v>
          </cell>
          <cell r="X64">
            <v>0</v>
          </cell>
          <cell r="Y64">
            <v>0</v>
          </cell>
          <cell r="Z64">
            <v>16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3</v>
          </cell>
          <cell r="AH64"/>
          <cell r="AI64">
            <v>43</v>
          </cell>
          <cell r="AJ64">
            <v>16</v>
          </cell>
          <cell r="AK64">
            <v>7</v>
          </cell>
        </row>
        <row r="65">
          <cell r="C65">
            <v>350123009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4</v>
          </cell>
          <cell r="L65">
            <v>0</v>
          </cell>
          <cell r="M65">
            <v>0</v>
          </cell>
          <cell r="N65">
            <v>6.5</v>
          </cell>
          <cell r="O65">
            <v>1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5.5</v>
          </cell>
          <cell r="X65">
            <v>0</v>
          </cell>
          <cell r="Y65">
            <v>0</v>
          </cell>
          <cell r="Z65">
            <v>1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8</v>
          </cell>
          <cell r="AH65"/>
          <cell r="AI65">
            <v>26</v>
          </cell>
          <cell r="AJ65">
            <v>8</v>
          </cell>
          <cell r="AK65">
            <v>6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8</v>
          </cell>
          <cell r="M66">
            <v>0</v>
          </cell>
          <cell r="N66">
            <v>45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25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/>
          <cell r="AI66">
            <v>78</v>
          </cell>
          <cell r="AJ66">
            <v>45</v>
          </cell>
          <cell r="AK66">
            <v>3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1</v>
          </cell>
          <cell r="AD67">
            <v>0</v>
          </cell>
          <cell r="AE67">
            <v>1</v>
          </cell>
          <cell r="AF67">
            <v>1</v>
          </cell>
          <cell r="AG67">
            <v>1</v>
          </cell>
          <cell r="AH67"/>
          <cell r="AI67">
            <v>4</v>
          </cell>
          <cell r="AJ67">
            <v>1</v>
          </cell>
          <cell r="AK67">
            <v>4</v>
          </cell>
        </row>
        <row r="68">
          <cell r="C68">
            <v>350123006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21</v>
          </cell>
          <cell r="O68">
            <v>0</v>
          </cell>
          <cell r="P68">
            <v>0</v>
          </cell>
          <cell r="Q68">
            <v>3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12</v>
          </cell>
          <cell r="X68">
            <v>0</v>
          </cell>
          <cell r="Y68">
            <v>0</v>
          </cell>
          <cell r="Z68">
            <v>8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/>
          <cell r="AI68">
            <v>44</v>
          </cell>
          <cell r="AJ68">
            <v>21</v>
          </cell>
          <cell r="AK68">
            <v>4</v>
          </cell>
        </row>
        <row r="69">
          <cell r="C69">
            <v>350123005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1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43</v>
          </cell>
          <cell r="O69">
            <v>0</v>
          </cell>
          <cell r="P69">
            <v>0</v>
          </cell>
          <cell r="Q69">
            <v>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70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/>
          <cell r="AI69">
            <v>119</v>
          </cell>
          <cell r="AJ69">
            <v>70</v>
          </cell>
          <cell r="AK69">
            <v>4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2</v>
          </cell>
          <cell r="M70">
            <v>0</v>
          </cell>
          <cell r="N70">
            <v>9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14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2</v>
          </cell>
          <cell r="AH70"/>
          <cell r="AI70">
            <v>27</v>
          </cell>
          <cell r="AJ70">
            <v>14</v>
          </cell>
          <cell r="AK70">
            <v>4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5</v>
          </cell>
          <cell r="M71">
            <v>0</v>
          </cell>
          <cell r="N71">
            <v>15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21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/>
          <cell r="AI71">
            <v>41</v>
          </cell>
          <cell r="AJ71">
            <v>21</v>
          </cell>
          <cell r="AK71">
            <v>3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/>
          <cell r="AI72">
            <v>0</v>
          </cell>
          <cell r="AJ72">
            <v>0</v>
          </cell>
          <cell r="AK72">
            <v>0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4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7</v>
          </cell>
          <cell r="AH73"/>
          <cell r="AI73">
            <v>11</v>
          </cell>
          <cell r="AJ73">
            <v>7</v>
          </cell>
          <cell r="AK73">
            <v>2</v>
          </cell>
        </row>
        <row r="74">
          <cell r="C74">
            <v>350122031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5</v>
          </cell>
          <cell r="J74">
            <v>0</v>
          </cell>
          <cell r="K74">
            <v>7</v>
          </cell>
          <cell r="L74">
            <v>1</v>
          </cell>
          <cell r="M74">
            <v>0</v>
          </cell>
          <cell r="N74">
            <v>18</v>
          </cell>
          <cell r="O74">
            <v>2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/>
          <cell r="AI74">
            <v>33</v>
          </cell>
          <cell r="AJ74">
            <v>18</v>
          </cell>
          <cell r="AK74">
            <v>5</v>
          </cell>
        </row>
        <row r="75">
          <cell r="C75">
            <v>350122030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15</v>
          </cell>
          <cell r="O75">
            <v>0</v>
          </cell>
          <cell r="P75">
            <v>0</v>
          </cell>
          <cell r="Q75">
            <v>0</v>
          </cell>
          <cell r="R75">
            <v>20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4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/>
          <cell r="AI75">
            <v>39</v>
          </cell>
          <cell r="AJ75">
            <v>20</v>
          </cell>
          <cell r="AK75">
            <v>3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8</v>
          </cell>
          <cell r="L76">
            <v>14</v>
          </cell>
          <cell r="M76">
            <v>0</v>
          </cell>
          <cell r="N76">
            <v>34</v>
          </cell>
          <cell r="O76">
            <v>0</v>
          </cell>
          <cell r="P76">
            <v>0</v>
          </cell>
          <cell r="Q76">
            <v>0</v>
          </cell>
          <cell r="R76">
            <v>6</v>
          </cell>
          <cell r="S76">
            <v>0</v>
          </cell>
          <cell r="T76">
            <v>2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10</v>
          </cell>
          <cell r="Z76">
            <v>2</v>
          </cell>
          <cell r="AA76">
            <v>0</v>
          </cell>
          <cell r="AB76">
            <v>4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/>
          <cell r="AI76">
            <v>80</v>
          </cell>
          <cell r="AJ76">
            <v>34</v>
          </cell>
          <cell r="AK76">
            <v>8</v>
          </cell>
        </row>
        <row r="77">
          <cell r="C77">
            <v>350122028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21</v>
          </cell>
          <cell r="O77">
            <v>0</v>
          </cell>
          <cell r="P77">
            <v>0</v>
          </cell>
          <cell r="Q77">
            <v>12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4</v>
          </cell>
          <cell r="AA77">
            <v>0</v>
          </cell>
          <cell r="AB77">
            <v>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/>
          <cell r="AI77">
            <v>40</v>
          </cell>
          <cell r="AJ77">
            <v>21</v>
          </cell>
          <cell r="AK77">
            <v>4</v>
          </cell>
        </row>
        <row r="78">
          <cell r="C78">
            <v>350122027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9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9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0.5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/>
          <cell r="AI78">
            <v>18.5</v>
          </cell>
          <cell r="AJ78">
            <v>9</v>
          </cell>
          <cell r="AK78">
            <v>3</v>
          </cell>
        </row>
        <row r="79">
          <cell r="C79">
            <v>350122026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29.5</v>
          </cell>
          <cell r="K79">
            <v>0</v>
          </cell>
          <cell r="L79">
            <v>8</v>
          </cell>
          <cell r="M79">
            <v>1.5</v>
          </cell>
          <cell r="N79">
            <v>82.5</v>
          </cell>
          <cell r="O79">
            <v>14.5</v>
          </cell>
          <cell r="P79">
            <v>0</v>
          </cell>
          <cell r="Q79">
            <v>0</v>
          </cell>
          <cell r="R79">
            <v>0.5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/>
          <cell r="AI79">
            <v>136.5</v>
          </cell>
          <cell r="AJ79">
            <v>82.5</v>
          </cell>
          <cell r="AK79">
            <v>6</v>
          </cell>
        </row>
        <row r="80">
          <cell r="C80">
            <v>350122025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2</v>
          </cell>
          <cell r="L80">
            <v>9</v>
          </cell>
          <cell r="M80">
            <v>0</v>
          </cell>
          <cell r="N80">
            <v>9</v>
          </cell>
          <cell r="O80">
            <v>7</v>
          </cell>
          <cell r="P80">
            <v>0</v>
          </cell>
          <cell r="Q80">
            <v>0</v>
          </cell>
          <cell r="R80">
            <v>5</v>
          </cell>
          <cell r="S80">
            <v>0</v>
          </cell>
          <cell r="T80">
            <v>15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2</v>
          </cell>
          <cell r="Z80">
            <v>0</v>
          </cell>
          <cell r="AA80">
            <v>0</v>
          </cell>
          <cell r="AB80">
            <v>18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/>
          <cell r="AI80">
            <v>67</v>
          </cell>
          <cell r="AJ80">
            <v>18</v>
          </cell>
          <cell r="AK80">
            <v>8</v>
          </cell>
        </row>
        <row r="81">
          <cell r="C81">
            <v>350122024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15</v>
          </cell>
          <cell r="L81">
            <v>9</v>
          </cell>
          <cell r="M81">
            <v>0</v>
          </cell>
          <cell r="N81">
            <v>12</v>
          </cell>
          <cell r="O81">
            <v>3</v>
          </cell>
          <cell r="P81">
            <v>0</v>
          </cell>
          <cell r="Q81">
            <v>5</v>
          </cell>
          <cell r="R81">
            <v>4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28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/>
          <cell r="AI81">
            <v>76</v>
          </cell>
          <cell r="AJ81">
            <v>28</v>
          </cell>
          <cell r="AK81">
            <v>7</v>
          </cell>
        </row>
        <row r="82">
          <cell r="C82">
            <v>350122023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7.8</v>
          </cell>
          <cell r="K82">
            <v>0</v>
          </cell>
          <cell r="L82">
            <v>7</v>
          </cell>
          <cell r="M82">
            <v>0</v>
          </cell>
          <cell r="N82">
            <v>18</v>
          </cell>
          <cell r="O82">
            <v>3.8</v>
          </cell>
          <cell r="P82">
            <v>0</v>
          </cell>
          <cell r="Q82">
            <v>0</v>
          </cell>
          <cell r="R82">
            <v>2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/>
          <cell r="AI82">
            <v>40.599999999999994</v>
          </cell>
          <cell r="AJ82">
            <v>18</v>
          </cell>
          <cell r="AK82">
            <v>6</v>
          </cell>
        </row>
        <row r="83">
          <cell r="C83">
            <v>350122022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8</v>
          </cell>
          <cell r="I83">
            <v>0</v>
          </cell>
          <cell r="J83">
            <v>2</v>
          </cell>
          <cell r="K83">
            <v>0</v>
          </cell>
          <cell r="L83">
            <v>23</v>
          </cell>
          <cell r="M83">
            <v>0</v>
          </cell>
          <cell r="N83">
            <v>35</v>
          </cell>
          <cell r="O83">
            <v>0</v>
          </cell>
          <cell r="P83">
            <v>0</v>
          </cell>
          <cell r="Q83">
            <v>2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3</v>
          </cell>
          <cell r="AA83">
            <v>0</v>
          </cell>
          <cell r="AB83">
            <v>10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/>
          <cell r="AI83">
            <v>83</v>
          </cell>
          <cell r="AJ83">
            <v>35</v>
          </cell>
          <cell r="AK83">
            <v>7</v>
          </cell>
        </row>
        <row r="84">
          <cell r="C84">
            <v>350122021</v>
          </cell>
          <cell r="D84">
            <v>15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</v>
          </cell>
          <cell r="K84">
            <v>0</v>
          </cell>
          <cell r="L84">
            <v>3</v>
          </cell>
          <cell r="M84">
            <v>0</v>
          </cell>
          <cell r="N84">
            <v>42.5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/>
          <cell r="AI84">
            <v>62.5</v>
          </cell>
          <cell r="AJ84">
            <v>42.5</v>
          </cell>
          <cell r="AK84">
            <v>4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8</v>
          </cell>
          <cell r="K85">
            <v>0</v>
          </cell>
          <cell r="L85">
            <v>5</v>
          </cell>
          <cell r="M85">
            <v>0</v>
          </cell>
          <cell r="N85">
            <v>51</v>
          </cell>
          <cell r="O85">
            <v>15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/>
          <cell r="AI85">
            <v>79</v>
          </cell>
          <cell r="AJ85">
            <v>51</v>
          </cell>
          <cell r="AK85">
            <v>4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5</v>
          </cell>
          <cell r="L86">
            <v>0</v>
          </cell>
          <cell r="M86">
            <v>0</v>
          </cell>
          <cell r="N86">
            <v>12</v>
          </cell>
          <cell r="O86">
            <v>0</v>
          </cell>
          <cell r="P86">
            <v>0</v>
          </cell>
          <cell r="Q86">
            <v>1</v>
          </cell>
          <cell r="R86">
            <v>9.5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4</v>
          </cell>
          <cell r="Z86">
            <v>2</v>
          </cell>
          <cell r="AA86">
            <v>0</v>
          </cell>
          <cell r="AB86">
            <v>1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/>
          <cell r="AI86">
            <v>34.5</v>
          </cell>
          <cell r="AJ86">
            <v>12</v>
          </cell>
          <cell r="AK86">
            <v>7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2</v>
          </cell>
          <cell r="K87">
            <v>0</v>
          </cell>
          <cell r="L87">
            <v>5</v>
          </cell>
          <cell r="M87">
            <v>0</v>
          </cell>
          <cell r="N87">
            <v>67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/>
          <cell r="AI87">
            <v>74</v>
          </cell>
          <cell r="AJ87">
            <v>67</v>
          </cell>
          <cell r="AK87">
            <v>3</v>
          </cell>
        </row>
        <row r="88">
          <cell r="C88">
            <v>350122017</v>
          </cell>
          <cell r="D88">
            <v>23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</v>
          </cell>
          <cell r="K88">
            <v>0</v>
          </cell>
          <cell r="L88">
            <v>0</v>
          </cell>
          <cell r="M88">
            <v>0</v>
          </cell>
          <cell r="N88">
            <v>26</v>
          </cell>
          <cell r="O88">
            <v>23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/>
          <cell r="AI88">
            <v>74</v>
          </cell>
          <cell r="AJ88">
            <v>26</v>
          </cell>
          <cell r="AK88">
            <v>4</v>
          </cell>
        </row>
        <row r="89">
          <cell r="C89">
            <v>350122016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25</v>
          </cell>
          <cell r="I89">
            <v>0</v>
          </cell>
          <cell r="J89">
            <v>5</v>
          </cell>
          <cell r="K89">
            <v>0</v>
          </cell>
          <cell r="L89">
            <v>32</v>
          </cell>
          <cell r="M89">
            <v>0</v>
          </cell>
          <cell r="N89">
            <v>25</v>
          </cell>
          <cell r="O89">
            <v>1</v>
          </cell>
          <cell r="P89">
            <v>0</v>
          </cell>
          <cell r="Q89">
            <v>6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8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/>
          <cell r="AI89">
            <v>102</v>
          </cell>
          <cell r="AJ89">
            <v>32</v>
          </cell>
          <cell r="AK89">
            <v>7</v>
          </cell>
        </row>
        <row r="90">
          <cell r="C90">
            <v>350122015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27</v>
          </cell>
          <cell r="O90">
            <v>1</v>
          </cell>
          <cell r="P90">
            <v>0</v>
          </cell>
          <cell r="Q90">
            <v>4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10</v>
          </cell>
          <cell r="AA90">
            <v>0</v>
          </cell>
          <cell r="AB90">
            <v>6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/>
          <cell r="AI90">
            <v>48</v>
          </cell>
          <cell r="AJ90">
            <v>27</v>
          </cell>
          <cell r="AK90">
            <v>5</v>
          </cell>
        </row>
        <row r="91">
          <cell r="C91">
            <v>350122014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11</v>
          </cell>
          <cell r="M91">
            <v>0</v>
          </cell>
          <cell r="N91">
            <v>70</v>
          </cell>
          <cell r="O91">
            <v>0</v>
          </cell>
          <cell r="P91">
            <v>0</v>
          </cell>
          <cell r="Q91">
            <v>8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15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/>
          <cell r="AI91">
            <v>104</v>
          </cell>
          <cell r="AJ91">
            <v>70</v>
          </cell>
          <cell r="AK91">
            <v>4</v>
          </cell>
        </row>
        <row r="92">
          <cell r="C92">
            <v>350122013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2</v>
          </cell>
          <cell r="I92">
            <v>0</v>
          </cell>
          <cell r="J92">
            <v>16</v>
          </cell>
          <cell r="K92">
            <v>0</v>
          </cell>
          <cell r="L92">
            <v>46</v>
          </cell>
          <cell r="M92">
            <v>0</v>
          </cell>
          <cell r="N92">
            <v>7</v>
          </cell>
          <cell r="O92">
            <v>5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16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/>
          <cell r="AI92">
            <v>92</v>
          </cell>
          <cell r="AJ92">
            <v>46</v>
          </cell>
          <cell r="AK92">
            <v>6</v>
          </cell>
        </row>
        <row r="93">
          <cell r="C93">
            <v>350122012</v>
          </cell>
          <cell r="D93">
            <v>24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15</v>
          </cell>
          <cell r="L93">
            <v>12</v>
          </cell>
          <cell r="M93">
            <v>0</v>
          </cell>
          <cell r="N93">
            <v>25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/>
          <cell r="AI93">
            <v>76</v>
          </cell>
          <cell r="AJ93">
            <v>25</v>
          </cell>
          <cell r="AK93">
            <v>4</v>
          </cell>
        </row>
        <row r="94">
          <cell r="C94">
            <v>350122011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9</v>
          </cell>
          <cell r="L94">
            <v>2</v>
          </cell>
          <cell r="M94">
            <v>0</v>
          </cell>
          <cell r="N94">
            <v>6</v>
          </cell>
          <cell r="O94">
            <v>10</v>
          </cell>
          <cell r="P94">
            <v>0</v>
          </cell>
          <cell r="Q94">
            <v>0</v>
          </cell>
          <cell r="R94">
            <v>37</v>
          </cell>
          <cell r="S94">
            <v>0</v>
          </cell>
          <cell r="T94">
            <v>8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3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/>
          <cell r="AI94">
            <v>75</v>
          </cell>
          <cell r="AJ94">
            <v>37</v>
          </cell>
          <cell r="AK94">
            <v>7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9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27</v>
          </cell>
          <cell r="O95">
            <v>0</v>
          </cell>
          <cell r="P95">
            <v>0</v>
          </cell>
          <cell r="Q95">
            <v>4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32</v>
          </cell>
          <cell r="AA95">
            <v>0</v>
          </cell>
          <cell r="AB95">
            <v>13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/>
          <cell r="AI95">
            <v>85</v>
          </cell>
          <cell r="AJ95">
            <v>32</v>
          </cell>
          <cell r="AK95">
            <v>5</v>
          </cell>
        </row>
        <row r="96">
          <cell r="C96">
            <v>350122009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7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37</v>
          </cell>
          <cell r="O96">
            <v>0</v>
          </cell>
          <cell r="P96">
            <v>2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32</v>
          </cell>
          <cell r="X96">
            <v>0</v>
          </cell>
          <cell r="Y96">
            <v>0</v>
          </cell>
          <cell r="Z96">
            <v>27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/>
          <cell r="AI96">
            <v>105</v>
          </cell>
          <cell r="AJ96">
            <v>37</v>
          </cell>
          <cell r="AK96">
            <v>5</v>
          </cell>
        </row>
        <row r="97">
          <cell r="C97">
            <v>350122008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62</v>
          </cell>
          <cell r="O97">
            <v>0</v>
          </cell>
          <cell r="P97">
            <v>0</v>
          </cell>
          <cell r="Q97">
            <v>2.5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15</v>
          </cell>
          <cell r="AA97">
            <v>0</v>
          </cell>
          <cell r="AB97">
            <v>18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/>
          <cell r="AI97">
            <v>97.5</v>
          </cell>
          <cell r="AJ97">
            <v>62</v>
          </cell>
          <cell r="AK97">
            <v>4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23</v>
          </cell>
          <cell r="K98">
            <v>0</v>
          </cell>
          <cell r="L98">
            <v>0</v>
          </cell>
          <cell r="M98">
            <v>0</v>
          </cell>
          <cell r="N98">
            <v>62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/>
          <cell r="AI98">
            <v>85</v>
          </cell>
          <cell r="AJ98">
            <v>62</v>
          </cell>
          <cell r="AK98">
            <v>2</v>
          </cell>
        </row>
        <row r="99">
          <cell r="C99">
            <v>350122006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2</v>
          </cell>
          <cell r="L99">
            <v>12</v>
          </cell>
          <cell r="M99">
            <v>14</v>
          </cell>
          <cell r="N99">
            <v>28</v>
          </cell>
          <cell r="O99">
            <v>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/>
          <cell r="AI99">
            <v>62</v>
          </cell>
          <cell r="AJ99">
            <v>28</v>
          </cell>
          <cell r="AK99">
            <v>5</v>
          </cell>
        </row>
        <row r="100">
          <cell r="C100">
            <v>350122005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</v>
          </cell>
          <cell r="M100">
            <v>0</v>
          </cell>
          <cell r="N100">
            <v>35</v>
          </cell>
          <cell r="O100">
            <v>0</v>
          </cell>
          <cell r="P100">
            <v>0</v>
          </cell>
          <cell r="Q100">
            <v>11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11</v>
          </cell>
          <cell r="AA100">
            <v>0</v>
          </cell>
          <cell r="AB100">
            <v>13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/>
          <cell r="AI100">
            <v>71</v>
          </cell>
          <cell r="AJ100">
            <v>35</v>
          </cell>
          <cell r="AK100">
            <v>5</v>
          </cell>
        </row>
        <row r="101">
          <cell r="C101">
            <v>350122004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14</v>
          </cell>
          <cell r="K101">
            <v>0</v>
          </cell>
          <cell r="L101">
            <v>11</v>
          </cell>
          <cell r="M101">
            <v>0</v>
          </cell>
          <cell r="N101">
            <v>2</v>
          </cell>
          <cell r="O101">
            <v>8</v>
          </cell>
          <cell r="P101">
            <v>0</v>
          </cell>
          <cell r="Q101">
            <v>3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4</v>
          </cell>
          <cell r="Y101">
            <v>0</v>
          </cell>
          <cell r="Z101">
            <v>14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/>
          <cell r="AI101">
            <v>56</v>
          </cell>
          <cell r="AJ101">
            <v>14</v>
          </cell>
          <cell r="AK101">
            <v>7</v>
          </cell>
        </row>
        <row r="102">
          <cell r="C102">
            <v>350122003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3</v>
          </cell>
          <cell r="O102">
            <v>1</v>
          </cell>
          <cell r="P102">
            <v>0</v>
          </cell>
          <cell r="Q102">
            <v>5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/>
          <cell r="AI102">
            <v>12</v>
          </cell>
          <cell r="AJ102">
            <v>5</v>
          </cell>
          <cell r="AK102">
            <v>4</v>
          </cell>
        </row>
        <row r="103">
          <cell r="C103">
            <v>350122002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2</v>
          </cell>
          <cell r="I103">
            <v>0</v>
          </cell>
          <cell r="J103">
            <v>0</v>
          </cell>
          <cell r="K103">
            <v>0</v>
          </cell>
          <cell r="L103">
            <v>47</v>
          </cell>
          <cell r="M103">
            <v>0</v>
          </cell>
          <cell r="N103">
            <v>32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19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/>
          <cell r="AI103">
            <v>100</v>
          </cell>
          <cell r="AJ103">
            <v>47</v>
          </cell>
          <cell r="AK103">
            <v>4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7</v>
          </cell>
          <cell r="I104">
            <v>0</v>
          </cell>
          <cell r="J104">
            <v>0</v>
          </cell>
          <cell r="K104">
            <v>0</v>
          </cell>
          <cell r="L104">
            <v>7</v>
          </cell>
          <cell r="M104">
            <v>0</v>
          </cell>
          <cell r="N104">
            <v>23</v>
          </cell>
          <cell r="O104">
            <v>0</v>
          </cell>
          <cell r="P104">
            <v>0</v>
          </cell>
          <cell r="Q104">
            <v>4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24</v>
          </cell>
          <cell r="AA104">
            <v>0</v>
          </cell>
          <cell r="AB104">
            <v>1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/>
          <cell r="AI104">
            <v>66</v>
          </cell>
          <cell r="AJ104">
            <v>24</v>
          </cell>
          <cell r="AK104">
            <v>6</v>
          </cell>
        </row>
        <row r="105">
          <cell r="C105">
            <v>350619001</v>
          </cell>
          <cell r="D105">
            <v>1.5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2</v>
          </cell>
          <cell r="M105">
            <v>6.5</v>
          </cell>
          <cell r="N105">
            <v>18</v>
          </cell>
          <cell r="O105">
            <v>13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/>
          <cell r="AI105">
            <v>41</v>
          </cell>
          <cell r="AJ105">
            <v>18</v>
          </cell>
          <cell r="AK105">
            <v>5</v>
          </cell>
        </row>
        <row r="106">
          <cell r="C106">
            <v>350619002</v>
          </cell>
          <cell r="D106">
            <v>10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23</v>
          </cell>
          <cell r="N106">
            <v>39</v>
          </cell>
          <cell r="O106">
            <v>2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12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/>
          <cell r="AI106">
            <v>86</v>
          </cell>
          <cell r="AJ106">
            <v>39</v>
          </cell>
          <cell r="AK106">
            <v>5</v>
          </cell>
        </row>
        <row r="107">
          <cell r="C107">
            <v>350619003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52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/>
          <cell r="AI107">
            <v>52</v>
          </cell>
          <cell r="AJ107">
            <v>52</v>
          </cell>
          <cell r="AK107">
            <v>1</v>
          </cell>
        </row>
        <row r="108">
          <cell r="C108">
            <v>350619004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8</v>
          </cell>
          <cell r="M108">
            <v>0</v>
          </cell>
          <cell r="N108">
            <v>37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/>
          <cell r="AI108">
            <v>45</v>
          </cell>
          <cell r="AJ108">
            <v>37</v>
          </cell>
          <cell r="AK108">
            <v>2</v>
          </cell>
        </row>
        <row r="109">
          <cell r="C109">
            <v>350619005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50</v>
          </cell>
          <cell r="N109">
            <v>26</v>
          </cell>
          <cell r="O109">
            <v>8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14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/>
          <cell r="AI109">
            <v>109</v>
          </cell>
          <cell r="AJ109">
            <v>50</v>
          </cell>
          <cell r="AK109">
            <v>5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17</v>
          </cell>
          <cell r="N110">
            <v>41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/>
          <cell r="AI110">
            <v>58</v>
          </cell>
          <cell r="AJ110">
            <v>41</v>
          </cell>
          <cell r="AK110">
            <v>2</v>
          </cell>
        </row>
        <row r="111">
          <cell r="C111">
            <v>350619007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8</v>
          </cell>
          <cell r="M111">
            <v>7</v>
          </cell>
          <cell r="N111">
            <v>43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/>
          <cell r="AI111">
            <v>58</v>
          </cell>
          <cell r="AJ111">
            <v>43</v>
          </cell>
          <cell r="AK111">
            <v>3</v>
          </cell>
        </row>
        <row r="112">
          <cell r="C112">
            <v>350619008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54</v>
          </cell>
          <cell r="N112">
            <v>60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9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3</v>
          </cell>
          <cell r="AH112"/>
          <cell r="AI112">
            <v>126</v>
          </cell>
          <cell r="AJ112">
            <v>60</v>
          </cell>
          <cell r="AK112">
            <v>4</v>
          </cell>
        </row>
        <row r="113">
          <cell r="C113">
            <v>350619009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65</v>
          </cell>
          <cell r="N113">
            <v>32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12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/>
          <cell r="AI113">
            <v>109</v>
          </cell>
          <cell r="AJ113">
            <v>65</v>
          </cell>
          <cell r="AK113">
            <v>3</v>
          </cell>
        </row>
        <row r="114">
          <cell r="C114">
            <v>350619010</v>
          </cell>
          <cell r="D114">
            <v>2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</v>
          </cell>
          <cell r="M114">
            <v>27</v>
          </cell>
          <cell r="N114">
            <v>52</v>
          </cell>
          <cell r="O114">
            <v>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1</v>
          </cell>
          <cell r="AH114"/>
          <cell r="AI114">
            <v>84</v>
          </cell>
          <cell r="AJ114">
            <v>52</v>
          </cell>
          <cell r="AK114">
            <v>6</v>
          </cell>
        </row>
        <row r="115">
          <cell r="C115">
            <v>350619011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</v>
          </cell>
          <cell r="M115">
            <v>0</v>
          </cell>
          <cell r="N115">
            <v>28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/>
          <cell r="AI115">
            <v>34</v>
          </cell>
          <cell r="AJ115">
            <v>28</v>
          </cell>
          <cell r="AK115">
            <v>2</v>
          </cell>
        </row>
        <row r="116">
          <cell r="C116">
            <v>350619012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30</v>
          </cell>
          <cell r="N116">
            <v>55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5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/>
          <cell r="AI116">
            <v>90</v>
          </cell>
          <cell r="AJ116">
            <v>55</v>
          </cell>
          <cell r="AK116">
            <v>3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5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/>
          <cell r="AI117">
            <v>5</v>
          </cell>
          <cell r="AJ117">
            <v>5</v>
          </cell>
          <cell r="AK117">
            <v>1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</v>
          </cell>
          <cell r="M118">
            <v>7</v>
          </cell>
          <cell r="N118">
            <v>13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/>
          <cell r="AI118">
            <v>56</v>
          </cell>
          <cell r="AJ118">
            <v>36</v>
          </cell>
          <cell r="AK118">
            <v>3</v>
          </cell>
        </row>
        <row r="119">
          <cell r="C119">
            <v>350619015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</v>
          </cell>
          <cell r="M119">
            <v>5</v>
          </cell>
          <cell r="N119">
            <v>78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/>
          <cell r="AI119">
            <v>91</v>
          </cell>
          <cell r="AJ119">
            <v>78</v>
          </cell>
          <cell r="AK119">
            <v>3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31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/>
          <cell r="AI120">
            <v>31</v>
          </cell>
          <cell r="AJ120">
            <v>31</v>
          </cell>
          <cell r="AK120">
            <v>1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38</v>
          </cell>
          <cell r="M121">
            <v>9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/>
          <cell r="AI121">
            <v>47</v>
          </cell>
          <cell r="AJ121">
            <v>38</v>
          </cell>
          <cell r="AK121">
            <v>2</v>
          </cell>
        </row>
        <row r="122">
          <cell r="C122">
            <v>350619018</v>
          </cell>
          <cell r="D122">
            <v>3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5</v>
          </cell>
          <cell r="N122">
            <v>3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/>
          <cell r="AI122">
            <v>11</v>
          </cell>
          <cell r="AJ122">
            <v>5</v>
          </cell>
          <cell r="AK122">
            <v>3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37</v>
          </cell>
          <cell r="M123">
            <v>5</v>
          </cell>
          <cell r="N123">
            <v>14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/>
          <cell r="AI123">
            <v>56</v>
          </cell>
          <cell r="AJ123">
            <v>37</v>
          </cell>
          <cell r="AK123">
            <v>3</v>
          </cell>
        </row>
        <row r="124">
          <cell r="C124">
            <v>350619020</v>
          </cell>
          <cell r="D124">
            <v>5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35</v>
          </cell>
          <cell r="M124">
            <v>10</v>
          </cell>
          <cell r="N124">
            <v>37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/>
          <cell r="AI124">
            <v>87</v>
          </cell>
          <cell r="AJ124">
            <v>37</v>
          </cell>
          <cell r="AK124">
            <v>4</v>
          </cell>
        </row>
        <row r="125">
          <cell r="C125">
            <v>350619021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6</v>
          </cell>
          <cell r="M125">
            <v>4</v>
          </cell>
          <cell r="N125">
            <v>3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8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1</v>
          </cell>
          <cell r="AH125"/>
          <cell r="AI125">
            <v>22</v>
          </cell>
          <cell r="AJ125">
            <v>8</v>
          </cell>
          <cell r="AK125">
            <v>5</v>
          </cell>
        </row>
        <row r="126">
          <cell r="C126">
            <v>350619022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48</v>
          </cell>
          <cell r="N126">
            <v>6</v>
          </cell>
          <cell r="O126">
            <v>8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9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1</v>
          </cell>
          <cell r="AH126"/>
          <cell r="AI126">
            <v>72</v>
          </cell>
          <cell r="AJ126">
            <v>48</v>
          </cell>
          <cell r="AK126">
            <v>5</v>
          </cell>
        </row>
        <row r="127">
          <cell r="C127">
            <v>350619023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8</v>
          </cell>
          <cell r="N127">
            <v>5</v>
          </cell>
          <cell r="O127">
            <v>10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4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/>
          <cell r="AI127">
            <v>27</v>
          </cell>
          <cell r="AJ127">
            <v>10</v>
          </cell>
          <cell r="AK127">
            <v>4</v>
          </cell>
        </row>
        <row r="128">
          <cell r="C128">
            <v>350619024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3</v>
          </cell>
          <cell r="M128">
            <v>7</v>
          </cell>
          <cell r="N128">
            <v>7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6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/>
          <cell r="AI128">
            <v>23</v>
          </cell>
          <cell r="AJ128">
            <v>7</v>
          </cell>
          <cell r="AK128">
            <v>4</v>
          </cell>
        </row>
        <row r="129">
          <cell r="C129">
            <v>350619025</v>
          </cell>
          <cell r="D129">
            <v>6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14</v>
          </cell>
          <cell r="M129">
            <v>7</v>
          </cell>
          <cell r="N129">
            <v>2</v>
          </cell>
          <cell r="O129">
            <v>3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3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/>
          <cell r="AI129">
            <v>35</v>
          </cell>
          <cell r="AJ129">
            <v>14</v>
          </cell>
          <cell r="AK129">
            <v>6</v>
          </cell>
        </row>
        <row r="130">
          <cell r="C130">
            <v>350619026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12</v>
          </cell>
          <cell r="M130">
            <v>17</v>
          </cell>
          <cell r="N130">
            <v>7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17</v>
          </cell>
          <cell r="Z130">
            <v>12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/>
          <cell r="AI130">
            <v>65</v>
          </cell>
          <cell r="AJ130">
            <v>17</v>
          </cell>
          <cell r="AK130">
            <v>5</v>
          </cell>
        </row>
        <row r="131">
          <cell r="C131">
            <v>350619027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4</v>
          </cell>
          <cell r="N131">
            <v>27</v>
          </cell>
          <cell r="O131">
            <v>14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/>
          <cell r="AI131">
            <v>45</v>
          </cell>
          <cell r="AJ131">
            <v>27</v>
          </cell>
          <cell r="AK131">
            <v>3</v>
          </cell>
        </row>
        <row r="132">
          <cell r="C132">
            <v>350619028</v>
          </cell>
          <cell r="D132">
            <v>5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9</v>
          </cell>
          <cell r="L132">
            <v>16</v>
          </cell>
          <cell r="M132">
            <v>32</v>
          </cell>
          <cell r="N132">
            <v>6</v>
          </cell>
          <cell r="O132">
            <v>5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/>
          <cell r="AI132">
            <v>73</v>
          </cell>
          <cell r="AJ132">
            <v>32</v>
          </cell>
          <cell r="AK132">
            <v>6</v>
          </cell>
        </row>
        <row r="133">
          <cell r="C133">
            <v>350619029</v>
          </cell>
          <cell r="D133">
            <v>18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4</v>
          </cell>
          <cell r="L133">
            <v>4</v>
          </cell>
          <cell r="M133">
            <v>15</v>
          </cell>
          <cell r="N133">
            <v>5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/>
          <cell r="AI133">
            <v>46</v>
          </cell>
          <cell r="AJ133">
            <v>18</v>
          </cell>
          <cell r="AK133">
            <v>5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28</v>
          </cell>
          <cell r="O134">
            <v>9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/>
          <cell r="AI134">
            <v>37</v>
          </cell>
          <cell r="AJ134">
            <v>28</v>
          </cell>
          <cell r="AK134">
            <v>2</v>
          </cell>
        </row>
        <row r="135">
          <cell r="C135">
            <v>350619031</v>
          </cell>
          <cell r="D135">
            <v>6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2</v>
          </cell>
          <cell r="K135">
            <v>7</v>
          </cell>
          <cell r="L135">
            <v>26</v>
          </cell>
          <cell r="M135">
            <v>23</v>
          </cell>
          <cell r="N135">
            <v>3</v>
          </cell>
          <cell r="O135">
            <v>2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/>
          <cell r="AI135">
            <v>69</v>
          </cell>
          <cell r="AJ135">
            <v>26</v>
          </cell>
          <cell r="AK135">
            <v>7</v>
          </cell>
        </row>
        <row r="136">
          <cell r="C136">
            <v>350619032</v>
          </cell>
          <cell r="D136">
            <v>3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25</v>
          </cell>
          <cell r="M136">
            <v>30</v>
          </cell>
          <cell r="N136">
            <v>6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/>
          <cell r="AI136">
            <v>64</v>
          </cell>
          <cell r="AJ136">
            <v>30</v>
          </cell>
          <cell r="AK136">
            <v>4</v>
          </cell>
        </row>
        <row r="137">
          <cell r="C137">
            <v>350619033</v>
          </cell>
          <cell r="D137">
            <v>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4</v>
          </cell>
          <cell r="L137">
            <v>6</v>
          </cell>
          <cell r="M137">
            <v>7</v>
          </cell>
          <cell r="N137">
            <v>12</v>
          </cell>
          <cell r="O137">
            <v>3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/>
          <cell r="AI137">
            <v>41</v>
          </cell>
          <cell r="AJ137">
            <v>12</v>
          </cell>
          <cell r="AK137">
            <v>6</v>
          </cell>
        </row>
        <row r="138">
          <cell r="C138">
            <v>350619034</v>
          </cell>
          <cell r="D138">
            <v>17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18</v>
          </cell>
          <cell r="M138">
            <v>10</v>
          </cell>
          <cell r="N138">
            <v>17</v>
          </cell>
          <cell r="O138">
            <v>4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/>
          <cell r="AI138">
            <v>66</v>
          </cell>
          <cell r="AJ138">
            <v>18</v>
          </cell>
          <cell r="AK138">
            <v>5</v>
          </cell>
        </row>
        <row r="139">
          <cell r="C139">
            <v>350619035</v>
          </cell>
          <cell r="D139">
            <v>12</v>
          </cell>
          <cell r="E139">
            <v>0</v>
          </cell>
          <cell r="F139">
            <v>0</v>
          </cell>
          <cell r="G139">
            <v>5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19</v>
          </cell>
          <cell r="O139">
            <v>8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/>
          <cell r="AI139">
            <v>44</v>
          </cell>
          <cell r="AJ139">
            <v>19</v>
          </cell>
          <cell r="AK139">
            <v>4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12</v>
          </cell>
          <cell r="L140">
            <v>23</v>
          </cell>
          <cell r="M140">
            <v>41</v>
          </cell>
          <cell r="N140">
            <v>8</v>
          </cell>
          <cell r="O140">
            <v>5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/>
          <cell r="AI140">
            <v>89</v>
          </cell>
          <cell r="AJ140">
            <v>41</v>
          </cell>
          <cell r="AK140">
            <v>5</v>
          </cell>
        </row>
        <row r="141">
          <cell r="C141">
            <v>350620001</v>
          </cell>
          <cell r="D141">
            <v>4</v>
          </cell>
          <cell r="E141">
            <v>2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1</v>
          </cell>
          <cell r="K141">
            <v>0</v>
          </cell>
          <cell r="L141">
            <v>0</v>
          </cell>
          <cell r="M141">
            <v>13</v>
          </cell>
          <cell r="N141">
            <v>49</v>
          </cell>
          <cell r="O141">
            <v>14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/>
          <cell r="AI141">
            <v>83</v>
          </cell>
          <cell r="AJ141">
            <v>49</v>
          </cell>
          <cell r="AK141">
            <v>6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7</v>
          </cell>
          <cell r="K142">
            <v>1</v>
          </cell>
          <cell r="L142">
            <v>0</v>
          </cell>
          <cell r="M142">
            <v>7</v>
          </cell>
          <cell r="N142">
            <v>14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/>
          <cell r="AI142">
            <v>29</v>
          </cell>
          <cell r="AJ142">
            <v>14</v>
          </cell>
          <cell r="AK142">
            <v>4</v>
          </cell>
        </row>
        <row r="143">
          <cell r="C143">
            <v>350620003</v>
          </cell>
          <cell r="D143">
            <v>1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18</v>
          </cell>
          <cell r="K143">
            <v>0</v>
          </cell>
          <cell r="L143">
            <v>0</v>
          </cell>
          <cell r="M143">
            <v>5</v>
          </cell>
          <cell r="N143">
            <v>68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/>
          <cell r="AI143">
            <v>92</v>
          </cell>
          <cell r="AJ143">
            <v>68</v>
          </cell>
          <cell r="AK143">
            <v>4</v>
          </cell>
        </row>
        <row r="144">
          <cell r="C144">
            <v>350620004</v>
          </cell>
          <cell r="D144">
            <v>2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8</v>
          </cell>
          <cell r="K144">
            <v>0</v>
          </cell>
          <cell r="L144">
            <v>0</v>
          </cell>
          <cell r="M144">
            <v>14</v>
          </cell>
          <cell r="N144">
            <v>48</v>
          </cell>
          <cell r="O144">
            <v>7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/>
          <cell r="AI144">
            <v>79</v>
          </cell>
          <cell r="AJ144">
            <v>48</v>
          </cell>
          <cell r="AK144">
            <v>5</v>
          </cell>
        </row>
        <row r="145">
          <cell r="C145">
            <v>350620005</v>
          </cell>
          <cell r="D145">
            <v>2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12</v>
          </cell>
          <cell r="K145">
            <v>0</v>
          </cell>
          <cell r="L145">
            <v>0</v>
          </cell>
          <cell r="M145">
            <v>5</v>
          </cell>
          <cell r="N145">
            <v>45</v>
          </cell>
          <cell r="O145">
            <v>2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/>
          <cell r="AI145">
            <v>66</v>
          </cell>
          <cell r="AJ145">
            <v>45</v>
          </cell>
          <cell r="AK145">
            <v>5</v>
          </cell>
        </row>
        <row r="146">
          <cell r="C146">
            <v>350620006</v>
          </cell>
          <cell r="D146">
            <v>3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3</v>
          </cell>
          <cell r="K146">
            <v>0</v>
          </cell>
          <cell r="L146">
            <v>0</v>
          </cell>
          <cell r="M146">
            <v>5</v>
          </cell>
          <cell r="N146">
            <v>13</v>
          </cell>
          <cell r="O146">
            <v>12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/>
          <cell r="AI146">
            <v>36</v>
          </cell>
          <cell r="AJ146">
            <v>13</v>
          </cell>
          <cell r="AK146">
            <v>5</v>
          </cell>
        </row>
        <row r="147">
          <cell r="C147">
            <v>350620007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3</v>
          </cell>
          <cell r="N147">
            <v>20</v>
          </cell>
          <cell r="O147">
            <v>2</v>
          </cell>
          <cell r="P147">
            <v>5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/>
          <cell r="AI147">
            <v>30</v>
          </cell>
          <cell r="AJ147">
            <v>20</v>
          </cell>
          <cell r="AK147">
            <v>4</v>
          </cell>
        </row>
        <row r="148">
          <cell r="C148">
            <v>350620008</v>
          </cell>
          <cell r="D148">
            <v>18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3</v>
          </cell>
          <cell r="K148">
            <v>0</v>
          </cell>
          <cell r="L148">
            <v>0</v>
          </cell>
          <cell r="M148">
            <v>2</v>
          </cell>
          <cell r="N148">
            <v>18</v>
          </cell>
          <cell r="O148">
            <v>0</v>
          </cell>
          <cell r="P148">
            <v>10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/>
          <cell r="AI148">
            <v>51</v>
          </cell>
          <cell r="AJ148">
            <v>18</v>
          </cell>
          <cell r="AK148">
            <v>5</v>
          </cell>
        </row>
        <row r="149">
          <cell r="C149">
            <v>350620009</v>
          </cell>
          <cell r="D149">
            <v>47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7</v>
          </cell>
          <cell r="N149">
            <v>21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/>
          <cell r="AI149">
            <v>75</v>
          </cell>
          <cell r="AJ149">
            <v>47</v>
          </cell>
          <cell r="AK149">
            <v>3</v>
          </cell>
        </row>
        <row r="150">
          <cell r="C150">
            <v>350620010</v>
          </cell>
          <cell r="D150">
            <v>52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1</v>
          </cell>
          <cell r="K150">
            <v>0</v>
          </cell>
          <cell r="L150">
            <v>0</v>
          </cell>
          <cell r="M150">
            <v>3</v>
          </cell>
          <cell r="N150">
            <v>37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/>
          <cell r="AI150">
            <v>93</v>
          </cell>
          <cell r="AJ150">
            <v>52</v>
          </cell>
          <cell r="AK150">
            <v>4</v>
          </cell>
        </row>
        <row r="151">
          <cell r="C151">
            <v>350620011</v>
          </cell>
          <cell r="D151">
            <v>32</v>
          </cell>
          <cell r="E151">
            <v>1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4</v>
          </cell>
          <cell r="K151">
            <v>2</v>
          </cell>
          <cell r="L151">
            <v>0</v>
          </cell>
          <cell r="M151">
            <v>3</v>
          </cell>
          <cell r="N151">
            <v>21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11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2</v>
          </cell>
          <cell r="AH151"/>
          <cell r="AI151">
            <v>76</v>
          </cell>
          <cell r="AJ151">
            <v>32</v>
          </cell>
          <cell r="AK151">
            <v>8</v>
          </cell>
        </row>
        <row r="152">
          <cell r="C152">
            <v>350620012</v>
          </cell>
          <cell r="D152">
            <v>43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24</v>
          </cell>
          <cell r="O152">
            <v>0</v>
          </cell>
          <cell r="P152">
            <v>2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/>
          <cell r="AI152">
            <v>69</v>
          </cell>
          <cell r="AJ152">
            <v>43</v>
          </cell>
          <cell r="AK152">
            <v>3</v>
          </cell>
        </row>
        <row r="153">
          <cell r="C153">
            <v>350620013</v>
          </cell>
          <cell r="D153">
            <v>60</v>
          </cell>
          <cell r="E153">
            <v>2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5</v>
          </cell>
          <cell r="K153">
            <v>0</v>
          </cell>
          <cell r="L153">
            <v>0</v>
          </cell>
          <cell r="M153">
            <v>3</v>
          </cell>
          <cell r="N153">
            <v>48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/>
          <cell r="AI153">
            <v>118</v>
          </cell>
          <cell r="AJ153">
            <v>60</v>
          </cell>
          <cell r="AK153">
            <v>5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6</v>
          </cell>
          <cell r="M154">
            <v>5</v>
          </cell>
          <cell r="N154">
            <v>28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3</v>
          </cell>
          <cell r="AH154"/>
          <cell r="AI154">
            <v>42</v>
          </cell>
          <cell r="AJ154">
            <v>28</v>
          </cell>
          <cell r="AK154">
            <v>4</v>
          </cell>
        </row>
        <row r="155">
          <cell r="C155">
            <v>350620015</v>
          </cell>
          <cell r="D155">
            <v>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5</v>
          </cell>
          <cell r="N155">
            <v>1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/>
          <cell r="AI155">
            <v>8</v>
          </cell>
          <cell r="AJ155">
            <v>5</v>
          </cell>
          <cell r="AK155">
            <v>3</v>
          </cell>
        </row>
        <row r="156">
          <cell r="C156">
            <v>350620016</v>
          </cell>
          <cell r="D156">
            <v>14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4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/>
          <cell r="AI156">
            <v>18</v>
          </cell>
          <cell r="AJ156">
            <v>14</v>
          </cell>
          <cell r="AK156">
            <v>2</v>
          </cell>
        </row>
        <row r="157">
          <cell r="C157">
            <v>350620017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20</v>
          </cell>
          <cell r="M157">
            <v>34</v>
          </cell>
          <cell r="N157">
            <v>3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/>
          <cell r="AI157">
            <v>57</v>
          </cell>
          <cell r="AJ157">
            <v>34</v>
          </cell>
          <cell r="AK157">
            <v>3</v>
          </cell>
        </row>
        <row r="158">
          <cell r="C158">
            <v>350620018</v>
          </cell>
          <cell r="D158">
            <v>3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9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/>
          <cell r="AI158">
            <v>12</v>
          </cell>
          <cell r="AJ158">
            <v>9</v>
          </cell>
          <cell r="AK158">
            <v>2</v>
          </cell>
        </row>
        <row r="159">
          <cell r="C159">
            <v>350620019</v>
          </cell>
          <cell r="D159">
            <v>8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4</v>
          </cell>
          <cell r="N159">
            <v>39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/>
          <cell r="AI159">
            <v>51</v>
          </cell>
          <cell r="AJ159">
            <v>39</v>
          </cell>
          <cell r="AK159">
            <v>3</v>
          </cell>
        </row>
        <row r="160">
          <cell r="C160">
            <v>350620020</v>
          </cell>
          <cell r="D160">
            <v>2</v>
          </cell>
          <cell r="E160">
            <v>2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3</v>
          </cell>
          <cell r="M160">
            <v>11</v>
          </cell>
          <cell r="N160">
            <v>31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/>
          <cell r="AI160">
            <v>49</v>
          </cell>
          <cell r="AJ160">
            <v>31</v>
          </cell>
          <cell r="AK160">
            <v>5</v>
          </cell>
        </row>
        <row r="161">
          <cell r="C161">
            <v>350621001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8</v>
          </cell>
          <cell r="L161">
            <v>2</v>
          </cell>
          <cell r="M161">
            <v>9</v>
          </cell>
          <cell r="N161">
            <v>15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14</v>
          </cell>
          <cell r="AB161">
            <v>5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/>
          <cell r="AI161">
            <v>53</v>
          </cell>
          <cell r="AJ161">
            <v>15</v>
          </cell>
          <cell r="AK161">
            <v>6</v>
          </cell>
        </row>
        <row r="162">
          <cell r="C162">
            <v>350621002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24</v>
          </cell>
          <cell r="L162">
            <v>26</v>
          </cell>
          <cell r="M162">
            <v>4</v>
          </cell>
          <cell r="N162">
            <v>14</v>
          </cell>
          <cell r="O162">
            <v>2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6</v>
          </cell>
          <cell r="AA162">
            <v>2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/>
          <cell r="AI162">
            <v>78</v>
          </cell>
          <cell r="AJ162">
            <v>26</v>
          </cell>
          <cell r="AK162">
            <v>7</v>
          </cell>
        </row>
        <row r="163">
          <cell r="C163">
            <v>350621003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2</v>
          </cell>
          <cell r="K163">
            <v>2</v>
          </cell>
          <cell r="L163">
            <v>13</v>
          </cell>
          <cell r="M163">
            <v>0</v>
          </cell>
          <cell r="N163">
            <v>4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6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3.5</v>
          </cell>
          <cell r="AH163"/>
          <cell r="AI163">
            <v>30.5</v>
          </cell>
          <cell r="AJ163">
            <v>13</v>
          </cell>
          <cell r="AK163">
            <v>6</v>
          </cell>
        </row>
        <row r="164">
          <cell r="C164">
            <v>350621004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22</v>
          </cell>
          <cell r="M164">
            <v>0</v>
          </cell>
          <cell r="N164">
            <v>6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/>
          <cell r="AI164">
            <v>28</v>
          </cell>
          <cell r="AJ164">
            <v>22</v>
          </cell>
          <cell r="AK164">
            <v>2</v>
          </cell>
        </row>
        <row r="165">
          <cell r="C165">
            <v>350621005</v>
          </cell>
          <cell r="D165">
            <v>5</v>
          </cell>
          <cell r="E165">
            <v>0</v>
          </cell>
          <cell r="F165">
            <v>6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13</v>
          </cell>
          <cell r="L165">
            <v>0</v>
          </cell>
          <cell r="M165">
            <v>13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6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2</v>
          </cell>
          <cell r="AH165"/>
          <cell r="AI165">
            <v>45</v>
          </cell>
          <cell r="AJ165">
            <v>13</v>
          </cell>
          <cell r="AK165">
            <v>6</v>
          </cell>
        </row>
        <row r="166">
          <cell r="C166">
            <v>350621006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27</v>
          </cell>
          <cell r="L166">
            <v>5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8</v>
          </cell>
          <cell r="AB166">
            <v>2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/>
          <cell r="AI166">
            <v>42</v>
          </cell>
          <cell r="AJ166">
            <v>27</v>
          </cell>
          <cell r="AK166">
            <v>4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7</v>
          </cell>
          <cell r="M167">
            <v>0</v>
          </cell>
          <cell r="N167">
            <v>9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1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/>
          <cell r="AI167">
            <v>17</v>
          </cell>
          <cell r="AJ167">
            <v>9</v>
          </cell>
          <cell r="AK167">
            <v>3</v>
          </cell>
        </row>
        <row r="168">
          <cell r="C168">
            <v>350621008</v>
          </cell>
          <cell r="D168">
            <v>2</v>
          </cell>
          <cell r="E168">
            <v>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8</v>
          </cell>
          <cell r="K168">
            <v>3</v>
          </cell>
          <cell r="L168">
            <v>1</v>
          </cell>
          <cell r="M168">
            <v>0</v>
          </cell>
          <cell r="N168">
            <v>27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/>
          <cell r="AI168">
            <v>42</v>
          </cell>
          <cell r="AJ168">
            <v>27</v>
          </cell>
          <cell r="AK168">
            <v>6</v>
          </cell>
        </row>
        <row r="169">
          <cell r="C169">
            <v>350621009</v>
          </cell>
          <cell r="D169">
            <v>7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28</v>
          </cell>
          <cell r="L169">
            <v>6</v>
          </cell>
          <cell r="M169">
            <v>8</v>
          </cell>
          <cell r="N169">
            <v>8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/>
          <cell r="AI169">
            <v>57</v>
          </cell>
          <cell r="AJ169">
            <v>28</v>
          </cell>
          <cell r="AK169">
            <v>5</v>
          </cell>
        </row>
        <row r="170">
          <cell r="C170">
            <v>350621010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5</v>
          </cell>
          <cell r="K170">
            <v>0</v>
          </cell>
          <cell r="L170">
            <v>0</v>
          </cell>
          <cell r="M170">
            <v>0</v>
          </cell>
          <cell r="N170">
            <v>17</v>
          </cell>
          <cell r="O170">
            <v>6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17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/>
          <cell r="AI170">
            <v>45</v>
          </cell>
          <cell r="AJ170">
            <v>17</v>
          </cell>
          <cell r="AK170">
            <v>4</v>
          </cell>
        </row>
        <row r="171">
          <cell r="C171">
            <v>350621011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19</v>
          </cell>
          <cell r="L171">
            <v>15</v>
          </cell>
          <cell r="M171">
            <v>0</v>
          </cell>
          <cell r="N171">
            <v>6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5</v>
          </cell>
          <cell r="AA171">
            <v>5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1</v>
          </cell>
          <cell r="AH171"/>
          <cell r="AI171">
            <v>51</v>
          </cell>
          <cell r="AJ171">
            <v>19</v>
          </cell>
          <cell r="AK171">
            <v>6</v>
          </cell>
        </row>
        <row r="172">
          <cell r="C172">
            <v>350621012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17</v>
          </cell>
          <cell r="L172">
            <v>14</v>
          </cell>
          <cell r="M172">
            <v>0</v>
          </cell>
          <cell r="N172">
            <v>11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4</v>
          </cell>
          <cell r="AA172">
            <v>6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2</v>
          </cell>
          <cell r="AH172"/>
          <cell r="AI172">
            <v>54</v>
          </cell>
          <cell r="AJ172">
            <v>17</v>
          </cell>
          <cell r="AK172">
            <v>6</v>
          </cell>
        </row>
        <row r="173">
          <cell r="C173">
            <v>350621013</v>
          </cell>
          <cell r="D173">
            <v>7.7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45.1</v>
          </cell>
          <cell r="L173">
            <v>20.9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1.4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/>
          <cell r="AI173">
            <v>75.100000000000009</v>
          </cell>
          <cell r="AJ173">
            <v>45.1</v>
          </cell>
          <cell r="AK173">
            <v>4</v>
          </cell>
        </row>
        <row r="174">
          <cell r="C174">
            <v>350621014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6</v>
          </cell>
          <cell r="K174">
            <v>0</v>
          </cell>
          <cell r="L174">
            <v>0</v>
          </cell>
          <cell r="M174">
            <v>0</v>
          </cell>
          <cell r="N174">
            <v>24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16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/>
          <cell r="AI174">
            <v>46</v>
          </cell>
          <cell r="AJ174">
            <v>24</v>
          </cell>
          <cell r="AK174">
            <v>3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5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/>
          <cell r="AI175">
            <v>5</v>
          </cell>
          <cell r="AJ175">
            <v>5</v>
          </cell>
          <cell r="AK175">
            <v>1</v>
          </cell>
        </row>
        <row r="176">
          <cell r="C176">
            <v>350621016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40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30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/>
          <cell r="AI176">
            <v>70</v>
          </cell>
          <cell r="AJ176">
            <v>40</v>
          </cell>
          <cell r="AK176">
            <v>2</v>
          </cell>
        </row>
        <row r="177">
          <cell r="C177">
            <v>350621017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2</v>
          </cell>
          <cell r="L177">
            <v>34</v>
          </cell>
          <cell r="M177">
            <v>3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/>
          <cell r="AI177">
            <v>39</v>
          </cell>
          <cell r="AJ177">
            <v>34</v>
          </cell>
          <cell r="AK177">
            <v>3</v>
          </cell>
        </row>
        <row r="178">
          <cell r="C178">
            <v>350621018</v>
          </cell>
          <cell r="D178">
            <v>1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1</v>
          </cell>
          <cell r="K178">
            <v>1</v>
          </cell>
          <cell r="L178">
            <v>1</v>
          </cell>
          <cell r="M178">
            <v>16</v>
          </cell>
          <cell r="N178">
            <v>4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3.5</v>
          </cell>
          <cell r="AH178"/>
          <cell r="AI178">
            <v>27.5</v>
          </cell>
          <cell r="AJ178">
            <v>16</v>
          </cell>
          <cell r="AK178">
            <v>7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4</v>
          </cell>
          <cell r="L179">
            <v>8</v>
          </cell>
          <cell r="M179">
            <v>2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/>
          <cell r="AI179">
            <v>14</v>
          </cell>
          <cell r="AJ179">
            <v>8</v>
          </cell>
          <cell r="AK179">
            <v>3</v>
          </cell>
        </row>
        <row r="180">
          <cell r="C180">
            <v>350621020</v>
          </cell>
          <cell r="D180">
            <v>5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9</v>
          </cell>
          <cell r="L180">
            <v>5</v>
          </cell>
          <cell r="M180">
            <v>6</v>
          </cell>
          <cell r="N180">
            <v>4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/>
          <cell r="AI180">
            <v>29</v>
          </cell>
          <cell r="AJ180">
            <v>9</v>
          </cell>
          <cell r="AK180">
            <v>5</v>
          </cell>
        </row>
        <row r="181">
          <cell r="C181">
            <v>350621021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12</v>
          </cell>
          <cell r="L181">
            <v>5</v>
          </cell>
          <cell r="M181">
            <v>4</v>
          </cell>
          <cell r="N181">
            <v>5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/>
          <cell r="AI181">
            <v>26</v>
          </cell>
          <cell r="AJ181">
            <v>12</v>
          </cell>
          <cell r="AK181">
            <v>4</v>
          </cell>
        </row>
        <row r="182">
          <cell r="C182">
            <v>350621022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3</v>
          </cell>
          <cell r="K182">
            <v>0</v>
          </cell>
          <cell r="L182">
            <v>0</v>
          </cell>
          <cell r="M182">
            <v>7</v>
          </cell>
          <cell r="N182">
            <v>12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/>
          <cell r="AI182">
            <v>22</v>
          </cell>
          <cell r="AJ182">
            <v>12</v>
          </cell>
          <cell r="AK182">
            <v>3</v>
          </cell>
        </row>
        <row r="183">
          <cell r="C183">
            <v>350621023</v>
          </cell>
          <cell r="D183">
            <v>0.2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0.1</v>
          </cell>
          <cell r="K183">
            <v>0</v>
          </cell>
          <cell r="L183">
            <v>0</v>
          </cell>
          <cell r="M183">
            <v>5</v>
          </cell>
          <cell r="N183">
            <v>12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/>
          <cell r="AI183">
            <v>17.3</v>
          </cell>
          <cell r="AJ183">
            <v>12</v>
          </cell>
          <cell r="AK183">
            <v>4</v>
          </cell>
        </row>
        <row r="184">
          <cell r="C184">
            <v>350621024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10</v>
          </cell>
          <cell r="L184">
            <v>7</v>
          </cell>
          <cell r="M184">
            <v>7</v>
          </cell>
          <cell r="N184">
            <v>4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/>
          <cell r="AI184">
            <v>28</v>
          </cell>
          <cell r="AJ184">
            <v>10</v>
          </cell>
          <cell r="AK184">
            <v>4</v>
          </cell>
        </row>
        <row r="185">
          <cell r="C185">
            <v>350621025</v>
          </cell>
          <cell r="D185">
            <v>1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18</v>
          </cell>
          <cell r="N185">
            <v>33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/>
          <cell r="AI185">
            <v>52</v>
          </cell>
          <cell r="AJ185">
            <v>33</v>
          </cell>
          <cell r="AK185">
            <v>3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9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/>
          <cell r="AI186">
            <v>9</v>
          </cell>
          <cell r="AJ186">
            <v>9</v>
          </cell>
          <cell r="AK186">
            <v>1</v>
          </cell>
        </row>
        <row r="187">
          <cell r="C187">
            <v>350602001</v>
          </cell>
          <cell r="D187">
            <v>1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19</v>
          </cell>
          <cell r="M187">
            <v>8</v>
          </cell>
          <cell r="N187">
            <v>8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/>
          <cell r="AI187">
            <v>36</v>
          </cell>
          <cell r="AJ187">
            <v>19</v>
          </cell>
          <cell r="AK187">
            <v>4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26</v>
          </cell>
          <cell r="M188">
            <v>28</v>
          </cell>
          <cell r="N188">
            <v>15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/>
          <cell r="AI188">
            <v>69</v>
          </cell>
          <cell r="AJ188">
            <v>28</v>
          </cell>
          <cell r="AK188">
            <v>3</v>
          </cell>
        </row>
        <row r="189">
          <cell r="C189">
            <v>350602003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12</v>
          </cell>
          <cell r="N189">
            <v>4</v>
          </cell>
          <cell r="O189">
            <v>8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1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/>
          <cell r="AI189">
            <v>25</v>
          </cell>
          <cell r="AJ189">
            <v>12</v>
          </cell>
          <cell r="AK189">
            <v>4</v>
          </cell>
        </row>
        <row r="190">
          <cell r="C190">
            <v>350602004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7</v>
          </cell>
          <cell r="N190">
            <v>24</v>
          </cell>
          <cell r="O190">
            <v>21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/>
          <cell r="AI190">
            <v>52</v>
          </cell>
          <cell r="AJ190">
            <v>24</v>
          </cell>
          <cell r="AK190">
            <v>3</v>
          </cell>
        </row>
        <row r="191">
          <cell r="C191">
            <v>350602005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3</v>
          </cell>
          <cell r="M191">
            <v>20</v>
          </cell>
          <cell r="N191">
            <v>47</v>
          </cell>
          <cell r="O191">
            <v>50</v>
          </cell>
          <cell r="P191">
            <v>0</v>
          </cell>
          <cell r="Q191">
            <v>0</v>
          </cell>
          <cell r="R191">
            <v>0</v>
          </cell>
          <cell r="S191">
            <v>5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15</v>
          </cell>
          <cell r="Z191">
            <v>6</v>
          </cell>
          <cell r="AA191">
            <v>0</v>
          </cell>
          <cell r="AB191">
            <v>0</v>
          </cell>
          <cell r="AC191">
            <v>6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/>
          <cell r="AI191">
            <v>152</v>
          </cell>
          <cell r="AJ191">
            <v>50</v>
          </cell>
          <cell r="AK191">
            <v>8</v>
          </cell>
        </row>
        <row r="192">
          <cell r="C192">
            <v>350602006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7</v>
          </cell>
          <cell r="M192">
            <v>19</v>
          </cell>
          <cell r="N192">
            <v>82</v>
          </cell>
          <cell r="O192">
            <v>11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3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1</v>
          </cell>
          <cell r="Z192">
            <v>2</v>
          </cell>
          <cell r="AA192">
            <v>0</v>
          </cell>
          <cell r="AB192">
            <v>0</v>
          </cell>
          <cell r="AC192">
            <v>1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/>
          <cell r="AI192">
            <v>126</v>
          </cell>
          <cell r="AJ192">
            <v>82</v>
          </cell>
          <cell r="AK192">
            <v>8</v>
          </cell>
        </row>
        <row r="193">
          <cell r="C193">
            <v>350602007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3</v>
          </cell>
          <cell r="O193">
            <v>5</v>
          </cell>
          <cell r="P193">
            <v>2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/>
          <cell r="AI193">
            <v>10</v>
          </cell>
          <cell r="AJ193">
            <v>5</v>
          </cell>
          <cell r="AK193">
            <v>3</v>
          </cell>
        </row>
        <row r="194">
          <cell r="C194">
            <v>350602008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2</v>
          </cell>
          <cell r="M194">
            <v>0</v>
          </cell>
          <cell r="N194">
            <v>8</v>
          </cell>
          <cell r="O194">
            <v>9</v>
          </cell>
          <cell r="P194">
            <v>2</v>
          </cell>
          <cell r="Q194">
            <v>0</v>
          </cell>
          <cell r="R194">
            <v>0</v>
          </cell>
          <cell r="S194">
            <v>0</v>
          </cell>
          <cell r="T194">
            <v>1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3</v>
          </cell>
          <cell r="AH194"/>
          <cell r="AI194">
            <v>25</v>
          </cell>
          <cell r="AJ194">
            <v>9</v>
          </cell>
          <cell r="AK194">
            <v>6</v>
          </cell>
        </row>
        <row r="195">
          <cell r="C195">
            <v>350602009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11</v>
          </cell>
          <cell r="M195">
            <v>5</v>
          </cell>
          <cell r="N195">
            <v>12</v>
          </cell>
          <cell r="O195">
            <v>8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/>
          <cell r="AI195">
            <v>37</v>
          </cell>
          <cell r="AJ195">
            <v>12</v>
          </cell>
          <cell r="AK195">
            <v>5</v>
          </cell>
        </row>
        <row r="196">
          <cell r="C196">
            <v>350602010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8</v>
          </cell>
          <cell r="L196">
            <v>2</v>
          </cell>
          <cell r="M196">
            <v>16</v>
          </cell>
          <cell r="N196">
            <v>8</v>
          </cell>
          <cell r="O196">
            <v>12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/>
          <cell r="AI196">
            <v>46</v>
          </cell>
          <cell r="AJ196">
            <v>16</v>
          </cell>
          <cell r="AK196">
            <v>5</v>
          </cell>
        </row>
        <row r="197">
          <cell r="C197">
            <v>350602011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1</v>
          </cell>
          <cell r="K197">
            <v>0</v>
          </cell>
          <cell r="L197">
            <v>6</v>
          </cell>
          <cell r="M197">
            <v>15</v>
          </cell>
          <cell r="N197">
            <v>13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/>
          <cell r="AI197">
            <v>35</v>
          </cell>
          <cell r="AJ197">
            <v>15</v>
          </cell>
          <cell r="AK197">
            <v>4</v>
          </cell>
        </row>
        <row r="198">
          <cell r="C198">
            <v>350602012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4</v>
          </cell>
          <cell r="M198">
            <v>2</v>
          </cell>
          <cell r="N198">
            <v>4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5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/>
          <cell r="AI198">
            <v>15</v>
          </cell>
          <cell r="AJ198">
            <v>5</v>
          </cell>
          <cell r="AK198">
            <v>4</v>
          </cell>
        </row>
        <row r="199">
          <cell r="C199">
            <v>350602013</v>
          </cell>
          <cell r="D199">
            <v>1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6</v>
          </cell>
          <cell r="M199">
            <v>14</v>
          </cell>
          <cell r="N199">
            <v>11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/>
          <cell r="AI199">
            <v>32</v>
          </cell>
          <cell r="AJ199">
            <v>14</v>
          </cell>
          <cell r="AK199">
            <v>4</v>
          </cell>
        </row>
        <row r="200">
          <cell r="C200">
            <v>350602014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6</v>
          </cell>
          <cell r="M200">
            <v>12</v>
          </cell>
          <cell r="N200">
            <v>3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/>
          <cell r="AI200">
            <v>21</v>
          </cell>
          <cell r="AJ200">
            <v>12</v>
          </cell>
          <cell r="AK200">
            <v>3</v>
          </cell>
        </row>
        <row r="201">
          <cell r="C201">
            <v>350602015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3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22</v>
          </cell>
          <cell r="N201">
            <v>25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9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/>
          <cell r="AI201">
            <v>59</v>
          </cell>
          <cell r="AJ201">
            <v>25</v>
          </cell>
          <cell r="AK201">
            <v>4</v>
          </cell>
        </row>
        <row r="202">
          <cell r="C202">
            <v>350602016</v>
          </cell>
          <cell r="D202">
            <v>2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35</v>
          </cell>
          <cell r="N202">
            <v>38</v>
          </cell>
          <cell r="O202">
            <v>3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6</v>
          </cell>
          <cell r="Z202">
            <v>3</v>
          </cell>
          <cell r="AA202">
            <v>0</v>
          </cell>
          <cell r="AB202">
            <v>0</v>
          </cell>
          <cell r="AC202">
            <v>0</v>
          </cell>
          <cell r="AD202">
            <v>2</v>
          </cell>
          <cell r="AE202">
            <v>0</v>
          </cell>
          <cell r="AF202">
            <v>0</v>
          </cell>
          <cell r="AG202">
            <v>1</v>
          </cell>
          <cell r="AH202"/>
          <cell r="AI202">
            <v>90</v>
          </cell>
          <cell r="AJ202">
            <v>38</v>
          </cell>
          <cell r="AK202">
            <v>8</v>
          </cell>
        </row>
        <row r="203">
          <cell r="C203">
            <v>350602017</v>
          </cell>
          <cell r="D203">
            <v>11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11</v>
          </cell>
          <cell r="M203">
            <v>12</v>
          </cell>
          <cell r="N203">
            <v>20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/>
          <cell r="AI203">
            <v>54</v>
          </cell>
          <cell r="AJ203">
            <v>20</v>
          </cell>
          <cell r="AK203">
            <v>4</v>
          </cell>
        </row>
        <row r="204">
          <cell r="C204">
            <v>350602018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12</v>
          </cell>
          <cell r="O204">
            <v>7</v>
          </cell>
          <cell r="P204">
            <v>2</v>
          </cell>
          <cell r="Q204">
            <v>0</v>
          </cell>
          <cell r="R204">
            <v>0</v>
          </cell>
          <cell r="S204">
            <v>0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/>
          <cell r="AI204">
            <v>22</v>
          </cell>
          <cell r="AJ204">
            <v>12</v>
          </cell>
          <cell r="AK204">
            <v>4</v>
          </cell>
        </row>
        <row r="205">
          <cell r="C205">
            <v>350602019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3</v>
          </cell>
          <cell r="M205">
            <v>3</v>
          </cell>
          <cell r="N205">
            <v>3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3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/>
          <cell r="AI205">
            <v>12</v>
          </cell>
          <cell r="AJ205">
            <v>3</v>
          </cell>
          <cell r="AK205">
            <v>4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11</v>
          </cell>
          <cell r="M206">
            <v>10</v>
          </cell>
          <cell r="N206">
            <v>12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2</v>
          </cell>
          <cell r="AH206"/>
          <cell r="AI206">
            <v>35</v>
          </cell>
          <cell r="AJ206">
            <v>12</v>
          </cell>
          <cell r="AK206">
            <v>4</v>
          </cell>
        </row>
        <row r="207">
          <cell r="C207">
            <v>350602021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8</v>
          </cell>
          <cell r="M207">
            <v>7</v>
          </cell>
          <cell r="N207">
            <v>6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/>
          <cell r="AI207">
            <v>21</v>
          </cell>
          <cell r="AJ207">
            <v>8</v>
          </cell>
          <cell r="AK207">
            <v>3</v>
          </cell>
        </row>
        <row r="208">
          <cell r="C208">
            <v>350602022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12</v>
          </cell>
          <cell r="M208">
            <v>33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/>
          <cell r="AI208">
            <v>45</v>
          </cell>
          <cell r="AJ208">
            <v>33</v>
          </cell>
          <cell r="AK208">
            <v>2</v>
          </cell>
        </row>
        <row r="209">
          <cell r="C209">
            <v>350602023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1</v>
          </cell>
          <cell r="M209">
            <v>5</v>
          </cell>
          <cell r="N209">
            <v>31</v>
          </cell>
          <cell r="O209">
            <v>14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1</v>
          </cell>
          <cell r="AH209"/>
          <cell r="AI209">
            <v>52</v>
          </cell>
          <cell r="AJ209">
            <v>31</v>
          </cell>
          <cell r="AK209">
            <v>5</v>
          </cell>
        </row>
        <row r="210">
          <cell r="C210">
            <v>350601001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36</v>
          </cell>
          <cell r="M210">
            <v>3</v>
          </cell>
          <cell r="N210">
            <v>116</v>
          </cell>
          <cell r="O210">
            <v>16</v>
          </cell>
          <cell r="P210">
            <v>0</v>
          </cell>
          <cell r="Q210">
            <v>0</v>
          </cell>
          <cell r="R210">
            <v>78</v>
          </cell>
          <cell r="S210">
            <v>24</v>
          </cell>
          <cell r="T210">
            <v>0</v>
          </cell>
          <cell r="U210">
            <v>0</v>
          </cell>
          <cell r="V210">
            <v>0</v>
          </cell>
          <cell r="W210">
            <v>4</v>
          </cell>
          <cell r="X210">
            <v>1</v>
          </cell>
          <cell r="Y210">
            <v>11</v>
          </cell>
          <cell r="Z210">
            <v>2</v>
          </cell>
          <cell r="AA210">
            <v>2</v>
          </cell>
          <cell r="AB210">
            <v>2</v>
          </cell>
          <cell r="AC210">
            <v>24</v>
          </cell>
          <cell r="AD210">
            <v>149</v>
          </cell>
          <cell r="AE210">
            <v>0</v>
          </cell>
          <cell r="AF210">
            <v>0</v>
          </cell>
          <cell r="AG210">
            <v>0</v>
          </cell>
          <cell r="AH210"/>
          <cell r="AI210">
            <v>468</v>
          </cell>
          <cell r="AJ210">
            <v>149</v>
          </cell>
          <cell r="AK210">
            <v>14</v>
          </cell>
        </row>
        <row r="211">
          <cell r="C211">
            <v>350601002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11</v>
          </cell>
          <cell r="M211">
            <v>4</v>
          </cell>
          <cell r="N211">
            <v>128</v>
          </cell>
          <cell r="O211">
            <v>24</v>
          </cell>
          <cell r="P211">
            <v>4</v>
          </cell>
          <cell r="Q211">
            <v>0</v>
          </cell>
          <cell r="R211">
            <v>174</v>
          </cell>
          <cell r="S211">
            <v>46</v>
          </cell>
          <cell r="T211">
            <v>0</v>
          </cell>
          <cell r="U211">
            <v>0</v>
          </cell>
          <cell r="V211">
            <v>0</v>
          </cell>
          <cell r="W211">
            <v>4</v>
          </cell>
          <cell r="X211">
            <v>7</v>
          </cell>
          <cell r="Y211">
            <v>21</v>
          </cell>
          <cell r="Z211">
            <v>7</v>
          </cell>
          <cell r="AA211">
            <v>7</v>
          </cell>
          <cell r="AB211">
            <v>5</v>
          </cell>
          <cell r="AC211">
            <v>9</v>
          </cell>
          <cell r="AD211">
            <v>72</v>
          </cell>
          <cell r="AE211">
            <v>0</v>
          </cell>
          <cell r="AF211">
            <v>5</v>
          </cell>
          <cell r="AG211">
            <v>0</v>
          </cell>
          <cell r="AH211"/>
          <cell r="AI211">
            <v>528</v>
          </cell>
          <cell r="AJ211">
            <v>174</v>
          </cell>
          <cell r="AK211">
            <v>16</v>
          </cell>
        </row>
        <row r="212">
          <cell r="C212">
            <v>350601003</v>
          </cell>
          <cell r="D212">
            <v>1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97</v>
          </cell>
          <cell r="M212">
            <v>3</v>
          </cell>
          <cell r="N212">
            <v>16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1</v>
          </cell>
          <cell r="T212">
            <v>0</v>
          </cell>
          <cell r="U212">
            <v>0</v>
          </cell>
          <cell r="V212">
            <v>0</v>
          </cell>
          <cell r="W212">
            <v>7</v>
          </cell>
          <cell r="X212">
            <v>0</v>
          </cell>
          <cell r="Y212">
            <v>7</v>
          </cell>
          <cell r="Z212">
            <v>3</v>
          </cell>
          <cell r="AA212">
            <v>2</v>
          </cell>
          <cell r="AB212">
            <v>0</v>
          </cell>
          <cell r="AC212">
            <v>1</v>
          </cell>
          <cell r="AD212">
            <v>30</v>
          </cell>
          <cell r="AE212">
            <v>2</v>
          </cell>
          <cell r="AF212">
            <v>0</v>
          </cell>
          <cell r="AG212">
            <v>0</v>
          </cell>
          <cell r="AH212"/>
          <cell r="AI212">
            <v>170</v>
          </cell>
          <cell r="AJ212">
            <v>97</v>
          </cell>
          <cell r="AK212">
            <v>12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62</v>
          </cell>
          <cell r="M213">
            <v>5</v>
          </cell>
          <cell r="N213">
            <v>38</v>
          </cell>
          <cell r="O213">
            <v>0</v>
          </cell>
          <cell r="P213">
            <v>0</v>
          </cell>
          <cell r="Q213">
            <v>1</v>
          </cell>
          <cell r="R213">
            <v>17</v>
          </cell>
          <cell r="S213">
            <v>10</v>
          </cell>
          <cell r="T213">
            <v>0</v>
          </cell>
          <cell r="U213">
            <v>0</v>
          </cell>
          <cell r="V213">
            <v>0</v>
          </cell>
          <cell r="W213">
            <v>10</v>
          </cell>
          <cell r="X213">
            <v>0</v>
          </cell>
          <cell r="Y213">
            <v>1</v>
          </cell>
          <cell r="Z213">
            <v>3</v>
          </cell>
          <cell r="AA213">
            <v>1</v>
          </cell>
          <cell r="AB213">
            <v>5</v>
          </cell>
          <cell r="AC213">
            <v>56</v>
          </cell>
          <cell r="AD213">
            <v>65</v>
          </cell>
          <cell r="AE213">
            <v>0</v>
          </cell>
          <cell r="AF213">
            <v>0</v>
          </cell>
          <cell r="AG213">
            <v>0</v>
          </cell>
          <cell r="AH213"/>
          <cell r="AI213">
            <v>274</v>
          </cell>
          <cell r="AJ213">
            <v>65</v>
          </cell>
          <cell r="AK213">
            <v>13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28</v>
          </cell>
          <cell r="M214">
            <v>0</v>
          </cell>
          <cell r="N214">
            <v>27</v>
          </cell>
          <cell r="O214">
            <v>6</v>
          </cell>
          <cell r="P214">
            <v>0</v>
          </cell>
          <cell r="Q214">
            <v>0</v>
          </cell>
          <cell r="R214">
            <v>8</v>
          </cell>
          <cell r="S214">
            <v>12</v>
          </cell>
          <cell r="T214">
            <v>0</v>
          </cell>
          <cell r="U214">
            <v>0</v>
          </cell>
          <cell r="V214">
            <v>0</v>
          </cell>
          <cell r="W214">
            <v>4</v>
          </cell>
          <cell r="X214">
            <v>0</v>
          </cell>
          <cell r="Y214">
            <v>11</v>
          </cell>
          <cell r="Z214">
            <v>4</v>
          </cell>
          <cell r="AA214">
            <v>2</v>
          </cell>
          <cell r="AB214">
            <v>0</v>
          </cell>
          <cell r="AC214">
            <v>9</v>
          </cell>
          <cell r="AD214">
            <v>53</v>
          </cell>
          <cell r="AE214">
            <v>0</v>
          </cell>
          <cell r="AF214">
            <v>0</v>
          </cell>
          <cell r="AG214">
            <v>0</v>
          </cell>
          <cell r="AH214"/>
          <cell r="AI214">
            <v>164</v>
          </cell>
          <cell r="AJ214">
            <v>53</v>
          </cell>
          <cell r="AK214">
            <v>11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9</v>
          </cell>
          <cell r="M215">
            <v>2</v>
          </cell>
          <cell r="N215">
            <v>83</v>
          </cell>
          <cell r="O215">
            <v>16</v>
          </cell>
          <cell r="P215">
            <v>0</v>
          </cell>
          <cell r="Q215">
            <v>0</v>
          </cell>
          <cell r="R215">
            <v>57</v>
          </cell>
          <cell r="S215">
            <v>32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7</v>
          </cell>
          <cell r="Y215">
            <v>13</v>
          </cell>
          <cell r="Z215">
            <v>6</v>
          </cell>
          <cell r="AA215">
            <v>2</v>
          </cell>
          <cell r="AB215">
            <v>0</v>
          </cell>
          <cell r="AC215">
            <v>165</v>
          </cell>
          <cell r="AD215">
            <v>3</v>
          </cell>
          <cell r="AE215">
            <v>0</v>
          </cell>
          <cell r="AF215">
            <v>0</v>
          </cell>
          <cell r="AG215">
            <v>0</v>
          </cell>
          <cell r="AH215"/>
          <cell r="AI215">
            <v>395</v>
          </cell>
          <cell r="AJ215">
            <v>165</v>
          </cell>
          <cell r="AK215">
            <v>12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35</v>
          </cell>
          <cell r="M216">
            <v>5</v>
          </cell>
          <cell r="N216">
            <v>35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15</v>
          </cell>
          <cell r="Z216">
            <v>5</v>
          </cell>
          <cell r="AA216">
            <v>0</v>
          </cell>
          <cell r="AB216">
            <v>0</v>
          </cell>
          <cell r="AC216">
            <v>5</v>
          </cell>
          <cell r="AD216">
            <v>10</v>
          </cell>
          <cell r="AE216">
            <v>0</v>
          </cell>
          <cell r="AF216">
            <v>0</v>
          </cell>
          <cell r="AG216">
            <v>0</v>
          </cell>
          <cell r="AH216"/>
          <cell r="AI216">
            <v>110</v>
          </cell>
          <cell r="AJ216">
            <v>35</v>
          </cell>
          <cell r="AK216">
            <v>7</v>
          </cell>
        </row>
        <row r="217">
          <cell r="C217">
            <v>350601008</v>
          </cell>
          <cell r="D217">
            <v>1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5</v>
          </cell>
          <cell r="M217">
            <v>1</v>
          </cell>
          <cell r="N217">
            <v>200</v>
          </cell>
          <cell r="O217">
            <v>6</v>
          </cell>
          <cell r="P217">
            <v>0</v>
          </cell>
          <cell r="Q217">
            <v>0</v>
          </cell>
          <cell r="R217">
            <v>33</v>
          </cell>
          <cell r="S217">
            <v>30</v>
          </cell>
          <cell r="T217">
            <v>0</v>
          </cell>
          <cell r="U217">
            <v>0</v>
          </cell>
          <cell r="V217">
            <v>0</v>
          </cell>
          <cell r="W217">
            <v>58</v>
          </cell>
          <cell r="X217">
            <v>1</v>
          </cell>
          <cell r="Y217">
            <v>12</v>
          </cell>
          <cell r="Z217">
            <v>4</v>
          </cell>
          <cell r="AA217">
            <v>11</v>
          </cell>
          <cell r="AB217">
            <v>1</v>
          </cell>
          <cell r="AC217">
            <v>36</v>
          </cell>
          <cell r="AD217">
            <v>76</v>
          </cell>
          <cell r="AE217">
            <v>1</v>
          </cell>
          <cell r="AF217">
            <v>1</v>
          </cell>
          <cell r="AG217">
            <v>0</v>
          </cell>
          <cell r="AH217"/>
          <cell r="AI217">
            <v>477</v>
          </cell>
          <cell r="AJ217">
            <v>200</v>
          </cell>
          <cell r="AK217">
            <v>17</v>
          </cell>
        </row>
        <row r="218">
          <cell r="C218">
            <v>350601009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15</v>
          </cell>
          <cell r="M218">
            <v>1</v>
          </cell>
          <cell r="N218">
            <v>91</v>
          </cell>
          <cell r="O218">
            <v>19</v>
          </cell>
          <cell r="P218">
            <v>0</v>
          </cell>
          <cell r="Q218">
            <v>0</v>
          </cell>
          <cell r="R218">
            <v>6</v>
          </cell>
          <cell r="S218">
            <v>12</v>
          </cell>
          <cell r="T218">
            <v>0</v>
          </cell>
          <cell r="U218">
            <v>0</v>
          </cell>
          <cell r="V218">
            <v>0</v>
          </cell>
          <cell r="W218">
            <v>27</v>
          </cell>
          <cell r="X218">
            <v>5</v>
          </cell>
          <cell r="Y218">
            <v>7</v>
          </cell>
          <cell r="Z218">
            <v>2</v>
          </cell>
          <cell r="AA218">
            <v>5</v>
          </cell>
          <cell r="AB218">
            <v>2</v>
          </cell>
          <cell r="AC218">
            <v>34</v>
          </cell>
          <cell r="AD218">
            <v>113</v>
          </cell>
          <cell r="AE218">
            <v>0</v>
          </cell>
          <cell r="AF218">
            <v>0</v>
          </cell>
          <cell r="AG218">
            <v>0</v>
          </cell>
          <cell r="AH218"/>
          <cell r="AI218">
            <v>339</v>
          </cell>
          <cell r="AJ218">
            <v>113</v>
          </cell>
          <cell r="AK218">
            <v>14</v>
          </cell>
        </row>
        <row r="219">
          <cell r="C219">
            <v>350601010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4</v>
          </cell>
          <cell r="M219">
            <v>3</v>
          </cell>
          <cell r="N219">
            <v>161</v>
          </cell>
          <cell r="O219">
            <v>9</v>
          </cell>
          <cell r="P219">
            <v>0</v>
          </cell>
          <cell r="Q219">
            <v>0</v>
          </cell>
          <cell r="R219">
            <v>8</v>
          </cell>
          <cell r="S219">
            <v>7</v>
          </cell>
          <cell r="T219">
            <v>0</v>
          </cell>
          <cell r="U219">
            <v>0</v>
          </cell>
          <cell r="V219">
            <v>0</v>
          </cell>
          <cell r="W219">
            <v>11</v>
          </cell>
          <cell r="X219">
            <v>0</v>
          </cell>
          <cell r="Y219">
            <v>5</v>
          </cell>
          <cell r="Z219">
            <v>0</v>
          </cell>
          <cell r="AA219">
            <v>3</v>
          </cell>
          <cell r="AB219">
            <v>0</v>
          </cell>
          <cell r="AC219">
            <v>1</v>
          </cell>
          <cell r="AD219">
            <v>37</v>
          </cell>
          <cell r="AE219">
            <v>0</v>
          </cell>
          <cell r="AF219">
            <v>0</v>
          </cell>
          <cell r="AG219">
            <v>1</v>
          </cell>
          <cell r="AH219"/>
          <cell r="AI219">
            <v>250</v>
          </cell>
          <cell r="AJ219">
            <v>161</v>
          </cell>
          <cell r="AK219">
            <v>12</v>
          </cell>
        </row>
        <row r="220">
          <cell r="C220">
            <v>350601011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34</v>
          </cell>
          <cell r="M220">
            <v>11</v>
          </cell>
          <cell r="N220">
            <v>34</v>
          </cell>
          <cell r="O220">
            <v>17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2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/>
          <cell r="AI220">
            <v>98</v>
          </cell>
          <cell r="AJ220">
            <v>34</v>
          </cell>
          <cell r="AK220">
            <v>5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52</v>
          </cell>
          <cell r="M221">
            <v>17</v>
          </cell>
          <cell r="N221">
            <v>26</v>
          </cell>
          <cell r="O221">
            <v>7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1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2</v>
          </cell>
          <cell r="AH221"/>
          <cell r="AI221">
            <v>105</v>
          </cell>
          <cell r="AJ221">
            <v>52</v>
          </cell>
          <cell r="AK221">
            <v>6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3</v>
          </cell>
          <cell r="M222">
            <v>2</v>
          </cell>
          <cell r="N222">
            <v>6</v>
          </cell>
          <cell r="O222">
            <v>4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2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/>
          <cell r="AI222">
            <v>17</v>
          </cell>
          <cell r="AJ222">
            <v>6</v>
          </cell>
          <cell r="AK222">
            <v>5</v>
          </cell>
        </row>
        <row r="223">
          <cell r="C223">
            <v>350601014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34</v>
          </cell>
          <cell r="M223">
            <v>11</v>
          </cell>
          <cell r="N223">
            <v>41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16</v>
          </cell>
          <cell r="U223">
            <v>0</v>
          </cell>
          <cell r="V223">
            <v>0</v>
          </cell>
          <cell r="W223">
            <v>2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/>
          <cell r="AI223">
            <v>104</v>
          </cell>
          <cell r="AJ223">
            <v>41</v>
          </cell>
          <cell r="AK223">
            <v>5</v>
          </cell>
        </row>
        <row r="224">
          <cell r="C224">
            <v>350601015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26</v>
          </cell>
          <cell r="L224">
            <v>49</v>
          </cell>
          <cell r="M224">
            <v>2</v>
          </cell>
          <cell r="N224">
            <v>7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4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1</v>
          </cell>
          <cell r="Y224">
            <v>10</v>
          </cell>
          <cell r="Z224">
            <v>1</v>
          </cell>
          <cell r="AA224">
            <v>0</v>
          </cell>
          <cell r="AB224">
            <v>1</v>
          </cell>
          <cell r="AC224">
            <v>4</v>
          </cell>
          <cell r="AD224">
            <v>6</v>
          </cell>
          <cell r="AE224">
            <v>0</v>
          </cell>
          <cell r="AF224">
            <v>0</v>
          </cell>
          <cell r="AG224">
            <v>0</v>
          </cell>
          <cell r="AH224"/>
          <cell r="AI224">
            <v>111</v>
          </cell>
          <cell r="AJ224">
            <v>49</v>
          </cell>
          <cell r="AK224">
            <v>11</v>
          </cell>
        </row>
        <row r="225">
          <cell r="C225">
            <v>350125006</v>
          </cell>
          <cell r="D225">
            <v>10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/>
          <cell r="AI225">
            <v>10</v>
          </cell>
          <cell r="AJ225">
            <v>10</v>
          </cell>
          <cell r="AK225">
            <v>1</v>
          </cell>
        </row>
        <row r="226">
          <cell r="C226">
            <v>350125007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3</v>
          </cell>
          <cell r="K226">
            <v>0</v>
          </cell>
          <cell r="L226">
            <v>10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/>
          <cell r="AI226">
            <v>13</v>
          </cell>
          <cell r="AJ226">
            <v>10</v>
          </cell>
          <cell r="AK226">
            <v>2</v>
          </cell>
        </row>
        <row r="227">
          <cell r="C227">
            <v>350125008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10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/>
          <cell r="AI227">
            <v>10</v>
          </cell>
          <cell r="AJ227">
            <v>10</v>
          </cell>
          <cell r="AK227">
            <v>1</v>
          </cell>
        </row>
        <row r="228">
          <cell r="C228">
            <v>350125009</v>
          </cell>
          <cell r="D228">
            <v>27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17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/>
          <cell r="AI228">
            <v>44</v>
          </cell>
          <cell r="AJ228">
            <v>27</v>
          </cell>
          <cell r="AK228">
            <v>2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7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/>
          <cell r="AI229">
            <v>7</v>
          </cell>
          <cell r="AJ229">
            <v>7</v>
          </cell>
          <cell r="AK229">
            <v>1</v>
          </cell>
        </row>
        <row r="230">
          <cell r="C230">
            <v>350125011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/>
          <cell r="AI230">
            <v>0</v>
          </cell>
          <cell r="AJ230">
            <v>0</v>
          </cell>
          <cell r="AK230">
            <v>0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/>
          <cell r="AI231">
            <v>0</v>
          </cell>
          <cell r="AJ231">
            <v>0</v>
          </cell>
          <cell r="AK231">
            <v>0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5</v>
          </cell>
          <cell r="L232">
            <v>0</v>
          </cell>
          <cell r="M232">
            <v>0</v>
          </cell>
          <cell r="N232">
            <v>5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/>
          <cell r="AI232">
            <v>10</v>
          </cell>
          <cell r="AJ232">
            <v>5</v>
          </cell>
          <cell r="AK232">
            <v>2</v>
          </cell>
        </row>
        <row r="233">
          <cell r="C233">
            <v>350125014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2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3</v>
          </cell>
          <cell r="AH233"/>
          <cell r="AI233">
            <v>5</v>
          </cell>
          <cell r="AJ233">
            <v>3</v>
          </cell>
          <cell r="AK233">
            <v>2</v>
          </cell>
        </row>
        <row r="234">
          <cell r="C234">
            <v>350125015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1</v>
          </cell>
          <cell r="M234">
            <v>0</v>
          </cell>
          <cell r="N234">
            <v>0</v>
          </cell>
          <cell r="O234">
            <v>5</v>
          </cell>
          <cell r="P234">
            <v>23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4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2</v>
          </cell>
          <cell r="AH234"/>
          <cell r="AI234">
            <v>35</v>
          </cell>
          <cell r="AJ234">
            <v>23</v>
          </cell>
          <cell r="AK234">
            <v>5</v>
          </cell>
        </row>
        <row r="235">
          <cell r="C235">
            <v>350122032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1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33</v>
          </cell>
          <cell r="O235">
            <v>0</v>
          </cell>
          <cell r="P235">
            <v>0</v>
          </cell>
          <cell r="Q235">
            <v>1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6</v>
          </cell>
          <cell r="AA235">
            <v>0</v>
          </cell>
          <cell r="AB235">
            <v>2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/>
          <cell r="AI235">
            <v>43</v>
          </cell>
          <cell r="AJ235">
            <v>33</v>
          </cell>
          <cell r="AK235">
            <v>5</v>
          </cell>
        </row>
      </sheetData>
      <sheetData sheetId="11">
        <row r="8">
          <cell r="C8">
            <v>350125005</v>
          </cell>
          <cell r="D8">
            <v>0</v>
          </cell>
          <cell r="E8">
            <v>8</v>
          </cell>
          <cell r="F8">
            <v>47</v>
          </cell>
          <cell r="G8">
            <v>56</v>
          </cell>
          <cell r="H8">
            <v>23</v>
          </cell>
          <cell r="I8">
            <v>21</v>
          </cell>
          <cell r="J8">
            <v>29</v>
          </cell>
          <cell r="K8">
            <v>3</v>
          </cell>
          <cell r="L8">
            <v>7</v>
          </cell>
          <cell r="M8">
            <v>21</v>
          </cell>
          <cell r="N8">
            <v>0</v>
          </cell>
          <cell r="O8">
            <v>3</v>
          </cell>
          <cell r="P8">
            <v>0</v>
          </cell>
          <cell r="Q8">
            <v>19</v>
          </cell>
          <cell r="R8">
            <v>4</v>
          </cell>
          <cell r="S8">
            <v>5</v>
          </cell>
          <cell r="T8">
            <v>0</v>
          </cell>
          <cell r="U8">
            <v>5</v>
          </cell>
          <cell r="V8">
            <v>49</v>
          </cell>
          <cell r="W8">
            <v>17</v>
          </cell>
          <cell r="X8">
            <v>0</v>
          </cell>
          <cell r="Y8">
            <v>25</v>
          </cell>
          <cell r="Z8">
            <v>0</v>
          </cell>
          <cell r="AA8">
            <v>57</v>
          </cell>
          <cell r="AB8">
            <v>26</v>
          </cell>
          <cell r="AC8">
            <v>14</v>
          </cell>
          <cell r="AD8">
            <v>38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477</v>
          </cell>
          <cell r="AJ8">
            <v>57</v>
          </cell>
          <cell r="AK8">
            <v>21</v>
          </cell>
        </row>
        <row r="9">
          <cell r="C9">
            <v>350125004</v>
          </cell>
          <cell r="D9">
            <v>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4</v>
          </cell>
          <cell r="S9">
            <v>18</v>
          </cell>
          <cell r="T9">
            <v>0</v>
          </cell>
          <cell r="U9">
            <v>1</v>
          </cell>
          <cell r="V9">
            <v>4</v>
          </cell>
          <cell r="W9">
            <v>0</v>
          </cell>
          <cell r="X9">
            <v>0</v>
          </cell>
          <cell r="Y9">
            <v>41</v>
          </cell>
          <cell r="Z9">
            <v>0</v>
          </cell>
          <cell r="AA9">
            <v>38</v>
          </cell>
          <cell r="AB9">
            <v>14</v>
          </cell>
          <cell r="AC9">
            <v>79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208</v>
          </cell>
          <cell r="AJ9">
            <v>79</v>
          </cell>
          <cell r="AK9">
            <v>12</v>
          </cell>
        </row>
        <row r="10">
          <cell r="C10">
            <v>350125003</v>
          </cell>
          <cell r="D10">
            <v>2</v>
          </cell>
          <cell r="E10">
            <v>0</v>
          </cell>
          <cell r="F10">
            <v>3.5</v>
          </cell>
          <cell r="G10">
            <v>33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19</v>
          </cell>
          <cell r="S10">
            <v>0</v>
          </cell>
          <cell r="T10">
            <v>0</v>
          </cell>
          <cell r="U10">
            <v>10</v>
          </cell>
          <cell r="V10">
            <v>16</v>
          </cell>
          <cell r="W10">
            <v>0</v>
          </cell>
          <cell r="X10">
            <v>0</v>
          </cell>
          <cell r="Y10">
            <v>1</v>
          </cell>
          <cell r="Z10">
            <v>0</v>
          </cell>
          <cell r="AA10">
            <v>20</v>
          </cell>
          <cell r="AB10">
            <v>0</v>
          </cell>
          <cell r="AC10">
            <v>37</v>
          </cell>
          <cell r="AD10">
            <v>15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158.5</v>
          </cell>
          <cell r="AJ10">
            <v>37</v>
          </cell>
          <cell r="AK10">
            <v>12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0</v>
          </cell>
          <cell r="G11">
            <v>22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4</v>
          </cell>
          <cell r="N11">
            <v>0</v>
          </cell>
          <cell r="O11">
            <v>5</v>
          </cell>
          <cell r="P11">
            <v>0</v>
          </cell>
          <cell r="Q11">
            <v>0</v>
          </cell>
          <cell r="R11">
            <v>16</v>
          </cell>
          <cell r="S11">
            <v>0</v>
          </cell>
          <cell r="T11">
            <v>0</v>
          </cell>
          <cell r="U11">
            <v>6</v>
          </cell>
          <cell r="V11">
            <v>2</v>
          </cell>
          <cell r="W11">
            <v>0</v>
          </cell>
          <cell r="X11">
            <v>1</v>
          </cell>
          <cell r="Y11">
            <v>7</v>
          </cell>
          <cell r="Z11">
            <v>0</v>
          </cell>
          <cell r="AA11">
            <v>12</v>
          </cell>
          <cell r="AB11">
            <v>0</v>
          </cell>
          <cell r="AC11">
            <v>22</v>
          </cell>
          <cell r="AD11">
            <v>34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133</v>
          </cell>
          <cell r="AJ11">
            <v>34</v>
          </cell>
          <cell r="AK11">
            <v>12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47</v>
          </cell>
          <cell r="G12">
            <v>27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5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16</v>
          </cell>
          <cell r="S12">
            <v>0</v>
          </cell>
          <cell r="T12">
            <v>0</v>
          </cell>
          <cell r="U12">
            <v>17</v>
          </cell>
          <cell r="V12">
            <v>36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47</v>
          </cell>
          <cell r="AB12">
            <v>0</v>
          </cell>
          <cell r="AC12">
            <v>41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236</v>
          </cell>
          <cell r="AJ12">
            <v>47</v>
          </cell>
          <cell r="AK12">
            <v>8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0</v>
          </cell>
          <cell r="G13">
            <v>34</v>
          </cell>
          <cell r="H13">
            <v>9</v>
          </cell>
          <cell r="I13">
            <v>0</v>
          </cell>
          <cell r="J13">
            <v>0</v>
          </cell>
          <cell r="K13">
            <v>10</v>
          </cell>
          <cell r="L13">
            <v>1</v>
          </cell>
          <cell r="M13">
            <v>1</v>
          </cell>
          <cell r="N13">
            <v>0</v>
          </cell>
          <cell r="O13">
            <v>50</v>
          </cell>
          <cell r="P13">
            <v>0</v>
          </cell>
          <cell r="Q13">
            <v>23</v>
          </cell>
          <cell r="R13">
            <v>40</v>
          </cell>
          <cell r="S13">
            <v>38</v>
          </cell>
          <cell r="T13">
            <v>0</v>
          </cell>
          <cell r="U13">
            <v>0</v>
          </cell>
          <cell r="V13">
            <v>5</v>
          </cell>
          <cell r="W13">
            <v>0</v>
          </cell>
          <cell r="X13">
            <v>0</v>
          </cell>
          <cell r="Y13">
            <v>5</v>
          </cell>
          <cell r="Z13">
            <v>0</v>
          </cell>
          <cell r="AA13">
            <v>132</v>
          </cell>
          <cell r="AB13">
            <v>4</v>
          </cell>
          <cell r="AC13">
            <v>1</v>
          </cell>
          <cell r="AD13">
            <v>4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357</v>
          </cell>
          <cell r="AJ13">
            <v>132</v>
          </cell>
          <cell r="AK13">
            <v>15</v>
          </cell>
        </row>
        <row r="14">
          <cell r="C14">
            <v>350124023</v>
          </cell>
          <cell r="D14">
            <v>73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7</v>
          </cell>
          <cell r="J14">
            <v>2</v>
          </cell>
          <cell r="K14">
            <v>6</v>
          </cell>
          <cell r="L14">
            <v>0</v>
          </cell>
          <cell r="M14">
            <v>0</v>
          </cell>
          <cell r="N14">
            <v>0</v>
          </cell>
          <cell r="O14">
            <v>16</v>
          </cell>
          <cell r="P14">
            <v>4</v>
          </cell>
          <cell r="Q14">
            <v>0</v>
          </cell>
          <cell r="R14">
            <v>84</v>
          </cell>
          <cell r="S14">
            <v>9</v>
          </cell>
          <cell r="T14">
            <v>0</v>
          </cell>
          <cell r="U14">
            <v>0</v>
          </cell>
          <cell r="V14">
            <v>25</v>
          </cell>
          <cell r="W14">
            <v>0</v>
          </cell>
          <cell r="X14">
            <v>2</v>
          </cell>
          <cell r="Y14">
            <v>17</v>
          </cell>
          <cell r="Z14">
            <v>0</v>
          </cell>
          <cell r="AA14">
            <v>89</v>
          </cell>
          <cell r="AB14">
            <v>23</v>
          </cell>
          <cell r="AC14">
            <v>19</v>
          </cell>
          <cell r="AD14">
            <v>137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513</v>
          </cell>
          <cell r="AJ14">
            <v>137</v>
          </cell>
          <cell r="AK14">
            <v>15</v>
          </cell>
        </row>
        <row r="15">
          <cell r="C15">
            <v>350124022</v>
          </cell>
          <cell r="D15">
            <v>3</v>
          </cell>
          <cell r="E15">
            <v>0</v>
          </cell>
          <cell r="F15">
            <v>0</v>
          </cell>
          <cell r="G15">
            <v>18</v>
          </cell>
          <cell r="H15">
            <v>7</v>
          </cell>
          <cell r="I15">
            <v>0</v>
          </cell>
          <cell r="J15">
            <v>43</v>
          </cell>
          <cell r="K15">
            <v>9</v>
          </cell>
          <cell r="L15">
            <v>2</v>
          </cell>
          <cell r="M15">
            <v>0</v>
          </cell>
          <cell r="N15">
            <v>62</v>
          </cell>
          <cell r="O15">
            <v>1</v>
          </cell>
          <cell r="P15">
            <v>4</v>
          </cell>
          <cell r="Q15">
            <v>68</v>
          </cell>
          <cell r="R15">
            <v>52</v>
          </cell>
          <cell r="S15">
            <v>27</v>
          </cell>
          <cell r="T15">
            <v>0</v>
          </cell>
          <cell r="U15">
            <v>1</v>
          </cell>
          <cell r="V15">
            <v>3</v>
          </cell>
          <cell r="W15">
            <v>0</v>
          </cell>
          <cell r="X15">
            <v>1</v>
          </cell>
          <cell r="Y15">
            <v>4</v>
          </cell>
          <cell r="Z15">
            <v>0</v>
          </cell>
          <cell r="AA15">
            <v>159</v>
          </cell>
          <cell r="AB15">
            <v>1</v>
          </cell>
          <cell r="AC15">
            <v>0</v>
          </cell>
          <cell r="AD15">
            <v>11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476</v>
          </cell>
          <cell r="AJ15">
            <v>159</v>
          </cell>
          <cell r="AK15">
            <v>19</v>
          </cell>
        </row>
        <row r="16">
          <cell r="C16">
            <v>350124021</v>
          </cell>
          <cell r="D16">
            <v>2</v>
          </cell>
          <cell r="E16">
            <v>0</v>
          </cell>
          <cell r="F16">
            <v>0</v>
          </cell>
          <cell r="G16">
            <v>9</v>
          </cell>
          <cell r="H16">
            <v>22</v>
          </cell>
          <cell r="I16">
            <v>0</v>
          </cell>
          <cell r="J16">
            <v>8</v>
          </cell>
          <cell r="K16">
            <v>18</v>
          </cell>
          <cell r="L16">
            <v>0</v>
          </cell>
          <cell r="M16">
            <v>1</v>
          </cell>
          <cell r="N16">
            <v>0</v>
          </cell>
          <cell r="O16">
            <v>47</v>
          </cell>
          <cell r="P16">
            <v>2</v>
          </cell>
          <cell r="Q16">
            <v>47</v>
          </cell>
          <cell r="R16">
            <v>88</v>
          </cell>
          <cell r="S16">
            <v>27</v>
          </cell>
          <cell r="T16">
            <v>0</v>
          </cell>
          <cell r="U16">
            <v>0</v>
          </cell>
          <cell r="V16">
            <v>5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130</v>
          </cell>
          <cell r="AB16">
            <v>3</v>
          </cell>
          <cell r="AC16">
            <v>1</v>
          </cell>
          <cell r="AD16">
            <v>8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426</v>
          </cell>
          <cell r="AJ16">
            <v>130</v>
          </cell>
          <cell r="AK16">
            <v>17</v>
          </cell>
        </row>
        <row r="17">
          <cell r="C17">
            <v>350124020</v>
          </cell>
          <cell r="D17">
            <v>67</v>
          </cell>
          <cell r="E17">
            <v>0</v>
          </cell>
          <cell r="F17">
            <v>0</v>
          </cell>
          <cell r="G17">
            <v>53</v>
          </cell>
          <cell r="H17">
            <v>1</v>
          </cell>
          <cell r="I17">
            <v>0</v>
          </cell>
          <cell r="J17">
            <v>3</v>
          </cell>
          <cell r="K17">
            <v>12</v>
          </cell>
          <cell r="L17">
            <v>0</v>
          </cell>
          <cell r="M17">
            <v>0</v>
          </cell>
          <cell r="N17">
            <v>0</v>
          </cell>
          <cell r="O17">
            <v>21</v>
          </cell>
          <cell r="P17">
            <v>0</v>
          </cell>
          <cell r="Q17">
            <v>2</v>
          </cell>
          <cell r="R17">
            <v>40</v>
          </cell>
          <cell r="S17">
            <v>0</v>
          </cell>
          <cell r="T17">
            <v>0</v>
          </cell>
          <cell r="U17">
            <v>0</v>
          </cell>
          <cell r="V17">
            <v>71</v>
          </cell>
          <cell r="W17">
            <v>0</v>
          </cell>
          <cell r="X17">
            <v>25</v>
          </cell>
          <cell r="Y17">
            <v>3</v>
          </cell>
          <cell r="Z17">
            <v>0</v>
          </cell>
          <cell r="AA17">
            <v>3</v>
          </cell>
          <cell r="AB17">
            <v>15</v>
          </cell>
          <cell r="AC17">
            <v>11</v>
          </cell>
          <cell r="AD17">
            <v>74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401</v>
          </cell>
          <cell r="AJ17">
            <v>74</v>
          </cell>
          <cell r="AK17">
            <v>15</v>
          </cell>
        </row>
        <row r="18">
          <cell r="C18">
            <v>350124019</v>
          </cell>
          <cell r="D18">
            <v>22</v>
          </cell>
          <cell r="E18">
            <v>0</v>
          </cell>
          <cell r="F18">
            <v>2</v>
          </cell>
          <cell r="G18">
            <v>8</v>
          </cell>
          <cell r="H18">
            <v>3</v>
          </cell>
          <cell r="I18">
            <v>2</v>
          </cell>
          <cell r="J18">
            <v>31</v>
          </cell>
          <cell r="K18">
            <v>22</v>
          </cell>
          <cell r="L18">
            <v>0</v>
          </cell>
          <cell r="M18">
            <v>22</v>
          </cell>
          <cell r="N18">
            <v>21</v>
          </cell>
          <cell r="O18">
            <v>0</v>
          </cell>
          <cell r="P18">
            <v>0</v>
          </cell>
          <cell r="Q18">
            <v>2</v>
          </cell>
          <cell r="R18">
            <v>44</v>
          </cell>
          <cell r="S18">
            <v>96</v>
          </cell>
          <cell r="T18">
            <v>0</v>
          </cell>
          <cell r="U18">
            <v>18</v>
          </cell>
          <cell r="V18">
            <v>2</v>
          </cell>
          <cell r="W18">
            <v>5</v>
          </cell>
          <cell r="X18">
            <v>2</v>
          </cell>
          <cell r="Y18">
            <v>13</v>
          </cell>
          <cell r="Z18">
            <v>0</v>
          </cell>
          <cell r="AA18">
            <v>50</v>
          </cell>
          <cell r="AB18">
            <v>2</v>
          </cell>
          <cell r="AC18">
            <v>0</v>
          </cell>
          <cell r="AD18">
            <v>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372</v>
          </cell>
          <cell r="AJ18">
            <v>96</v>
          </cell>
          <cell r="AK18">
            <v>20</v>
          </cell>
        </row>
        <row r="19">
          <cell r="C19">
            <v>350124018</v>
          </cell>
          <cell r="D19">
            <v>45</v>
          </cell>
          <cell r="E19">
            <v>0</v>
          </cell>
          <cell r="F19">
            <v>10</v>
          </cell>
          <cell r="G19">
            <v>1</v>
          </cell>
          <cell r="H19">
            <v>0</v>
          </cell>
          <cell r="I19">
            <v>0</v>
          </cell>
          <cell r="J19">
            <v>34</v>
          </cell>
          <cell r="K19">
            <v>10</v>
          </cell>
          <cell r="L19">
            <v>11</v>
          </cell>
          <cell r="M19">
            <v>0</v>
          </cell>
          <cell r="N19">
            <v>27</v>
          </cell>
          <cell r="O19">
            <v>2</v>
          </cell>
          <cell r="P19">
            <v>16</v>
          </cell>
          <cell r="Q19">
            <v>20</v>
          </cell>
          <cell r="R19">
            <v>18</v>
          </cell>
          <cell r="S19">
            <v>13</v>
          </cell>
          <cell r="T19">
            <v>0</v>
          </cell>
          <cell r="U19">
            <v>17</v>
          </cell>
          <cell r="V19">
            <v>2</v>
          </cell>
          <cell r="W19">
            <v>0</v>
          </cell>
          <cell r="X19">
            <v>2</v>
          </cell>
          <cell r="Y19">
            <v>5</v>
          </cell>
          <cell r="Z19">
            <v>0</v>
          </cell>
          <cell r="AA19">
            <v>94</v>
          </cell>
          <cell r="AB19">
            <v>0</v>
          </cell>
          <cell r="AC19">
            <v>3</v>
          </cell>
          <cell r="AD19">
            <v>28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358</v>
          </cell>
          <cell r="AJ19">
            <v>94</v>
          </cell>
          <cell r="AK19">
            <v>19</v>
          </cell>
        </row>
        <row r="20">
          <cell r="C20">
            <v>350124017</v>
          </cell>
          <cell r="D20">
            <v>21</v>
          </cell>
          <cell r="E20">
            <v>0</v>
          </cell>
          <cell r="F20">
            <v>0</v>
          </cell>
          <cell r="G20">
            <v>64</v>
          </cell>
          <cell r="H20">
            <v>0</v>
          </cell>
          <cell r="I20">
            <v>0</v>
          </cell>
          <cell r="J20">
            <v>40</v>
          </cell>
          <cell r="K20">
            <v>1</v>
          </cell>
          <cell r="L20">
            <v>0</v>
          </cell>
          <cell r="M20">
            <v>6</v>
          </cell>
          <cell r="N20">
            <v>0</v>
          </cell>
          <cell r="O20">
            <v>0</v>
          </cell>
          <cell r="P20">
            <v>11</v>
          </cell>
          <cell r="Q20">
            <v>0</v>
          </cell>
          <cell r="R20">
            <v>37</v>
          </cell>
          <cell r="S20">
            <v>0</v>
          </cell>
          <cell r="T20">
            <v>3</v>
          </cell>
          <cell r="U20">
            <v>6</v>
          </cell>
          <cell r="V20">
            <v>0</v>
          </cell>
          <cell r="W20">
            <v>0</v>
          </cell>
          <cell r="X20">
            <v>0</v>
          </cell>
          <cell r="Y20">
            <v>2</v>
          </cell>
          <cell r="Z20">
            <v>0</v>
          </cell>
          <cell r="AA20">
            <v>0</v>
          </cell>
          <cell r="AB20">
            <v>34</v>
          </cell>
          <cell r="AC20">
            <v>33</v>
          </cell>
          <cell r="AD20">
            <v>2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260</v>
          </cell>
          <cell r="AJ20">
            <v>64</v>
          </cell>
          <cell r="AK20">
            <v>13</v>
          </cell>
        </row>
        <row r="21">
          <cell r="C21">
            <v>350124016</v>
          </cell>
          <cell r="D21">
            <v>29</v>
          </cell>
          <cell r="E21">
            <v>0</v>
          </cell>
          <cell r="F21">
            <v>32</v>
          </cell>
          <cell r="G21">
            <v>0</v>
          </cell>
          <cell r="H21">
            <v>17</v>
          </cell>
          <cell r="I21">
            <v>46</v>
          </cell>
          <cell r="J21">
            <v>12</v>
          </cell>
          <cell r="K21">
            <v>35</v>
          </cell>
          <cell r="L21">
            <v>14</v>
          </cell>
          <cell r="M21">
            <v>46</v>
          </cell>
          <cell r="N21">
            <v>5</v>
          </cell>
          <cell r="O21">
            <v>0</v>
          </cell>
          <cell r="P21">
            <v>14</v>
          </cell>
          <cell r="Q21">
            <v>0</v>
          </cell>
          <cell r="R21">
            <v>10</v>
          </cell>
          <cell r="S21">
            <v>39</v>
          </cell>
          <cell r="T21">
            <v>0</v>
          </cell>
          <cell r="U21">
            <v>10</v>
          </cell>
          <cell r="V21">
            <v>0</v>
          </cell>
          <cell r="W21">
            <v>41</v>
          </cell>
          <cell r="X21">
            <v>0</v>
          </cell>
          <cell r="Y21">
            <v>19</v>
          </cell>
          <cell r="Z21">
            <v>0</v>
          </cell>
          <cell r="AA21">
            <v>34</v>
          </cell>
          <cell r="AB21">
            <v>9</v>
          </cell>
          <cell r="AC21">
            <v>15</v>
          </cell>
          <cell r="AD21">
            <v>15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442</v>
          </cell>
          <cell r="AJ21">
            <v>46</v>
          </cell>
          <cell r="AK21">
            <v>19</v>
          </cell>
        </row>
        <row r="22">
          <cell r="C22">
            <v>350124015</v>
          </cell>
          <cell r="D22">
            <v>2</v>
          </cell>
          <cell r="E22">
            <v>0</v>
          </cell>
          <cell r="F22">
            <v>1</v>
          </cell>
          <cell r="G22">
            <v>24</v>
          </cell>
          <cell r="H22">
            <v>0</v>
          </cell>
          <cell r="I22">
            <v>0</v>
          </cell>
          <cell r="J22">
            <v>0</v>
          </cell>
          <cell r="K22">
            <v>14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14</v>
          </cell>
          <cell r="R22">
            <v>29</v>
          </cell>
          <cell r="S22">
            <v>12</v>
          </cell>
          <cell r="T22">
            <v>0</v>
          </cell>
          <cell r="U22">
            <v>0</v>
          </cell>
          <cell r="V22">
            <v>38</v>
          </cell>
          <cell r="W22">
            <v>0</v>
          </cell>
          <cell r="X22">
            <v>9</v>
          </cell>
          <cell r="Y22">
            <v>3</v>
          </cell>
          <cell r="Z22">
            <v>0</v>
          </cell>
          <cell r="AA22">
            <v>71</v>
          </cell>
          <cell r="AB22">
            <v>23</v>
          </cell>
          <cell r="AC22">
            <v>11</v>
          </cell>
          <cell r="AD22">
            <v>58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309</v>
          </cell>
          <cell r="AJ22">
            <v>71</v>
          </cell>
          <cell r="AK22">
            <v>14</v>
          </cell>
        </row>
        <row r="23">
          <cell r="C23">
            <v>350124014</v>
          </cell>
          <cell r="D23">
            <v>0</v>
          </cell>
          <cell r="E23">
            <v>0</v>
          </cell>
          <cell r="F23">
            <v>0</v>
          </cell>
          <cell r="G23">
            <v>12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2</v>
          </cell>
          <cell r="N23">
            <v>0</v>
          </cell>
          <cell r="O23">
            <v>8</v>
          </cell>
          <cell r="P23">
            <v>0</v>
          </cell>
          <cell r="Q23">
            <v>5</v>
          </cell>
          <cell r="R23">
            <v>83</v>
          </cell>
          <cell r="S23">
            <v>0</v>
          </cell>
          <cell r="T23">
            <v>0</v>
          </cell>
          <cell r="U23">
            <v>7</v>
          </cell>
          <cell r="V23">
            <v>2</v>
          </cell>
          <cell r="W23">
            <v>0</v>
          </cell>
          <cell r="X23">
            <v>13</v>
          </cell>
          <cell r="Y23">
            <v>4</v>
          </cell>
          <cell r="Z23">
            <v>0</v>
          </cell>
          <cell r="AA23">
            <v>9</v>
          </cell>
          <cell r="AB23">
            <v>18</v>
          </cell>
          <cell r="AC23">
            <v>97</v>
          </cell>
          <cell r="AD23">
            <v>41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301</v>
          </cell>
          <cell r="AJ23">
            <v>97</v>
          </cell>
          <cell r="AK23">
            <v>13</v>
          </cell>
        </row>
        <row r="24">
          <cell r="C24">
            <v>350124013</v>
          </cell>
          <cell r="D24">
            <v>0</v>
          </cell>
          <cell r="E24">
            <v>0</v>
          </cell>
          <cell r="F24">
            <v>0</v>
          </cell>
          <cell r="G24">
            <v>41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3</v>
          </cell>
          <cell r="N24">
            <v>0</v>
          </cell>
          <cell r="O24">
            <v>1</v>
          </cell>
          <cell r="P24">
            <v>0</v>
          </cell>
          <cell r="Q24">
            <v>2</v>
          </cell>
          <cell r="R24">
            <v>39</v>
          </cell>
          <cell r="S24">
            <v>9</v>
          </cell>
          <cell r="T24">
            <v>0</v>
          </cell>
          <cell r="U24">
            <v>3</v>
          </cell>
          <cell r="V24">
            <v>1</v>
          </cell>
          <cell r="W24">
            <v>0</v>
          </cell>
          <cell r="X24">
            <v>0</v>
          </cell>
          <cell r="Y24">
            <v>1</v>
          </cell>
          <cell r="Z24">
            <v>0</v>
          </cell>
          <cell r="AA24">
            <v>5</v>
          </cell>
          <cell r="AB24">
            <v>3</v>
          </cell>
          <cell r="AC24">
            <v>42</v>
          </cell>
          <cell r="AD24">
            <v>68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218</v>
          </cell>
          <cell r="AJ24">
            <v>68</v>
          </cell>
          <cell r="AK24">
            <v>13</v>
          </cell>
        </row>
        <row r="25">
          <cell r="C25">
            <v>350124012</v>
          </cell>
          <cell r="D25">
            <v>6</v>
          </cell>
          <cell r="E25">
            <v>0</v>
          </cell>
          <cell r="F25">
            <v>0</v>
          </cell>
          <cell r="G25">
            <v>19</v>
          </cell>
          <cell r="H25">
            <v>15</v>
          </cell>
          <cell r="I25">
            <v>0</v>
          </cell>
          <cell r="J25">
            <v>13</v>
          </cell>
          <cell r="K25">
            <v>8</v>
          </cell>
          <cell r="L25">
            <v>24</v>
          </cell>
          <cell r="M25">
            <v>0</v>
          </cell>
          <cell r="N25">
            <v>22</v>
          </cell>
          <cell r="O25">
            <v>11</v>
          </cell>
          <cell r="P25">
            <v>6</v>
          </cell>
          <cell r="Q25">
            <v>37</v>
          </cell>
          <cell r="R25">
            <v>59</v>
          </cell>
          <cell r="S25">
            <v>22</v>
          </cell>
          <cell r="T25">
            <v>0</v>
          </cell>
          <cell r="U25">
            <v>0</v>
          </cell>
          <cell r="V25">
            <v>1</v>
          </cell>
          <cell r="W25">
            <v>0</v>
          </cell>
          <cell r="X25">
            <v>14</v>
          </cell>
          <cell r="Y25">
            <v>1</v>
          </cell>
          <cell r="Z25">
            <v>0</v>
          </cell>
          <cell r="AA25">
            <v>122</v>
          </cell>
          <cell r="AB25">
            <v>4</v>
          </cell>
          <cell r="AC25">
            <v>6</v>
          </cell>
          <cell r="AD25">
            <v>93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483</v>
          </cell>
          <cell r="AJ25">
            <v>122</v>
          </cell>
          <cell r="AK25">
            <v>19</v>
          </cell>
        </row>
        <row r="26">
          <cell r="C26">
            <v>350124011</v>
          </cell>
          <cell r="D26">
            <v>13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34</v>
          </cell>
          <cell r="K26">
            <v>2</v>
          </cell>
          <cell r="L26">
            <v>27</v>
          </cell>
          <cell r="M26">
            <v>1</v>
          </cell>
          <cell r="N26">
            <v>8</v>
          </cell>
          <cell r="O26">
            <v>2</v>
          </cell>
          <cell r="P26">
            <v>7</v>
          </cell>
          <cell r="Q26">
            <v>19</v>
          </cell>
          <cell r="R26">
            <v>26</v>
          </cell>
          <cell r="S26">
            <v>8</v>
          </cell>
          <cell r="T26">
            <v>0</v>
          </cell>
          <cell r="U26">
            <v>46</v>
          </cell>
          <cell r="V26">
            <v>2</v>
          </cell>
          <cell r="W26">
            <v>0</v>
          </cell>
          <cell r="X26">
            <v>1</v>
          </cell>
          <cell r="Y26">
            <v>8</v>
          </cell>
          <cell r="Z26">
            <v>0</v>
          </cell>
          <cell r="AA26">
            <v>47</v>
          </cell>
          <cell r="AB26">
            <v>3</v>
          </cell>
          <cell r="AC26">
            <v>7</v>
          </cell>
          <cell r="AD26">
            <v>12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273</v>
          </cell>
          <cell r="AJ26">
            <v>47</v>
          </cell>
          <cell r="AK26">
            <v>19</v>
          </cell>
        </row>
        <row r="27">
          <cell r="C27">
            <v>350124010</v>
          </cell>
          <cell r="D27">
            <v>1</v>
          </cell>
          <cell r="E27">
            <v>0</v>
          </cell>
          <cell r="F27">
            <v>0</v>
          </cell>
          <cell r="G27">
            <v>55</v>
          </cell>
          <cell r="H27">
            <v>0</v>
          </cell>
          <cell r="I27">
            <v>0</v>
          </cell>
          <cell r="J27">
            <v>15</v>
          </cell>
          <cell r="K27">
            <v>0</v>
          </cell>
          <cell r="L27">
            <v>0</v>
          </cell>
          <cell r="M27">
            <v>7</v>
          </cell>
          <cell r="N27">
            <v>0</v>
          </cell>
          <cell r="O27">
            <v>10</v>
          </cell>
          <cell r="P27">
            <v>0</v>
          </cell>
          <cell r="Q27">
            <v>0</v>
          </cell>
          <cell r="R27">
            <v>47</v>
          </cell>
          <cell r="S27">
            <v>2</v>
          </cell>
          <cell r="T27">
            <v>0</v>
          </cell>
          <cell r="U27">
            <v>2</v>
          </cell>
          <cell r="V27">
            <v>20</v>
          </cell>
          <cell r="W27">
            <v>0</v>
          </cell>
          <cell r="X27">
            <v>0</v>
          </cell>
          <cell r="Y27">
            <v>13</v>
          </cell>
          <cell r="Z27">
            <v>0</v>
          </cell>
          <cell r="AA27">
            <v>3</v>
          </cell>
          <cell r="AB27">
            <v>48</v>
          </cell>
          <cell r="AC27">
            <v>35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258</v>
          </cell>
          <cell r="AJ27">
            <v>55</v>
          </cell>
          <cell r="AK27">
            <v>13</v>
          </cell>
        </row>
        <row r="28">
          <cell r="C28">
            <v>350124009</v>
          </cell>
          <cell r="D28">
            <v>19</v>
          </cell>
          <cell r="E28">
            <v>0</v>
          </cell>
          <cell r="F28">
            <v>0</v>
          </cell>
          <cell r="G28">
            <v>52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0</v>
          </cell>
          <cell r="M28">
            <v>12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101</v>
          </cell>
          <cell r="S28">
            <v>0</v>
          </cell>
          <cell r="T28">
            <v>0</v>
          </cell>
          <cell r="U28">
            <v>9</v>
          </cell>
          <cell r="V28">
            <v>10</v>
          </cell>
          <cell r="W28">
            <v>0</v>
          </cell>
          <cell r="X28">
            <v>7</v>
          </cell>
          <cell r="Y28">
            <v>2</v>
          </cell>
          <cell r="Z28">
            <v>0</v>
          </cell>
          <cell r="AA28">
            <v>0</v>
          </cell>
          <cell r="AB28">
            <v>39</v>
          </cell>
          <cell r="AC28">
            <v>20</v>
          </cell>
          <cell r="AD28">
            <v>6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297</v>
          </cell>
          <cell r="AJ28">
            <v>101</v>
          </cell>
          <cell r="AK28">
            <v>12</v>
          </cell>
        </row>
        <row r="29">
          <cell r="C29">
            <v>350124008</v>
          </cell>
          <cell r="D29">
            <v>4</v>
          </cell>
          <cell r="E29">
            <v>0</v>
          </cell>
          <cell r="F29">
            <v>0</v>
          </cell>
          <cell r="G29">
            <v>24</v>
          </cell>
          <cell r="H29">
            <v>1</v>
          </cell>
          <cell r="I29">
            <v>0</v>
          </cell>
          <cell r="J29">
            <v>7</v>
          </cell>
          <cell r="K29">
            <v>6</v>
          </cell>
          <cell r="L29">
            <v>13</v>
          </cell>
          <cell r="M29">
            <v>0</v>
          </cell>
          <cell r="N29">
            <v>34</v>
          </cell>
          <cell r="O29">
            <v>2</v>
          </cell>
          <cell r="P29">
            <v>1</v>
          </cell>
          <cell r="Q29">
            <v>24</v>
          </cell>
          <cell r="R29">
            <v>28</v>
          </cell>
          <cell r="S29">
            <v>34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6</v>
          </cell>
          <cell r="Y29">
            <v>1</v>
          </cell>
          <cell r="Z29">
            <v>0</v>
          </cell>
          <cell r="AA29">
            <v>117</v>
          </cell>
          <cell r="AB29">
            <v>0</v>
          </cell>
          <cell r="AC29">
            <v>1</v>
          </cell>
          <cell r="AD29">
            <v>16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319</v>
          </cell>
          <cell r="AJ29">
            <v>117</v>
          </cell>
          <cell r="AK29">
            <v>17</v>
          </cell>
        </row>
        <row r="30">
          <cell r="C30">
            <v>350124007</v>
          </cell>
          <cell r="D30">
            <v>68</v>
          </cell>
          <cell r="E30">
            <v>2</v>
          </cell>
          <cell r="F30">
            <v>7</v>
          </cell>
          <cell r="G30">
            <v>10</v>
          </cell>
          <cell r="H30">
            <v>0</v>
          </cell>
          <cell r="I30">
            <v>0</v>
          </cell>
          <cell r="J30">
            <v>13</v>
          </cell>
          <cell r="K30">
            <v>12</v>
          </cell>
          <cell r="L30">
            <v>15</v>
          </cell>
          <cell r="M30">
            <v>15</v>
          </cell>
          <cell r="N30">
            <v>27</v>
          </cell>
          <cell r="O30">
            <v>16</v>
          </cell>
          <cell r="P30">
            <v>0</v>
          </cell>
          <cell r="Q30">
            <v>0</v>
          </cell>
          <cell r="R30">
            <v>32</v>
          </cell>
          <cell r="S30">
            <v>23</v>
          </cell>
          <cell r="T30">
            <v>0</v>
          </cell>
          <cell r="U30">
            <v>3</v>
          </cell>
          <cell r="V30">
            <v>0</v>
          </cell>
          <cell r="W30">
            <v>0</v>
          </cell>
          <cell r="X30">
            <v>0</v>
          </cell>
          <cell r="Y30">
            <v>29</v>
          </cell>
          <cell r="Z30">
            <v>0</v>
          </cell>
          <cell r="AA30">
            <v>29</v>
          </cell>
          <cell r="AB30">
            <v>16</v>
          </cell>
          <cell r="AC30">
            <v>14</v>
          </cell>
          <cell r="AD30">
            <v>11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342</v>
          </cell>
          <cell r="AJ30">
            <v>68</v>
          </cell>
          <cell r="AK30">
            <v>18</v>
          </cell>
        </row>
        <row r="31">
          <cell r="C31">
            <v>350124006</v>
          </cell>
          <cell r="D31">
            <v>32</v>
          </cell>
          <cell r="E31">
            <v>0</v>
          </cell>
          <cell r="F31">
            <v>0</v>
          </cell>
          <cell r="G31">
            <v>32</v>
          </cell>
          <cell r="H31">
            <v>5</v>
          </cell>
          <cell r="I31">
            <v>0</v>
          </cell>
          <cell r="J31">
            <v>24</v>
          </cell>
          <cell r="K31">
            <v>9</v>
          </cell>
          <cell r="L31">
            <v>0</v>
          </cell>
          <cell r="M31">
            <v>3</v>
          </cell>
          <cell r="N31">
            <v>0</v>
          </cell>
          <cell r="O31">
            <v>6</v>
          </cell>
          <cell r="P31">
            <v>1</v>
          </cell>
          <cell r="Q31">
            <v>1</v>
          </cell>
          <cell r="R31">
            <v>49</v>
          </cell>
          <cell r="S31">
            <v>1</v>
          </cell>
          <cell r="T31">
            <v>0</v>
          </cell>
          <cell r="U31">
            <v>0</v>
          </cell>
          <cell r="V31">
            <v>39</v>
          </cell>
          <cell r="W31">
            <v>1</v>
          </cell>
          <cell r="X31">
            <v>9</v>
          </cell>
          <cell r="Y31">
            <v>8</v>
          </cell>
          <cell r="Z31">
            <v>0</v>
          </cell>
          <cell r="AA31">
            <v>3</v>
          </cell>
          <cell r="AB31">
            <v>18</v>
          </cell>
          <cell r="AC31">
            <v>7</v>
          </cell>
          <cell r="AD31">
            <v>26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274</v>
          </cell>
          <cell r="AJ31">
            <v>49</v>
          </cell>
          <cell r="AK31">
            <v>19</v>
          </cell>
        </row>
        <row r="32">
          <cell r="C32">
            <v>350124005</v>
          </cell>
          <cell r="D32">
            <v>10</v>
          </cell>
          <cell r="E32">
            <v>0</v>
          </cell>
          <cell r="F32">
            <v>0</v>
          </cell>
          <cell r="G32">
            <v>29</v>
          </cell>
          <cell r="H32">
            <v>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15</v>
          </cell>
          <cell r="N32">
            <v>4</v>
          </cell>
          <cell r="O32">
            <v>0</v>
          </cell>
          <cell r="P32">
            <v>0</v>
          </cell>
          <cell r="Q32">
            <v>0</v>
          </cell>
          <cell r="R32">
            <v>38</v>
          </cell>
          <cell r="S32">
            <v>0</v>
          </cell>
          <cell r="T32">
            <v>0</v>
          </cell>
          <cell r="U32">
            <v>4</v>
          </cell>
          <cell r="V32">
            <v>6</v>
          </cell>
          <cell r="W32">
            <v>0</v>
          </cell>
          <cell r="X32">
            <v>0</v>
          </cell>
          <cell r="Y32">
            <v>6</v>
          </cell>
          <cell r="Z32">
            <v>0</v>
          </cell>
          <cell r="AA32">
            <v>2</v>
          </cell>
          <cell r="AB32">
            <v>10</v>
          </cell>
          <cell r="AC32">
            <v>14</v>
          </cell>
          <cell r="AD32">
            <v>4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150</v>
          </cell>
          <cell r="AJ32">
            <v>38</v>
          </cell>
          <cell r="AK32">
            <v>13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3</v>
          </cell>
          <cell r="H33">
            <v>6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6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44</v>
          </cell>
          <cell r="S33">
            <v>0</v>
          </cell>
          <cell r="T33">
            <v>0</v>
          </cell>
          <cell r="U33">
            <v>18</v>
          </cell>
          <cell r="V33">
            <v>6</v>
          </cell>
          <cell r="W33">
            <v>0</v>
          </cell>
          <cell r="X33">
            <v>0</v>
          </cell>
          <cell r="Y33">
            <v>9</v>
          </cell>
          <cell r="Z33">
            <v>0</v>
          </cell>
          <cell r="AA33">
            <v>0</v>
          </cell>
          <cell r="AB33">
            <v>17</v>
          </cell>
          <cell r="AC33">
            <v>20</v>
          </cell>
          <cell r="AD33">
            <v>2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131</v>
          </cell>
          <cell r="AJ33">
            <v>44</v>
          </cell>
          <cell r="AK33">
            <v>10</v>
          </cell>
        </row>
        <row r="34">
          <cell r="C34">
            <v>350124003</v>
          </cell>
          <cell r="D34">
            <v>5</v>
          </cell>
          <cell r="E34">
            <v>0</v>
          </cell>
          <cell r="F34">
            <v>3</v>
          </cell>
          <cell r="G34">
            <v>0</v>
          </cell>
          <cell r="H34">
            <v>13</v>
          </cell>
          <cell r="I34">
            <v>2</v>
          </cell>
          <cell r="J34">
            <v>12</v>
          </cell>
          <cell r="K34">
            <v>6</v>
          </cell>
          <cell r="L34">
            <v>8.5</v>
          </cell>
          <cell r="M34">
            <v>14</v>
          </cell>
          <cell r="N34">
            <v>16</v>
          </cell>
          <cell r="O34">
            <v>15</v>
          </cell>
          <cell r="P34">
            <v>0</v>
          </cell>
          <cell r="Q34">
            <v>0</v>
          </cell>
          <cell r="R34">
            <v>2</v>
          </cell>
          <cell r="S34">
            <v>63</v>
          </cell>
          <cell r="T34">
            <v>0</v>
          </cell>
          <cell r="U34">
            <v>3</v>
          </cell>
          <cell r="V34">
            <v>0</v>
          </cell>
          <cell r="W34">
            <v>7</v>
          </cell>
          <cell r="X34">
            <v>5</v>
          </cell>
          <cell r="Y34">
            <v>15</v>
          </cell>
          <cell r="Z34">
            <v>0</v>
          </cell>
          <cell r="AA34">
            <v>31</v>
          </cell>
          <cell r="AB34">
            <v>7</v>
          </cell>
          <cell r="AC34">
            <v>5</v>
          </cell>
          <cell r="AD34">
            <v>16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248.5</v>
          </cell>
          <cell r="AJ34">
            <v>63</v>
          </cell>
          <cell r="AK34">
            <v>20</v>
          </cell>
        </row>
        <row r="35">
          <cell r="C35">
            <v>350124002</v>
          </cell>
          <cell r="D35">
            <v>0</v>
          </cell>
          <cell r="E35">
            <v>0</v>
          </cell>
          <cell r="F35">
            <v>0</v>
          </cell>
          <cell r="G35">
            <v>28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5</v>
          </cell>
          <cell r="N35">
            <v>0</v>
          </cell>
          <cell r="O35">
            <v>34</v>
          </cell>
          <cell r="P35">
            <v>2</v>
          </cell>
          <cell r="Q35">
            <v>4</v>
          </cell>
          <cell r="R35">
            <v>61</v>
          </cell>
          <cell r="S35">
            <v>35</v>
          </cell>
          <cell r="T35">
            <v>0</v>
          </cell>
          <cell r="U35">
            <v>0</v>
          </cell>
          <cell r="V35">
            <v>1</v>
          </cell>
          <cell r="W35">
            <v>0</v>
          </cell>
          <cell r="X35">
            <v>0</v>
          </cell>
          <cell r="Y35">
            <v>6</v>
          </cell>
          <cell r="Z35">
            <v>0</v>
          </cell>
          <cell r="AA35">
            <v>28</v>
          </cell>
          <cell r="AB35">
            <v>31</v>
          </cell>
          <cell r="AC35">
            <v>78</v>
          </cell>
          <cell r="AD35">
            <v>114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427</v>
          </cell>
          <cell r="AJ35">
            <v>114</v>
          </cell>
          <cell r="AK35">
            <v>13</v>
          </cell>
        </row>
        <row r="36">
          <cell r="C36">
            <v>350124001</v>
          </cell>
          <cell r="D36">
            <v>5</v>
          </cell>
          <cell r="E36">
            <v>0</v>
          </cell>
          <cell r="F36">
            <v>0</v>
          </cell>
          <cell r="G36">
            <v>10</v>
          </cell>
          <cell r="H36">
            <v>2</v>
          </cell>
          <cell r="I36">
            <v>0</v>
          </cell>
          <cell r="J36">
            <v>15</v>
          </cell>
          <cell r="K36">
            <v>0</v>
          </cell>
          <cell r="L36">
            <v>4</v>
          </cell>
          <cell r="M36">
            <v>0</v>
          </cell>
          <cell r="N36">
            <v>71</v>
          </cell>
          <cell r="O36">
            <v>1</v>
          </cell>
          <cell r="P36">
            <v>0</v>
          </cell>
          <cell r="Q36">
            <v>31</v>
          </cell>
          <cell r="R36">
            <v>74</v>
          </cell>
          <cell r="S36">
            <v>0</v>
          </cell>
          <cell r="T36">
            <v>0</v>
          </cell>
          <cell r="U36">
            <v>2</v>
          </cell>
          <cell r="V36">
            <v>8</v>
          </cell>
          <cell r="W36">
            <v>0</v>
          </cell>
          <cell r="X36">
            <v>1</v>
          </cell>
          <cell r="Y36">
            <v>7</v>
          </cell>
          <cell r="Z36">
            <v>0</v>
          </cell>
          <cell r="AA36">
            <v>13</v>
          </cell>
          <cell r="AB36">
            <v>5</v>
          </cell>
          <cell r="AC36">
            <v>35</v>
          </cell>
          <cell r="AD36">
            <v>25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309</v>
          </cell>
          <cell r="AJ36">
            <v>74</v>
          </cell>
          <cell r="AK36">
            <v>17</v>
          </cell>
        </row>
        <row r="37">
          <cell r="C37">
            <v>350123037</v>
          </cell>
          <cell r="D37">
            <v>0</v>
          </cell>
          <cell r="E37">
            <v>0</v>
          </cell>
          <cell r="F37">
            <v>11</v>
          </cell>
          <cell r="G37">
            <v>3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7</v>
          </cell>
          <cell r="P37">
            <v>0</v>
          </cell>
          <cell r="Q37">
            <v>7</v>
          </cell>
          <cell r="R37">
            <v>57</v>
          </cell>
          <cell r="S37">
            <v>0</v>
          </cell>
          <cell r="T37">
            <v>0</v>
          </cell>
          <cell r="U37">
            <v>0</v>
          </cell>
          <cell r="V37">
            <v>45</v>
          </cell>
          <cell r="W37">
            <v>42</v>
          </cell>
          <cell r="X37">
            <v>0</v>
          </cell>
          <cell r="Y37">
            <v>0</v>
          </cell>
          <cell r="Z37">
            <v>0</v>
          </cell>
          <cell r="AA37">
            <v>7</v>
          </cell>
          <cell r="AB37">
            <v>23</v>
          </cell>
          <cell r="AC37">
            <v>32</v>
          </cell>
          <cell r="AD37">
            <v>3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257</v>
          </cell>
          <cell r="AJ37">
            <v>57</v>
          </cell>
          <cell r="AK37">
            <v>12</v>
          </cell>
        </row>
        <row r="38">
          <cell r="C38">
            <v>350123036</v>
          </cell>
          <cell r="D38">
            <v>0</v>
          </cell>
          <cell r="E38">
            <v>0</v>
          </cell>
          <cell r="F38">
            <v>0</v>
          </cell>
          <cell r="G38">
            <v>58</v>
          </cell>
          <cell r="H38">
            <v>0</v>
          </cell>
          <cell r="I38">
            <v>0</v>
          </cell>
          <cell r="J38">
            <v>45</v>
          </cell>
          <cell r="K38">
            <v>2</v>
          </cell>
          <cell r="L38">
            <v>0</v>
          </cell>
          <cell r="M38">
            <v>6</v>
          </cell>
          <cell r="N38">
            <v>9</v>
          </cell>
          <cell r="O38">
            <v>0</v>
          </cell>
          <cell r="P38">
            <v>5</v>
          </cell>
          <cell r="Q38">
            <v>26</v>
          </cell>
          <cell r="R38">
            <v>53</v>
          </cell>
          <cell r="S38">
            <v>0</v>
          </cell>
          <cell r="T38">
            <v>0</v>
          </cell>
          <cell r="U38">
            <v>1</v>
          </cell>
          <cell r="V38">
            <v>53</v>
          </cell>
          <cell r="W38">
            <v>8</v>
          </cell>
          <cell r="X38">
            <v>0</v>
          </cell>
          <cell r="Y38">
            <v>2</v>
          </cell>
          <cell r="Z38">
            <v>0</v>
          </cell>
          <cell r="AA38">
            <v>66</v>
          </cell>
          <cell r="AB38">
            <v>2</v>
          </cell>
          <cell r="AC38">
            <v>13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349</v>
          </cell>
          <cell r="AJ38">
            <v>66</v>
          </cell>
          <cell r="AK38">
            <v>15</v>
          </cell>
        </row>
        <row r="39">
          <cell r="C39">
            <v>350123035</v>
          </cell>
          <cell r="D39">
            <v>0</v>
          </cell>
          <cell r="E39">
            <v>1</v>
          </cell>
          <cell r="F39">
            <v>5</v>
          </cell>
          <cell r="G39">
            <v>16</v>
          </cell>
          <cell r="H39">
            <v>0</v>
          </cell>
          <cell r="I39">
            <v>0</v>
          </cell>
          <cell r="J39">
            <v>28</v>
          </cell>
          <cell r="K39">
            <v>15</v>
          </cell>
          <cell r="L39">
            <v>0</v>
          </cell>
          <cell r="M39">
            <v>14</v>
          </cell>
          <cell r="N39">
            <v>7</v>
          </cell>
          <cell r="O39">
            <v>5</v>
          </cell>
          <cell r="P39">
            <v>3</v>
          </cell>
          <cell r="Q39">
            <v>1</v>
          </cell>
          <cell r="R39">
            <v>100</v>
          </cell>
          <cell r="S39">
            <v>12</v>
          </cell>
          <cell r="T39">
            <v>0</v>
          </cell>
          <cell r="U39">
            <v>0</v>
          </cell>
          <cell r="V39">
            <v>5</v>
          </cell>
          <cell r="W39">
            <v>1</v>
          </cell>
          <cell r="X39">
            <v>0</v>
          </cell>
          <cell r="Y39">
            <v>4</v>
          </cell>
          <cell r="Z39">
            <v>0</v>
          </cell>
          <cell r="AA39">
            <v>37</v>
          </cell>
          <cell r="AB39">
            <v>23</v>
          </cell>
          <cell r="AC39">
            <v>39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316</v>
          </cell>
          <cell r="AJ39">
            <v>100</v>
          </cell>
          <cell r="AK39">
            <v>18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6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2</v>
          </cell>
          <cell r="N40">
            <v>0</v>
          </cell>
          <cell r="O40">
            <v>10</v>
          </cell>
          <cell r="P40">
            <v>0</v>
          </cell>
          <cell r="Q40">
            <v>0</v>
          </cell>
          <cell r="R40">
            <v>74</v>
          </cell>
          <cell r="S40">
            <v>0</v>
          </cell>
          <cell r="T40">
            <v>0</v>
          </cell>
          <cell r="U40">
            <v>5</v>
          </cell>
          <cell r="V40">
            <v>24</v>
          </cell>
          <cell r="W40">
            <v>5</v>
          </cell>
          <cell r="X40">
            <v>0</v>
          </cell>
          <cell r="Y40">
            <v>4</v>
          </cell>
          <cell r="Z40">
            <v>0</v>
          </cell>
          <cell r="AA40">
            <v>23</v>
          </cell>
          <cell r="AB40">
            <v>20</v>
          </cell>
          <cell r="AC40">
            <v>11</v>
          </cell>
          <cell r="AD40">
            <v>36</v>
          </cell>
          <cell r="AE40">
            <v>20</v>
          </cell>
          <cell r="AF40">
            <v>0</v>
          </cell>
          <cell r="AG40">
            <v>0</v>
          </cell>
          <cell r="AH40">
            <v>0</v>
          </cell>
          <cell r="AI40">
            <v>240</v>
          </cell>
          <cell r="AJ40">
            <v>74</v>
          </cell>
          <cell r="AK40">
            <v>13</v>
          </cell>
        </row>
        <row r="41">
          <cell r="C41">
            <v>350123033</v>
          </cell>
          <cell r="D41">
            <v>0</v>
          </cell>
          <cell r="E41">
            <v>3</v>
          </cell>
          <cell r="F41">
            <v>0</v>
          </cell>
          <cell r="G41">
            <v>5</v>
          </cell>
          <cell r="H41">
            <v>15</v>
          </cell>
          <cell r="I41">
            <v>0</v>
          </cell>
          <cell r="J41">
            <v>37</v>
          </cell>
          <cell r="K41">
            <v>0</v>
          </cell>
          <cell r="L41">
            <v>0</v>
          </cell>
          <cell r="M41">
            <v>7</v>
          </cell>
          <cell r="N41">
            <v>0</v>
          </cell>
          <cell r="O41">
            <v>2.5</v>
          </cell>
          <cell r="P41">
            <v>34</v>
          </cell>
          <cell r="Q41">
            <v>31</v>
          </cell>
          <cell r="R41">
            <v>74</v>
          </cell>
          <cell r="S41">
            <v>0</v>
          </cell>
          <cell r="T41">
            <v>0</v>
          </cell>
          <cell r="U41">
            <v>0</v>
          </cell>
          <cell r="V41">
            <v>56</v>
          </cell>
          <cell r="W41">
            <v>20</v>
          </cell>
          <cell r="X41">
            <v>0</v>
          </cell>
          <cell r="Y41">
            <v>0</v>
          </cell>
          <cell r="Z41">
            <v>0</v>
          </cell>
          <cell r="AA41">
            <v>10</v>
          </cell>
          <cell r="AB41">
            <v>46.5</v>
          </cell>
          <cell r="AC41">
            <v>15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356</v>
          </cell>
          <cell r="AJ41">
            <v>74</v>
          </cell>
          <cell r="AK41">
            <v>14</v>
          </cell>
        </row>
        <row r="42">
          <cell r="C42">
            <v>350123032</v>
          </cell>
          <cell r="D42">
            <v>0</v>
          </cell>
          <cell r="E42">
            <v>9</v>
          </cell>
          <cell r="F42">
            <v>7</v>
          </cell>
          <cell r="G42">
            <v>15</v>
          </cell>
          <cell r="H42">
            <v>5</v>
          </cell>
          <cell r="I42">
            <v>0</v>
          </cell>
          <cell r="J42">
            <v>40</v>
          </cell>
          <cell r="K42">
            <v>18</v>
          </cell>
          <cell r="L42">
            <v>7</v>
          </cell>
          <cell r="M42">
            <v>35</v>
          </cell>
          <cell r="N42">
            <v>8</v>
          </cell>
          <cell r="O42">
            <v>0</v>
          </cell>
          <cell r="P42">
            <v>3</v>
          </cell>
          <cell r="Q42">
            <v>24</v>
          </cell>
          <cell r="R42">
            <v>95</v>
          </cell>
          <cell r="S42">
            <v>13</v>
          </cell>
          <cell r="T42">
            <v>0</v>
          </cell>
          <cell r="U42">
            <v>0</v>
          </cell>
          <cell r="V42">
            <v>75</v>
          </cell>
          <cell r="W42">
            <v>3</v>
          </cell>
          <cell r="X42">
            <v>6</v>
          </cell>
          <cell r="Y42">
            <v>45</v>
          </cell>
          <cell r="Z42">
            <v>0</v>
          </cell>
          <cell r="AA42">
            <v>103</v>
          </cell>
          <cell r="AB42">
            <v>0</v>
          </cell>
          <cell r="AC42">
            <v>65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576</v>
          </cell>
          <cell r="AJ42">
            <v>103</v>
          </cell>
          <cell r="AK42">
            <v>19</v>
          </cell>
        </row>
        <row r="43">
          <cell r="C43">
            <v>350123031</v>
          </cell>
          <cell r="D43">
            <v>3</v>
          </cell>
          <cell r="E43">
            <v>0</v>
          </cell>
          <cell r="F43">
            <v>0</v>
          </cell>
          <cell r="G43">
            <v>0</v>
          </cell>
          <cell r="H43">
            <v>29</v>
          </cell>
          <cell r="I43">
            <v>0</v>
          </cell>
          <cell r="J43">
            <v>30</v>
          </cell>
          <cell r="K43">
            <v>5</v>
          </cell>
          <cell r="L43">
            <v>8</v>
          </cell>
          <cell r="M43">
            <v>0</v>
          </cell>
          <cell r="N43">
            <v>23</v>
          </cell>
          <cell r="O43">
            <v>0</v>
          </cell>
          <cell r="P43">
            <v>0</v>
          </cell>
          <cell r="Q43">
            <v>14</v>
          </cell>
          <cell r="R43">
            <v>30</v>
          </cell>
          <cell r="S43">
            <v>0</v>
          </cell>
          <cell r="T43">
            <v>0</v>
          </cell>
          <cell r="U43">
            <v>0</v>
          </cell>
          <cell r="V43">
            <v>10</v>
          </cell>
          <cell r="W43">
            <v>0</v>
          </cell>
          <cell r="X43">
            <v>0</v>
          </cell>
          <cell r="Y43">
            <v>5</v>
          </cell>
          <cell r="Z43">
            <v>0</v>
          </cell>
          <cell r="AA43">
            <v>4</v>
          </cell>
          <cell r="AB43">
            <v>2</v>
          </cell>
          <cell r="AC43">
            <v>61</v>
          </cell>
          <cell r="AD43">
            <v>14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238</v>
          </cell>
          <cell r="AJ43">
            <v>61</v>
          </cell>
          <cell r="AK43">
            <v>14</v>
          </cell>
        </row>
        <row r="44">
          <cell r="C44">
            <v>350123030</v>
          </cell>
          <cell r="D44">
            <v>0</v>
          </cell>
          <cell r="E44">
            <v>0</v>
          </cell>
          <cell r="F44">
            <v>0</v>
          </cell>
          <cell r="G44">
            <v>41</v>
          </cell>
          <cell r="H44">
            <v>21</v>
          </cell>
          <cell r="I44">
            <v>0</v>
          </cell>
          <cell r="J44">
            <v>12</v>
          </cell>
          <cell r="K44">
            <v>0</v>
          </cell>
          <cell r="L44">
            <v>0</v>
          </cell>
          <cell r="M44">
            <v>8</v>
          </cell>
          <cell r="N44">
            <v>20</v>
          </cell>
          <cell r="O44">
            <v>48</v>
          </cell>
          <cell r="P44">
            <v>35</v>
          </cell>
          <cell r="Q44">
            <v>0</v>
          </cell>
          <cell r="R44">
            <v>58</v>
          </cell>
          <cell r="S44">
            <v>7</v>
          </cell>
          <cell r="T44">
            <v>0</v>
          </cell>
          <cell r="U44">
            <v>0</v>
          </cell>
          <cell r="V44">
            <v>7</v>
          </cell>
          <cell r="W44">
            <v>9</v>
          </cell>
          <cell r="X44">
            <v>0</v>
          </cell>
          <cell r="Y44">
            <v>32</v>
          </cell>
          <cell r="Z44">
            <v>0</v>
          </cell>
          <cell r="AA44">
            <v>39</v>
          </cell>
          <cell r="AB44">
            <v>60</v>
          </cell>
          <cell r="AC44">
            <v>40</v>
          </cell>
          <cell r="AD44">
            <v>2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439</v>
          </cell>
          <cell r="AJ44">
            <v>60</v>
          </cell>
          <cell r="AK44">
            <v>16</v>
          </cell>
        </row>
        <row r="45">
          <cell r="C45">
            <v>350123029</v>
          </cell>
          <cell r="D45">
            <v>0</v>
          </cell>
          <cell r="E45">
            <v>0</v>
          </cell>
          <cell r="F45">
            <v>0</v>
          </cell>
          <cell r="G45">
            <v>38</v>
          </cell>
          <cell r="H45">
            <v>0</v>
          </cell>
          <cell r="I45">
            <v>0</v>
          </cell>
          <cell r="J45">
            <v>5</v>
          </cell>
          <cell r="K45">
            <v>1</v>
          </cell>
          <cell r="L45">
            <v>0</v>
          </cell>
          <cell r="M45">
            <v>6</v>
          </cell>
          <cell r="N45">
            <v>0</v>
          </cell>
          <cell r="O45">
            <v>3</v>
          </cell>
          <cell r="P45">
            <v>0</v>
          </cell>
          <cell r="Q45">
            <v>0</v>
          </cell>
          <cell r="R45">
            <v>105</v>
          </cell>
          <cell r="S45">
            <v>0</v>
          </cell>
          <cell r="T45">
            <v>0</v>
          </cell>
          <cell r="U45">
            <v>2</v>
          </cell>
          <cell r="V45">
            <v>31</v>
          </cell>
          <cell r="W45">
            <v>3</v>
          </cell>
          <cell r="X45">
            <v>0</v>
          </cell>
          <cell r="Y45">
            <v>2</v>
          </cell>
          <cell r="Z45">
            <v>0</v>
          </cell>
          <cell r="AA45">
            <v>11</v>
          </cell>
          <cell r="AB45">
            <v>58</v>
          </cell>
          <cell r="AC45">
            <v>13</v>
          </cell>
          <cell r="AD45">
            <v>9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287</v>
          </cell>
          <cell r="AJ45">
            <v>105</v>
          </cell>
          <cell r="AK45">
            <v>14</v>
          </cell>
        </row>
        <row r="46">
          <cell r="C46">
            <v>350123028</v>
          </cell>
          <cell r="D46">
            <v>1</v>
          </cell>
          <cell r="E46">
            <v>0</v>
          </cell>
          <cell r="F46">
            <v>0</v>
          </cell>
          <cell r="G46">
            <v>7</v>
          </cell>
          <cell r="H46">
            <v>0</v>
          </cell>
          <cell r="I46">
            <v>0</v>
          </cell>
          <cell r="J46">
            <v>9</v>
          </cell>
          <cell r="K46">
            <v>1</v>
          </cell>
          <cell r="L46">
            <v>0</v>
          </cell>
          <cell r="M46">
            <v>9</v>
          </cell>
          <cell r="N46">
            <v>0</v>
          </cell>
          <cell r="O46">
            <v>0</v>
          </cell>
          <cell r="P46">
            <v>0</v>
          </cell>
          <cell r="Q46">
            <v>3</v>
          </cell>
          <cell r="R46">
            <v>92</v>
          </cell>
          <cell r="S46">
            <v>0</v>
          </cell>
          <cell r="T46">
            <v>0</v>
          </cell>
          <cell r="U46">
            <v>19</v>
          </cell>
          <cell r="V46">
            <v>3</v>
          </cell>
          <cell r="W46">
            <v>11</v>
          </cell>
          <cell r="X46">
            <v>1</v>
          </cell>
          <cell r="Y46">
            <v>2</v>
          </cell>
          <cell r="Z46">
            <v>0</v>
          </cell>
          <cell r="AA46">
            <v>21</v>
          </cell>
          <cell r="AB46">
            <v>56</v>
          </cell>
          <cell r="AC46">
            <v>10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245</v>
          </cell>
          <cell r="AJ46">
            <v>92</v>
          </cell>
          <cell r="AK46">
            <v>15</v>
          </cell>
        </row>
        <row r="47">
          <cell r="C47">
            <v>350123027</v>
          </cell>
          <cell r="D47">
            <v>0</v>
          </cell>
          <cell r="E47">
            <v>2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21</v>
          </cell>
          <cell r="K47">
            <v>19</v>
          </cell>
          <cell r="L47">
            <v>31</v>
          </cell>
          <cell r="M47">
            <v>11</v>
          </cell>
          <cell r="N47">
            <v>0</v>
          </cell>
          <cell r="O47">
            <v>0</v>
          </cell>
          <cell r="P47">
            <v>32</v>
          </cell>
          <cell r="Q47">
            <v>41</v>
          </cell>
          <cell r="R47">
            <v>43</v>
          </cell>
          <cell r="S47">
            <v>0</v>
          </cell>
          <cell r="T47">
            <v>0</v>
          </cell>
          <cell r="U47">
            <v>12</v>
          </cell>
          <cell r="V47">
            <v>8</v>
          </cell>
          <cell r="W47">
            <v>6</v>
          </cell>
          <cell r="X47">
            <v>8</v>
          </cell>
          <cell r="Y47">
            <v>40</v>
          </cell>
          <cell r="Z47">
            <v>0</v>
          </cell>
          <cell r="AA47">
            <v>49</v>
          </cell>
          <cell r="AB47">
            <v>7</v>
          </cell>
          <cell r="AC47">
            <v>56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386</v>
          </cell>
          <cell r="AJ47">
            <v>56</v>
          </cell>
          <cell r="AK47">
            <v>16</v>
          </cell>
        </row>
        <row r="48">
          <cell r="C48">
            <v>350123026</v>
          </cell>
          <cell r="D48">
            <v>0</v>
          </cell>
          <cell r="E48">
            <v>19</v>
          </cell>
          <cell r="F48">
            <v>31</v>
          </cell>
          <cell r="G48">
            <v>8</v>
          </cell>
          <cell r="H48">
            <v>4</v>
          </cell>
          <cell r="I48">
            <v>0</v>
          </cell>
          <cell r="J48">
            <v>62</v>
          </cell>
          <cell r="K48">
            <v>13</v>
          </cell>
          <cell r="L48">
            <v>12</v>
          </cell>
          <cell r="M48">
            <v>13</v>
          </cell>
          <cell r="N48">
            <v>8</v>
          </cell>
          <cell r="O48">
            <v>0</v>
          </cell>
          <cell r="P48">
            <v>16</v>
          </cell>
          <cell r="Q48">
            <v>28</v>
          </cell>
          <cell r="R48">
            <v>45</v>
          </cell>
          <cell r="S48">
            <v>2</v>
          </cell>
          <cell r="T48">
            <v>0</v>
          </cell>
          <cell r="U48">
            <v>0</v>
          </cell>
          <cell r="V48">
            <v>7</v>
          </cell>
          <cell r="W48">
            <v>3</v>
          </cell>
          <cell r="X48">
            <v>3</v>
          </cell>
          <cell r="Y48">
            <v>5</v>
          </cell>
          <cell r="Z48">
            <v>0</v>
          </cell>
          <cell r="AA48">
            <v>19</v>
          </cell>
          <cell r="AB48">
            <v>18</v>
          </cell>
          <cell r="AC48">
            <v>42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358</v>
          </cell>
          <cell r="AJ48">
            <v>62</v>
          </cell>
          <cell r="AK48">
            <v>20</v>
          </cell>
        </row>
        <row r="49">
          <cell r="C49">
            <v>350123025</v>
          </cell>
          <cell r="D49">
            <v>0</v>
          </cell>
          <cell r="E49">
            <v>0</v>
          </cell>
          <cell r="F49">
            <v>0</v>
          </cell>
          <cell r="G49">
            <v>30</v>
          </cell>
          <cell r="H49">
            <v>0</v>
          </cell>
          <cell r="I49">
            <v>0</v>
          </cell>
          <cell r="J49">
            <v>14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60</v>
          </cell>
          <cell r="S49">
            <v>0</v>
          </cell>
          <cell r="T49">
            <v>0</v>
          </cell>
          <cell r="U49">
            <v>18</v>
          </cell>
          <cell r="V49">
            <v>80</v>
          </cell>
          <cell r="W49">
            <v>38</v>
          </cell>
          <cell r="X49">
            <v>0</v>
          </cell>
          <cell r="Y49">
            <v>22</v>
          </cell>
          <cell r="Z49">
            <v>0</v>
          </cell>
          <cell r="AA49">
            <v>40</v>
          </cell>
          <cell r="AB49">
            <v>0</v>
          </cell>
          <cell r="AC49">
            <v>5</v>
          </cell>
          <cell r="AD49">
            <v>50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357</v>
          </cell>
          <cell r="AJ49">
            <v>80</v>
          </cell>
          <cell r="AK49">
            <v>10</v>
          </cell>
        </row>
        <row r="50">
          <cell r="C50">
            <v>350123024</v>
          </cell>
          <cell r="D50">
            <v>0</v>
          </cell>
          <cell r="E50">
            <v>0</v>
          </cell>
          <cell r="F50">
            <v>0</v>
          </cell>
          <cell r="G50">
            <v>10</v>
          </cell>
          <cell r="H50">
            <v>0</v>
          </cell>
          <cell r="I50">
            <v>0</v>
          </cell>
          <cell r="J50">
            <v>14</v>
          </cell>
          <cell r="K50">
            <v>27</v>
          </cell>
          <cell r="L50">
            <v>0</v>
          </cell>
          <cell r="M50">
            <v>17.5</v>
          </cell>
          <cell r="N50">
            <v>8</v>
          </cell>
          <cell r="O50">
            <v>2</v>
          </cell>
          <cell r="P50">
            <v>0</v>
          </cell>
          <cell r="Q50">
            <v>4</v>
          </cell>
          <cell r="R50">
            <v>87</v>
          </cell>
          <cell r="S50">
            <v>1</v>
          </cell>
          <cell r="T50">
            <v>0</v>
          </cell>
          <cell r="U50">
            <v>0</v>
          </cell>
          <cell r="V50">
            <v>41</v>
          </cell>
          <cell r="W50">
            <v>30</v>
          </cell>
          <cell r="X50">
            <v>10</v>
          </cell>
          <cell r="Y50">
            <v>13</v>
          </cell>
          <cell r="Z50">
            <v>0</v>
          </cell>
          <cell r="AA50">
            <v>39</v>
          </cell>
          <cell r="AB50">
            <v>2</v>
          </cell>
          <cell r="AC50">
            <v>57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362.5</v>
          </cell>
          <cell r="AJ50">
            <v>87</v>
          </cell>
          <cell r="AK50">
            <v>16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30</v>
          </cell>
          <cell r="K51">
            <v>0</v>
          </cell>
          <cell r="L51">
            <v>0</v>
          </cell>
          <cell r="M51">
            <v>14</v>
          </cell>
          <cell r="N51">
            <v>0</v>
          </cell>
          <cell r="O51">
            <v>10</v>
          </cell>
          <cell r="P51">
            <v>0</v>
          </cell>
          <cell r="Q51">
            <v>10</v>
          </cell>
          <cell r="R51">
            <v>77</v>
          </cell>
          <cell r="S51">
            <v>0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29</v>
          </cell>
          <cell r="Z51">
            <v>0</v>
          </cell>
          <cell r="AA51">
            <v>21</v>
          </cell>
          <cell r="AB51">
            <v>22</v>
          </cell>
          <cell r="AC51">
            <v>28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243</v>
          </cell>
          <cell r="AJ51">
            <v>77</v>
          </cell>
          <cell r="AK51">
            <v>10</v>
          </cell>
        </row>
        <row r="52">
          <cell r="C52">
            <v>350123022</v>
          </cell>
          <cell r="D52">
            <v>0</v>
          </cell>
          <cell r="E52">
            <v>11</v>
          </cell>
          <cell r="F52">
            <v>2</v>
          </cell>
          <cell r="G52">
            <v>43</v>
          </cell>
          <cell r="H52">
            <v>0</v>
          </cell>
          <cell r="I52">
            <v>0</v>
          </cell>
          <cell r="J52">
            <v>17</v>
          </cell>
          <cell r="K52">
            <v>7</v>
          </cell>
          <cell r="L52">
            <v>3</v>
          </cell>
          <cell r="M52">
            <v>19</v>
          </cell>
          <cell r="N52">
            <v>1</v>
          </cell>
          <cell r="O52">
            <v>0</v>
          </cell>
          <cell r="P52">
            <v>0</v>
          </cell>
          <cell r="Q52">
            <v>26</v>
          </cell>
          <cell r="R52">
            <v>54</v>
          </cell>
          <cell r="S52">
            <v>0</v>
          </cell>
          <cell r="T52">
            <v>0</v>
          </cell>
          <cell r="U52">
            <v>0</v>
          </cell>
          <cell r="V52">
            <v>11</v>
          </cell>
          <cell r="W52">
            <v>27</v>
          </cell>
          <cell r="X52">
            <v>0</v>
          </cell>
          <cell r="Y52">
            <v>2</v>
          </cell>
          <cell r="Z52">
            <v>0</v>
          </cell>
          <cell r="AA52">
            <v>17</v>
          </cell>
          <cell r="AB52">
            <v>32</v>
          </cell>
          <cell r="AC52">
            <v>51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323</v>
          </cell>
          <cell r="AJ52">
            <v>54</v>
          </cell>
          <cell r="AK52">
            <v>16</v>
          </cell>
        </row>
        <row r="53">
          <cell r="C53">
            <v>350123021</v>
          </cell>
          <cell r="D53">
            <v>0</v>
          </cell>
          <cell r="E53">
            <v>14</v>
          </cell>
          <cell r="F53">
            <v>0</v>
          </cell>
          <cell r="G53">
            <v>4</v>
          </cell>
          <cell r="H53">
            <v>9</v>
          </cell>
          <cell r="I53">
            <v>0</v>
          </cell>
          <cell r="J53">
            <v>16</v>
          </cell>
          <cell r="K53">
            <v>7</v>
          </cell>
          <cell r="L53">
            <v>13</v>
          </cell>
          <cell r="M53">
            <v>18</v>
          </cell>
          <cell r="N53">
            <v>0</v>
          </cell>
          <cell r="O53">
            <v>0</v>
          </cell>
          <cell r="P53">
            <v>14</v>
          </cell>
          <cell r="Q53">
            <v>0</v>
          </cell>
          <cell r="R53">
            <v>93</v>
          </cell>
          <cell r="S53">
            <v>3</v>
          </cell>
          <cell r="T53">
            <v>0</v>
          </cell>
          <cell r="U53">
            <v>2</v>
          </cell>
          <cell r="V53">
            <v>3</v>
          </cell>
          <cell r="W53">
            <v>11</v>
          </cell>
          <cell r="X53">
            <v>16</v>
          </cell>
          <cell r="Y53">
            <v>19</v>
          </cell>
          <cell r="Z53">
            <v>0</v>
          </cell>
          <cell r="AA53">
            <v>42</v>
          </cell>
          <cell r="AB53">
            <v>13</v>
          </cell>
          <cell r="AC53">
            <v>63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360</v>
          </cell>
          <cell r="AJ53">
            <v>93</v>
          </cell>
          <cell r="AK53">
            <v>18</v>
          </cell>
        </row>
        <row r="54">
          <cell r="C54">
            <v>350123020</v>
          </cell>
          <cell r="D54">
            <v>0</v>
          </cell>
          <cell r="E54">
            <v>0</v>
          </cell>
          <cell r="F54">
            <v>0</v>
          </cell>
          <cell r="G54">
            <v>7</v>
          </cell>
          <cell r="H54">
            <v>0</v>
          </cell>
          <cell r="I54">
            <v>0</v>
          </cell>
          <cell r="J54">
            <v>27</v>
          </cell>
          <cell r="K54">
            <v>0</v>
          </cell>
          <cell r="L54">
            <v>0</v>
          </cell>
          <cell r="M54">
            <v>7</v>
          </cell>
          <cell r="N54">
            <v>3</v>
          </cell>
          <cell r="O54">
            <v>0</v>
          </cell>
          <cell r="P54">
            <v>0</v>
          </cell>
          <cell r="Q54">
            <v>2</v>
          </cell>
          <cell r="R54">
            <v>43</v>
          </cell>
          <cell r="S54">
            <v>0</v>
          </cell>
          <cell r="T54">
            <v>0</v>
          </cell>
          <cell r="U54">
            <v>0</v>
          </cell>
          <cell r="V54">
            <v>7</v>
          </cell>
          <cell r="W54">
            <v>1</v>
          </cell>
          <cell r="X54">
            <v>0</v>
          </cell>
          <cell r="Y54">
            <v>34</v>
          </cell>
          <cell r="Z54">
            <v>0</v>
          </cell>
          <cell r="AA54">
            <v>38</v>
          </cell>
          <cell r="AB54">
            <v>79</v>
          </cell>
          <cell r="AC54">
            <v>34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282</v>
          </cell>
          <cell r="AJ54">
            <v>79</v>
          </cell>
          <cell r="AK54">
            <v>12</v>
          </cell>
        </row>
        <row r="55">
          <cell r="C55">
            <v>350123019</v>
          </cell>
          <cell r="D55">
            <v>0</v>
          </cell>
          <cell r="E55">
            <v>0</v>
          </cell>
          <cell r="F55">
            <v>0</v>
          </cell>
          <cell r="G55">
            <v>3</v>
          </cell>
          <cell r="H55">
            <v>16</v>
          </cell>
          <cell r="I55">
            <v>0</v>
          </cell>
          <cell r="J55">
            <v>6</v>
          </cell>
          <cell r="K55">
            <v>37</v>
          </cell>
          <cell r="L55">
            <v>4</v>
          </cell>
          <cell r="M55">
            <v>24</v>
          </cell>
          <cell r="N55">
            <v>4.5</v>
          </cell>
          <cell r="O55">
            <v>7</v>
          </cell>
          <cell r="P55">
            <v>4</v>
          </cell>
          <cell r="Q55">
            <v>0</v>
          </cell>
          <cell r="R55">
            <v>64</v>
          </cell>
          <cell r="S55">
            <v>1</v>
          </cell>
          <cell r="T55">
            <v>0</v>
          </cell>
          <cell r="U55">
            <v>0</v>
          </cell>
          <cell r="V55">
            <v>3</v>
          </cell>
          <cell r="W55">
            <v>2</v>
          </cell>
          <cell r="X55">
            <v>11</v>
          </cell>
          <cell r="Y55">
            <v>56</v>
          </cell>
          <cell r="Z55">
            <v>0</v>
          </cell>
          <cell r="AA55">
            <v>59</v>
          </cell>
          <cell r="AB55">
            <v>39</v>
          </cell>
          <cell r="AC55">
            <v>48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388.5</v>
          </cell>
          <cell r="AJ55">
            <v>64</v>
          </cell>
          <cell r="AK55">
            <v>18</v>
          </cell>
        </row>
        <row r="56">
          <cell r="C56">
            <v>350123018</v>
          </cell>
          <cell r="D56">
            <v>0</v>
          </cell>
          <cell r="E56">
            <v>0</v>
          </cell>
          <cell r="F56">
            <v>0</v>
          </cell>
          <cell r="G56">
            <v>24</v>
          </cell>
          <cell r="H56">
            <v>2</v>
          </cell>
          <cell r="I56">
            <v>6</v>
          </cell>
          <cell r="J56">
            <v>25</v>
          </cell>
          <cell r="K56">
            <v>66</v>
          </cell>
          <cell r="L56">
            <v>3</v>
          </cell>
          <cell r="M56">
            <v>33</v>
          </cell>
          <cell r="N56">
            <v>2</v>
          </cell>
          <cell r="O56">
            <v>13</v>
          </cell>
          <cell r="P56">
            <v>45</v>
          </cell>
          <cell r="Q56">
            <v>6</v>
          </cell>
          <cell r="R56">
            <v>55</v>
          </cell>
          <cell r="S56">
            <v>5</v>
          </cell>
          <cell r="T56">
            <v>0</v>
          </cell>
          <cell r="U56">
            <v>0</v>
          </cell>
          <cell r="V56">
            <v>2</v>
          </cell>
          <cell r="W56">
            <v>3</v>
          </cell>
          <cell r="X56">
            <v>0</v>
          </cell>
          <cell r="Y56">
            <v>34</v>
          </cell>
          <cell r="Z56">
            <v>0</v>
          </cell>
          <cell r="AA56">
            <v>57</v>
          </cell>
          <cell r="AB56">
            <v>76</v>
          </cell>
          <cell r="AC56">
            <v>41</v>
          </cell>
          <cell r="AD56">
            <v>2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500</v>
          </cell>
          <cell r="AJ56">
            <v>76</v>
          </cell>
          <cell r="AK56">
            <v>20</v>
          </cell>
        </row>
        <row r="57">
          <cell r="C57">
            <v>350123017</v>
          </cell>
          <cell r="D57">
            <v>0</v>
          </cell>
          <cell r="E57">
            <v>0</v>
          </cell>
          <cell r="F57">
            <v>0</v>
          </cell>
          <cell r="G57">
            <v>23</v>
          </cell>
          <cell r="H57">
            <v>0</v>
          </cell>
          <cell r="I57">
            <v>0</v>
          </cell>
          <cell r="J57">
            <v>126</v>
          </cell>
          <cell r="K57">
            <v>0</v>
          </cell>
          <cell r="L57">
            <v>0</v>
          </cell>
          <cell r="M57">
            <v>16</v>
          </cell>
          <cell r="N57">
            <v>4</v>
          </cell>
          <cell r="O57">
            <v>0</v>
          </cell>
          <cell r="P57">
            <v>0</v>
          </cell>
          <cell r="Q57">
            <v>71</v>
          </cell>
          <cell r="R57">
            <v>87</v>
          </cell>
          <cell r="S57">
            <v>0</v>
          </cell>
          <cell r="T57">
            <v>0</v>
          </cell>
          <cell r="U57">
            <v>0</v>
          </cell>
          <cell r="V57">
            <v>10</v>
          </cell>
          <cell r="W57">
            <v>5</v>
          </cell>
          <cell r="X57">
            <v>0</v>
          </cell>
          <cell r="Y57">
            <v>10</v>
          </cell>
          <cell r="Z57">
            <v>0</v>
          </cell>
          <cell r="AA57">
            <v>97</v>
          </cell>
          <cell r="AB57">
            <v>1</v>
          </cell>
          <cell r="AC57">
            <v>23</v>
          </cell>
          <cell r="AD57">
            <v>6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479</v>
          </cell>
          <cell r="AJ57">
            <v>126</v>
          </cell>
          <cell r="AK57">
            <v>13</v>
          </cell>
        </row>
        <row r="58">
          <cell r="C58">
            <v>350123016</v>
          </cell>
          <cell r="D58">
            <v>0</v>
          </cell>
          <cell r="E58">
            <v>0</v>
          </cell>
          <cell r="F58">
            <v>14</v>
          </cell>
          <cell r="G58">
            <v>22</v>
          </cell>
          <cell r="H58">
            <v>0</v>
          </cell>
          <cell r="I58">
            <v>0</v>
          </cell>
          <cell r="J58">
            <v>13</v>
          </cell>
          <cell r="K58">
            <v>9.5</v>
          </cell>
          <cell r="L58">
            <v>0</v>
          </cell>
          <cell r="M58">
            <v>9.5</v>
          </cell>
          <cell r="N58">
            <v>49</v>
          </cell>
          <cell r="O58">
            <v>1</v>
          </cell>
          <cell r="P58">
            <v>0</v>
          </cell>
          <cell r="Q58">
            <v>5.5</v>
          </cell>
          <cell r="R58">
            <v>55</v>
          </cell>
          <cell r="S58">
            <v>0</v>
          </cell>
          <cell r="T58">
            <v>0</v>
          </cell>
          <cell r="U58">
            <v>0</v>
          </cell>
          <cell r="V58">
            <v>47</v>
          </cell>
          <cell r="W58">
            <v>0</v>
          </cell>
          <cell r="X58">
            <v>2</v>
          </cell>
          <cell r="Y58">
            <v>29</v>
          </cell>
          <cell r="Z58">
            <v>0</v>
          </cell>
          <cell r="AA58">
            <v>25</v>
          </cell>
          <cell r="AB58">
            <v>1</v>
          </cell>
          <cell r="AC58">
            <v>80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362.5</v>
          </cell>
          <cell r="AJ58">
            <v>80</v>
          </cell>
          <cell r="AK58">
            <v>15</v>
          </cell>
        </row>
        <row r="59">
          <cell r="C59">
            <v>350123015</v>
          </cell>
          <cell r="D59">
            <v>0</v>
          </cell>
          <cell r="E59">
            <v>0</v>
          </cell>
          <cell r="F59">
            <v>0</v>
          </cell>
          <cell r="G59">
            <v>12</v>
          </cell>
          <cell r="H59">
            <v>2</v>
          </cell>
          <cell r="I59">
            <v>0</v>
          </cell>
          <cell r="J59">
            <v>37</v>
          </cell>
          <cell r="K59">
            <v>27</v>
          </cell>
          <cell r="L59">
            <v>8</v>
          </cell>
          <cell r="M59">
            <v>25</v>
          </cell>
          <cell r="N59">
            <v>0</v>
          </cell>
          <cell r="O59">
            <v>0</v>
          </cell>
          <cell r="P59">
            <v>17</v>
          </cell>
          <cell r="Q59">
            <v>2</v>
          </cell>
          <cell r="R59">
            <v>43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2</v>
          </cell>
          <cell r="X59">
            <v>0</v>
          </cell>
          <cell r="Y59">
            <v>33</v>
          </cell>
          <cell r="Z59">
            <v>0</v>
          </cell>
          <cell r="AA59">
            <v>29</v>
          </cell>
          <cell r="AB59">
            <v>38</v>
          </cell>
          <cell r="AC59">
            <v>17</v>
          </cell>
          <cell r="AD59">
            <v>3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295</v>
          </cell>
          <cell r="AJ59">
            <v>43</v>
          </cell>
          <cell r="AK59">
            <v>15</v>
          </cell>
        </row>
        <row r="60">
          <cell r="C60">
            <v>350123014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7</v>
          </cell>
          <cell r="I60">
            <v>0</v>
          </cell>
          <cell r="J60">
            <v>18</v>
          </cell>
          <cell r="K60">
            <v>46</v>
          </cell>
          <cell r="L60">
            <v>6</v>
          </cell>
          <cell r="M60">
            <v>38</v>
          </cell>
          <cell r="N60">
            <v>16</v>
          </cell>
          <cell r="O60">
            <v>0</v>
          </cell>
          <cell r="P60">
            <v>0</v>
          </cell>
          <cell r="Q60">
            <v>0</v>
          </cell>
          <cell r="R60">
            <v>26</v>
          </cell>
          <cell r="S60">
            <v>16</v>
          </cell>
          <cell r="T60">
            <v>0</v>
          </cell>
          <cell r="U60">
            <v>0</v>
          </cell>
          <cell r="V60">
            <v>16</v>
          </cell>
          <cell r="W60">
            <v>0</v>
          </cell>
          <cell r="X60">
            <v>0</v>
          </cell>
          <cell r="Y60">
            <v>36</v>
          </cell>
          <cell r="Z60">
            <v>0</v>
          </cell>
          <cell r="AA60">
            <v>56</v>
          </cell>
          <cell r="AB60">
            <v>64</v>
          </cell>
          <cell r="AC60">
            <v>14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359</v>
          </cell>
          <cell r="AJ60">
            <v>64</v>
          </cell>
          <cell r="AK60">
            <v>13</v>
          </cell>
        </row>
        <row r="61">
          <cell r="C61">
            <v>350123013</v>
          </cell>
          <cell r="D61">
            <v>0</v>
          </cell>
          <cell r="E61">
            <v>3</v>
          </cell>
          <cell r="F61">
            <v>0</v>
          </cell>
          <cell r="G61">
            <v>32</v>
          </cell>
          <cell r="H61">
            <v>0</v>
          </cell>
          <cell r="I61">
            <v>0</v>
          </cell>
          <cell r="J61">
            <v>16</v>
          </cell>
          <cell r="K61">
            <v>0</v>
          </cell>
          <cell r="L61">
            <v>7</v>
          </cell>
          <cell r="M61">
            <v>12</v>
          </cell>
          <cell r="N61">
            <v>11</v>
          </cell>
          <cell r="O61">
            <v>2</v>
          </cell>
          <cell r="P61">
            <v>2</v>
          </cell>
          <cell r="Q61">
            <v>52</v>
          </cell>
          <cell r="R61">
            <v>41</v>
          </cell>
          <cell r="S61">
            <v>0</v>
          </cell>
          <cell r="T61">
            <v>0</v>
          </cell>
          <cell r="U61">
            <v>0</v>
          </cell>
          <cell r="V61">
            <v>20</v>
          </cell>
          <cell r="W61">
            <v>13</v>
          </cell>
          <cell r="X61">
            <v>0</v>
          </cell>
          <cell r="Y61">
            <v>5</v>
          </cell>
          <cell r="Z61">
            <v>0</v>
          </cell>
          <cell r="AA61">
            <v>0</v>
          </cell>
          <cell r="AB61">
            <v>7</v>
          </cell>
          <cell r="AC61">
            <v>69</v>
          </cell>
          <cell r="AD61">
            <v>2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294</v>
          </cell>
          <cell r="AJ61">
            <v>69</v>
          </cell>
          <cell r="AK61">
            <v>16</v>
          </cell>
        </row>
        <row r="62">
          <cell r="C62">
            <v>350123012</v>
          </cell>
          <cell r="D62">
            <v>0</v>
          </cell>
          <cell r="E62">
            <v>0</v>
          </cell>
          <cell r="F62">
            <v>0</v>
          </cell>
          <cell r="G62">
            <v>59</v>
          </cell>
          <cell r="H62">
            <v>0</v>
          </cell>
          <cell r="I62">
            <v>0</v>
          </cell>
          <cell r="J62">
            <v>31</v>
          </cell>
          <cell r="K62">
            <v>0</v>
          </cell>
          <cell r="L62">
            <v>0</v>
          </cell>
          <cell r="M62">
            <v>11</v>
          </cell>
          <cell r="N62">
            <v>7</v>
          </cell>
          <cell r="O62">
            <v>0</v>
          </cell>
          <cell r="P62">
            <v>0</v>
          </cell>
          <cell r="Q62">
            <v>21</v>
          </cell>
          <cell r="R62">
            <v>79</v>
          </cell>
          <cell r="S62">
            <v>0</v>
          </cell>
          <cell r="T62">
            <v>0</v>
          </cell>
          <cell r="U62">
            <v>13</v>
          </cell>
          <cell r="V62">
            <v>40</v>
          </cell>
          <cell r="W62">
            <v>3</v>
          </cell>
          <cell r="X62">
            <v>0</v>
          </cell>
          <cell r="Y62">
            <v>15</v>
          </cell>
          <cell r="Z62">
            <v>0</v>
          </cell>
          <cell r="AA62">
            <v>85</v>
          </cell>
          <cell r="AB62">
            <v>14</v>
          </cell>
          <cell r="AC62">
            <v>16</v>
          </cell>
          <cell r="AD62">
            <v>10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404</v>
          </cell>
          <cell r="AJ62">
            <v>85</v>
          </cell>
          <cell r="AK62">
            <v>14</v>
          </cell>
        </row>
        <row r="63">
          <cell r="C63">
            <v>350123011</v>
          </cell>
          <cell r="D63">
            <v>0</v>
          </cell>
          <cell r="E63">
            <v>0</v>
          </cell>
          <cell r="F63">
            <v>0</v>
          </cell>
          <cell r="G63">
            <v>3</v>
          </cell>
          <cell r="H63">
            <v>0</v>
          </cell>
          <cell r="I63">
            <v>0</v>
          </cell>
          <cell r="J63">
            <v>47</v>
          </cell>
          <cell r="K63">
            <v>0</v>
          </cell>
          <cell r="L63">
            <v>0</v>
          </cell>
          <cell r="M63">
            <v>7</v>
          </cell>
          <cell r="N63">
            <v>0</v>
          </cell>
          <cell r="O63">
            <v>10</v>
          </cell>
          <cell r="P63">
            <v>0</v>
          </cell>
          <cell r="Q63">
            <v>3</v>
          </cell>
          <cell r="R63">
            <v>54</v>
          </cell>
          <cell r="S63">
            <v>0</v>
          </cell>
          <cell r="T63">
            <v>0</v>
          </cell>
          <cell r="U63">
            <v>1</v>
          </cell>
          <cell r="V63">
            <v>52</v>
          </cell>
          <cell r="W63">
            <v>12</v>
          </cell>
          <cell r="X63">
            <v>0</v>
          </cell>
          <cell r="Y63">
            <v>2</v>
          </cell>
          <cell r="Z63">
            <v>0</v>
          </cell>
          <cell r="AA63">
            <v>41</v>
          </cell>
          <cell r="AB63">
            <v>30</v>
          </cell>
          <cell r="AC63">
            <v>42</v>
          </cell>
          <cell r="AD63">
            <v>34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338</v>
          </cell>
          <cell r="AJ63">
            <v>54</v>
          </cell>
          <cell r="AK63">
            <v>14</v>
          </cell>
        </row>
        <row r="64">
          <cell r="C64">
            <v>350123010</v>
          </cell>
          <cell r="D64">
            <v>0</v>
          </cell>
          <cell r="E64">
            <v>3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24</v>
          </cell>
          <cell r="K64">
            <v>33</v>
          </cell>
          <cell r="L64">
            <v>10</v>
          </cell>
          <cell r="M64">
            <v>32</v>
          </cell>
          <cell r="N64">
            <v>0</v>
          </cell>
          <cell r="O64">
            <v>6</v>
          </cell>
          <cell r="P64">
            <v>28</v>
          </cell>
          <cell r="Q64">
            <v>4</v>
          </cell>
          <cell r="R64">
            <v>34</v>
          </cell>
          <cell r="S64">
            <v>4</v>
          </cell>
          <cell r="T64">
            <v>0</v>
          </cell>
          <cell r="U64">
            <v>0</v>
          </cell>
          <cell r="V64">
            <v>0</v>
          </cell>
          <cell r="W64">
            <v>2</v>
          </cell>
          <cell r="X64">
            <v>0</v>
          </cell>
          <cell r="Y64">
            <v>26</v>
          </cell>
          <cell r="Z64">
            <v>0</v>
          </cell>
          <cell r="AA64">
            <v>35</v>
          </cell>
          <cell r="AB64">
            <v>37</v>
          </cell>
          <cell r="AC64">
            <v>32</v>
          </cell>
          <cell r="AD64">
            <v>2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312</v>
          </cell>
          <cell r="AJ64">
            <v>37</v>
          </cell>
          <cell r="AK64">
            <v>16</v>
          </cell>
        </row>
        <row r="65">
          <cell r="C65">
            <v>350123009</v>
          </cell>
          <cell r="D65">
            <v>4</v>
          </cell>
          <cell r="E65">
            <v>0</v>
          </cell>
          <cell r="F65">
            <v>5</v>
          </cell>
          <cell r="G65">
            <v>53</v>
          </cell>
          <cell r="H65">
            <v>0</v>
          </cell>
          <cell r="I65">
            <v>0</v>
          </cell>
          <cell r="J65">
            <v>86</v>
          </cell>
          <cell r="K65">
            <v>0</v>
          </cell>
          <cell r="L65">
            <v>0</v>
          </cell>
          <cell r="M65">
            <v>26.5</v>
          </cell>
          <cell r="N65">
            <v>18.5</v>
          </cell>
          <cell r="O65">
            <v>3</v>
          </cell>
          <cell r="P65">
            <v>2.5</v>
          </cell>
          <cell r="Q65">
            <v>9</v>
          </cell>
          <cell r="R65">
            <v>68</v>
          </cell>
          <cell r="S65">
            <v>0</v>
          </cell>
          <cell r="T65">
            <v>0</v>
          </cell>
          <cell r="U65">
            <v>2</v>
          </cell>
          <cell r="V65">
            <v>3</v>
          </cell>
          <cell r="W65">
            <v>3</v>
          </cell>
          <cell r="X65">
            <v>0</v>
          </cell>
          <cell r="Y65">
            <v>37</v>
          </cell>
          <cell r="Z65">
            <v>0</v>
          </cell>
          <cell r="AA65">
            <v>37</v>
          </cell>
          <cell r="AB65">
            <v>0</v>
          </cell>
          <cell r="AC65">
            <v>24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381.5</v>
          </cell>
          <cell r="AJ65">
            <v>86</v>
          </cell>
          <cell r="AK65">
            <v>16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39</v>
          </cell>
          <cell r="G66">
            <v>0</v>
          </cell>
          <cell r="H66">
            <v>0</v>
          </cell>
          <cell r="I66">
            <v>0</v>
          </cell>
          <cell r="J66">
            <v>58</v>
          </cell>
          <cell r="K66">
            <v>0</v>
          </cell>
          <cell r="L66">
            <v>0</v>
          </cell>
          <cell r="M66">
            <v>0</v>
          </cell>
          <cell r="N66">
            <v>16</v>
          </cell>
          <cell r="O66">
            <v>16</v>
          </cell>
          <cell r="P66">
            <v>9</v>
          </cell>
          <cell r="Q66">
            <v>20</v>
          </cell>
          <cell r="R66">
            <v>75</v>
          </cell>
          <cell r="S66">
            <v>0</v>
          </cell>
          <cell r="T66">
            <v>0</v>
          </cell>
          <cell r="U66">
            <v>0</v>
          </cell>
          <cell r="V66">
            <v>54</v>
          </cell>
          <cell r="W66">
            <v>2</v>
          </cell>
          <cell r="X66">
            <v>0</v>
          </cell>
          <cell r="Y66">
            <v>21</v>
          </cell>
          <cell r="Z66">
            <v>0</v>
          </cell>
          <cell r="AA66">
            <v>78</v>
          </cell>
          <cell r="AB66">
            <v>3</v>
          </cell>
          <cell r="AC66">
            <v>12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403</v>
          </cell>
          <cell r="AJ66">
            <v>78</v>
          </cell>
          <cell r="AK66">
            <v>13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5</v>
          </cell>
          <cell r="H67">
            <v>0</v>
          </cell>
          <cell r="I67">
            <v>0</v>
          </cell>
          <cell r="J67">
            <v>16</v>
          </cell>
          <cell r="K67">
            <v>0</v>
          </cell>
          <cell r="L67">
            <v>0</v>
          </cell>
          <cell r="M67">
            <v>13</v>
          </cell>
          <cell r="N67">
            <v>0</v>
          </cell>
          <cell r="O67">
            <v>1</v>
          </cell>
          <cell r="P67">
            <v>0</v>
          </cell>
          <cell r="Q67">
            <v>4</v>
          </cell>
          <cell r="R67">
            <v>40</v>
          </cell>
          <cell r="S67">
            <v>0</v>
          </cell>
          <cell r="T67">
            <v>0</v>
          </cell>
          <cell r="U67">
            <v>17</v>
          </cell>
          <cell r="V67">
            <v>53</v>
          </cell>
          <cell r="W67">
            <v>6</v>
          </cell>
          <cell r="X67">
            <v>0</v>
          </cell>
          <cell r="Y67">
            <v>35</v>
          </cell>
          <cell r="Z67">
            <v>0</v>
          </cell>
          <cell r="AA67">
            <v>43</v>
          </cell>
          <cell r="AB67">
            <v>11</v>
          </cell>
          <cell r="AC67">
            <v>20</v>
          </cell>
          <cell r="AD67">
            <v>15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279</v>
          </cell>
          <cell r="AJ67">
            <v>53</v>
          </cell>
          <cell r="AK67">
            <v>14</v>
          </cell>
        </row>
        <row r="68">
          <cell r="C68">
            <v>350123006</v>
          </cell>
          <cell r="D68">
            <v>0</v>
          </cell>
          <cell r="E68">
            <v>2</v>
          </cell>
          <cell r="F68">
            <v>0</v>
          </cell>
          <cell r="G68">
            <v>11</v>
          </cell>
          <cell r="H68">
            <v>3</v>
          </cell>
          <cell r="I68">
            <v>0</v>
          </cell>
          <cell r="J68">
            <v>38</v>
          </cell>
          <cell r="K68">
            <v>21</v>
          </cell>
          <cell r="L68">
            <v>0</v>
          </cell>
          <cell r="M68">
            <v>20</v>
          </cell>
          <cell r="N68">
            <v>5</v>
          </cell>
          <cell r="O68">
            <v>24</v>
          </cell>
          <cell r="P68">
            <v>0</v>
          </cell>
          <cell r="Q68">
            <v>0</v>
          </cell>
          <cell r="R68">
            <v>54</v>
          </cell>
          <cell r="S68">
            <v>0</v>
          </cell>
          <cell r="T68">
            <v>0</v>
          </cell>
          <cell r="U68">
            <v>0</v>
          </cell>
          <cell r="V68">
            <v>10</v>
          </cell>
          <cell r="W68">
            <v>3</v>
          </cell>
          <cell r="X68">
            <v>0</v>
          </cell>
          <cell r="Y68">
            <v>41</v>
          </cell>
          <cell r="Z68">
            <v>0</v>
          </cell>
          <cell r="AA68">
            <v>62</v>
          </cell>
          <cell r="AB68">
            <v>2</v>
          </cell>
          <cell r="AC68">
            <v>24</v>
          </cell>
          <cell r="AD68">
            <v>5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325</v>
          </cell>
          <cell r="AJ68">
            <v>62</v>
          </cell>
          <cell r="AK68">
            <v>16</v>
          </cell>
        </row>
        <row r="69">
          <cell r="C69">
            <v>350123005</v>
          </cell>
          <cell r="D69">
            <v>0</v>
          </cell>
          <cell r="E69">
            <v>1</v>
          </cell>
          <cell r="F69">
            <v>2</v>
          </cell>
          <cell r="G69">
            <v>2</v>
          </cell>
          <cell r="H69">
            <v>4</v>
          </cell>
          <cell r="I69">
            <v>0</v>
          </cell>
          <cell r="J69">
            <v>33</v>
          </cell>
          <cell r="K69">
            <v>0</v>
          </cell>
          <cell r="L69">
            <v>0</v>
          </cell>
          <cell r="M69">
            <v>4</v>
          </cell>
          <cell r="N69">
            <v>4</v>
          </cell>
          <cell r="O69">
            <v>6</v>
          </cell>
          <cell r="P69">
            <v>50</v>
          </cell>
          <cell r="Q69">
            <v>13</v>
          </cell>
          <cell r="R69">
            <v>79</v>
          </cell>
          <cell r="S69">
            <v>0</v>
          </cell>
          <cell r="T69">
            <v>0</v>
          </cell>
          <cell r="U69">
            <v>0</v>
          </cell>
          <cell r="V69">
            <v>69</v>
          </cell>
          <cell r="W69">
            <v>3</v>
          </cell>
          <cell r="X69">
            <v>0</v>
          </cell>
          <cell r="Y69">
            <v>5</v>
          </cell>
          <cell r="Z69">
            <v>0</v>
          </cell>
          <cell r="AA69">
            <v>62</v>
          </cell>
          <cell r="AB69">
            <v>21</v>
          </cell>
          <cell r="AC69">
            <v>19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377</v>
          </cell>
          <cell r="AJ69">
            <v>79</v>
          </cell>
          <cell r="AK69">
            <v>17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14</v>
          </cell>
          <cell r="H70">
            <v>0</v>
          </cell>
          <cell r="I70">
            <v>0</v>
          </cell>
          <cell r="J70">
            <v>41</v>
          </cell>
          <cell r="K70">
            <v>0</v>
          </cell>
          <cell r="L70">
            <v>0</v>
          </cell>
          <cell r="M70">
            <v>16</v>
          </cell>
          <cell r="N70">
            <v>0</v>
          </cell>
          <cell r="O70">
            <v>0</v>
          </cell>
          <cell r="P70">
            <v>0</v>
          </cell>
          <cell r="Q70">
            <v>36</v>
          </cell>
          <cell r="R70">
            <v>99</v>
          </cell>
          <cell r="S70">
            <v>0</v>
          </cell>
          <cell r="T70">
            <v>0</v>
          </cell>
          <cell r="U70">
            <v>0</v>
          </cell>
          <cell r="V70">
            <v>9</v>
          </cell>
          <cell r="W70">
            <v>2</v>
          </cell>
          <cell r="X70">
            <v>0</v>
          </cell>
          <cell r="Y70">
            <v>11</v>
          </cell>
          <cell r="Z70">
            <v>0</v>
          </cell>
          <cell r="AA70">
            <v>57</v>
          </cell>
          <cell r="AB70">
            <v>3</v>
          </cell>
          <cell r="AC70">
            <v>8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296</v>
          </cell>
          <cell r="AJ70">
            <v>99</v>
          </cell>
          <cell r="AK70">
            <v>11</v>
          </cell>
        </row>
        <row r="71">
          <cell r="C71">
            <v>350123003</v>
          </cell>
          <cell r="D71">
            <v>0</v>
          </cell>
          <cell r="E71">
            <v>0</v>
          </cell>
          <cell r="F71">
            <v>0</v>
          </cell>
          <cell r="G71">
            <v>17</v>
          </cell>
          <cell r="H71"/>
          <cell r="I71"/>
          <cell r="J71">
            <v>48</v>
          </cell>
          <cell r="K71">
            <v>0</v>
          </cell>
          <cell r="L71">
            <v>0</v>
          </cell>
          <cell r="M71">
            <v>10</v>
          </cell>
          <cell r="N71">
            <v>0</v>
          </cell>
          <cell r="O71">
            <v>0</v>
          </cell>
          <cell r="P71">
            <v>0</v>
          </cell>
          <cell r="Q71">
            <v>20</v>
          </cell>
          <cell r="R71">
            <v>71</v>
          </cell>
          <cell r="S71">
            <v>0</v>
          </cell>
          <cell r="T71">
            <v>0</v>
          </cell>
          <cell r="U71">
            <v>11</v>
          </cell>
          <cell r="V71">
            <v>0</v>
          </cell>
          <cell r="W71">
            <v>2</v>
          </cell>
          <cell r="X71">
            <v>0</v>
          </cell>
          <cell r="Y71">
            <v>13</v>
          </cell>
          <cell r="Z71">
            <v>0</v>
          </cell>
          <cell r="AA71">
            <v>72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264</v>
          </cell>
          <cell r="AJ71">
            <v>72</v>
          </cell>
          <cell r="AK71">
            <v>9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18</v>
          </cell>
          <cell r="G72">
            <v>11</v>
          </cell>
          <cell r="H72">
            <v>0</v>
          </cell>
          <cell r="I72">
            <v>0</v>
          </cell>
          <cell r="J72">
            <v>6</v>
          </cell>
          <cell r="K72">
            <v>0</v>
          </cell>
          <cell r="L72">
            <v>0</v>
          </cell>
          <cell r="M72">
            <v>6</v>
          </cell>
          <cell r="N72">
            <v>3</v>
          </cell>
          <cell r="O72">
            <v>0</v>
          </cell>
          <cell r="P72">
            <v>0</v>
          </cell>
          <cell r="Q72">
            <v>4</v>
          </cell>
          <cell r="R72">
            <v>32</v>
          </cell>
          <cell r="S72">
            <v>0</v>
          </cell>
          <cell r="T72">
            <v>0</v>
          </cell>
          <cell r="U72">
            <v>41</v>
          </cell>
          <cell r="V72">
            <v>0</v>
          </cell>
          <cell r="W72">
            <v>6</v>
          </cell>
          <cell r="X72">
            <v>0</v>
          </cell>
          <cell r="Y72">
            <v>7</v>
          </cell>
          <cell r="Z72">
            <v>0</v>
          </cell>
          <cell r="AA72">
            <v>21</v>
          </cell>
          <cell r="AB72">
            <v>3</v>
          </cell>
          <cell r="AC72">
            <v>4</v>
          </cell>
          <cell r="AD72">
            <v>13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175</v>
          </cell>
          <cell r="AJ72">
            <v>41</v>
          </cell>
          <cell r="AK72">
            <v>14</v>
          </cell>
        </row>
        <row r="73">
          <cell r="C73">
            <v>350123001</v>
          </cell>
          <cell r="D73">
            <v>0</v>
          </cell>
          <cell r="E73">
            <v>0</v>
          </cell>
          <cell r="F73">
            <v>28</v>
          </cell>
          <cell r="G73">
            <v>56</v>
          </cell>
          <cell r="H73">
            <v>0</v>
          </cell>
          <cell r="I73">
            <v>0</v>
          </cell>
          <cell r="J73">
            <v>31</v>
          </cell>
          <cell r="K73">
            <v>16</v>
          </cell>
          <cell r="L73">
            <v>0</v>
          </cell>
          <cell r="M73">
            <v>28</v>
          </cell>
          <cell r="N73">
            <v>16</v>
          </cell>
          <cell r="O73">
            <v>0</v>
          </cell>
          <cell r="P73">
            <v>8</v>
          </cell>
          <cell r="Q73">
            <v>12</v>
          </cell>
          <cell r="R73">
            <v>78</v>
          </cell>
          <cell r="S73">
            <v>0</v>
          </cell>
          <cell r="T73">
            <v>0</v>
          </cell>
          <cell r="U73">
            <v>9</v>
          </cell>
          <cell r="V73">
            <v>3</v>
          </cell>
          <cell r="W73">
            <v>0</v>
          </cell>
          <cell r="X73">
            <v>0</v>
          </cell>
          <cell r="Y73">
            <v>49</v>
          </cell>
          <cell r="Z73">
            <v>0</v>
          </cell>
          <cell r="AA73">
            <v>13</v>
          </cell>
          <cell r="AB73">
            <v>28</v>
          </cell>
          <cell r="AC73">
            <v>26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401</v>
          </cell>
          <cell r="AJ73">
            <v>78</v>
          </cell>
          <cell r="AK73">
            <v>15</v>
          </cell>
        </row>
        <row r="74">
          <cell r="C74">
            <v>350122031</v>
          </cell>
          <cell r="D74">
            <v>0</v>
          </cell>
          <cell r="E74">
            <v>30</v>
          </cell>
          <cell r="F74">
            <v>22</v>
          </cell>
          <cell r="G74">
            <v>29</v>
          </cell>
          <cell r="H74">
            <v>5</v>
          </cell>
          <cell r="I74">
            <v>0</v>
          </cell>
          <cell r="J74">
            <v>19</v>
          </cell>
          <cell r="K74">
            <v>2</v>
          </cell>
          <cell r="L74">
            <v>15</v>
          </cell>
          <cell r="M74">
            <v>24</v>
          </cell>
          <cell r="N74">
            <v>0</v>
          </cell>
          <cell r="O74">
            <v>2</v>
          </cell>
          <cell r="P74">
            <v>9</v>
          </cell>
          <cell r="Q74">
            <v>2</v>
          </cell>
          <cell r="R74">
            <v>79</v>
          </cell>
          <cell r="S74">
            <v>9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10</v>
          </cell>
          <cell r="Y74">
            <v>7</v>
          </cell>
          <cell r="Z74">
            <v>0</v>
          </cell>
          <cell r="AA74">
            <v>35</v>
          </cell>
          <cell r="AB74">
            <v>7</v>
          </cell>
          <cell r="AC74">
            <v>120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426</v>
          </cell>
          <cell r="AJ74">
            <v>120</v>
          </cell>
          <cell r="AK74">
            <v>18</v>
          </cell>
        </row>
        <row r="75">
          <cell r="C75">
            <v>350122030</v>
          </cell>
          <cell r="D75">
            <v>0</v>
          </cell>
          <cell r="E75">
            <v>4</v>
          </cell>
          <cell r="F75">
            <v>28</v>
          </cell>
          <cell r="G75">
            <v>50</v>
          </cell>
          <cell r="H75">
            <v>0</v>
          </cell>
          <cell r="I75">
            <v>0</v>
          </cell>
          <cell r="J75">
            <v>29</v>
          </cell>
          <cell r="K75">
            <v>16</v>
          </cell>
          <cell r="L75">
            <v>10</v>
          </cell>
          <cell r="M75">
            <v>35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9</v>
          </cell>
          <cell r="T75">
            <v>0</v>
          </cell>
          <cell r="U75">
            <v>0</v>
          </cell>
          <cell r="V75">
            <v>0</v>
          </cell>
          <cell r="W75">
            <v>14</v>
          </cell>
          <cell r="X75">
            <v>0</v>
          </cell>
          <cell r="Y75">
            <v>62</v>
          </cell>
          <cell r="Z75">
            <v>25</v>
          </cell>
          <cell r="AA75">
            <v>17</v>
          </cell>
          <cell r="AB75">
            <v>0</v>
          </cell>
          <cell r="AC75">
            <v>15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314</v>
          </cell>
          <cell r="AJ75">
            <v>62</v>
          </cell>
          <cell r="AK75">
            <v>13</v>
          </cell>
        </row>
        <row r="76">
          <cell r="C76">
            <v>350122029</v>
          </cell>
          <cell r="D76">
            <v>0</v>
          </cell>
          <cell r="E76">
            <v>0</v>
          </cell>
          <cell r="F76">
            <v>61</v>
          </cell>
          <cell r="G76">
            <v>1</v>
          </cell>
          <cell r="H76">
            <v>0</v>
          </cell>
          <cell r="I76">
            <v>39</v>
          </cell>
          <cell r="J76">
            <v>12</v>
          </cell>
          <cell r="K76">
            <v>13</v>
          </cell>
          <cell r="L76">
            <v>8</v>
          </cell>
          <cell r="M76">
            <v>5</v>
          </cell>
          <cell r="N76">
            <v>2</v>
          </cell>
          <cell r="O76">
            <v>0</v>
          </cell>
          <cell r="P76">
            <v>5</v>
          </cell>
          <cell r="Q76">
            <v>21</v>
          </cell>
          <cell r="R76">
            <v>85</v>
          </cell>
          <cell r="S76">
            <v>29</v>
          </cell>
          <cell r="T76">
            <v>0</v>
          </cell>
          <cell r="U76">
            <v>11</v>
          </cell>
          <cell r="V76">
            <v>6</v>
          </cell>
          <cell r="W76">
            <v>91</v>
          </cell>
          <cell r="X76">
            <v>0</v>
          </cell>
          <cell r="Y76">
            <v>5</v>
          </cell>
          <cell r="Z76">
            <v>3</v>
          </cell>
          <cell r="AA76">
            <v>12</v>
          </cell>
          <cell r="AB76">
            <v>3</v>
          </cell>
          <cell r="AC76">
            <v>9</v>
          </cell>
          <cell r="AD76">
            <v>5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426</v>
          </cell>
          <cell r="AJ76">
            <v>91</v>
          </cell>
          <cell r="AK76">
            <v>21</v>
          </cell>
        </row>
        <row r="77">
          <cell r="C77">
            <v>350122028</v>
          </cell>
          <cell r="D77">
            <v>0</v>
          </cell>
          <cell r="E77">
            <v>7</v>
          </cell>
          <cell r="F77">
            <v>27</v>
          </cell>
          <cell r="G77">
            <v>23</v>
          </cell>
          <cell r="H77">
            <v>17</v>
          </cell>
          <cell r="I77">
            <v>2</v>
          </cell>
          <cell r="J77">
            <v>44</v>
          </cell>
          <cell r="K77">
            <v>30</v>
          </cell>
          <cell r="L77">
            <v>2</v>
          </cell>
          <cell r="M77">
            <v>15</v>
          </cell>
          <cell r="N77">
            <v>9</v>
          </cell>
          <cell r="O77">
            <v>0</v>
          </cell>
          <cell r="P77">
            <v>0</v>
          </cell>
          <cell r="Q77">
            <v>0</v>
          </cell>
          <cell r="R77">
            <v>20</v>
          </cell>
          <cell r="S77">
            <v>27</v>
          </cell>
          <cell r="T77">
            <v>0</v>
          </cell>
          <cell r="U77">
            <v>0</v>
          </cell>
          <cell r="V77">
            <v>3</v>
          </cell>
          <cell r="W77">
            <v>20</v>
          </cell>
          <cell r="X77">
            <v>0</v>
          </cell>
          <cell r="Y77">
            <v>23</v>
          </cell>
          <cell r="Z77">
            <v>4</v>
          </cell>
          <cell r="AA77">
            <v>45</v>
          </cell>
          <cell r="AB77">
            <v>0</v>
          </cell>
          <cell r="AC77">
            <v>86</v>
          </cell>
          <cell r="AD77">
            <v>49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453</v>
          </cell>
          <cell r="AJ77">
            <v>86</v>
          </cell>
          <cell r="AK77">
            <v>19</v>
          </cell>
        </row>
        <row r="78">
          <cell r="C78">
            <v>350122027</v>
          </cell>
          <cell r="D78">
            <v>0</v>
          </cell>
          <cell r="E78">
            <v>18</v>
          </cell>
          <cell r="F78">
            <v>9</v>
          </cell>
          <cell r="G78">
            <v>20</v>
          </cell>
          <cell r="H78">
            <v>3</v>
          </cell>
          <cell r="I78">
            <v>0</v>
          </cell>
          <cell r="J78">
            <v>31</v>
          </cell>
          <cell r="K78">
            <v>4</v>
          </cell>
          <cell r="L78">
            <v>24</v>
          </cell>
          <cell r="M78">
            <v>16.5</v>
          </cell>
          <cell r="N78">
            <v>1</v>
          </cell>
          <cell r="O78">
            <v>0</v>
          </cell>
          <cell r="P78">
            <v>0</v>
          </cell>
          <cell r="Q78">
            <v>21</v>
          </cell>
          <cell r="R78">
            <v>64</v>
          </cell>
          <cell r="S78">
            <v>11</v>
          </cell>
          <cell r="T78">
            <v>0</v>
          </cell>
          <cell r="U78">
            <v>0</v>
          </cell>
          <cell r="V78">
            <v>17</v>
          </cell>
          <cell r="W78">
            <v>4</v>
          </cell>
          <cell r="X78">
            <v>15</v>
          </cell>
          <cell r="Y78">
            <v>12</v>
          </cell>
          <cell r="Z78">
            <v>0</v>
          </cell>
          <cell r="AA78">
            <v>37</v>
          </cell>
          <cell r="AB78">
            <v>1</v>
          </cell>
          <cell r="AC78">
            <v>65</v>
          </cell>
          <cell r="AD78">
            <v>1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374.5</v>
          </cell>
          <cell r="AJ78">
            <v>65</v>
          </cell>
          <cell r="AK78">
            <v>20</v>
          </cell>
        </row>
        <row r="79">
          <cell r="C79">
            <v>350122026</v>
          </cell>
          <cell r="D79">
            <v>0</v>
          </cell>
          <cell r="E79">
            <v>1.5</v>
          </cell>
          <cell r="F79">
            <v>67</v>
          </cell>
          <cell r="G79">
            <v>0</v>
          </cell>
          <cell r="H79">
            <v>0</v>
          </cell>
          <cell r="I79">
            <v>40.299999999999997</v>
          </cell>
          <cell r="J79">
            <v>24</v>
          </cell>
          <cell r="K79">
            <v>3.5</v>
          </cell>
          <cell r="L79">
            <v>12.5</v>
          </cell>
          <cell r="M79">
            <v>16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24.5</v>
          </cell>
          <cell r="X79">
            <v>0.5</v>
          </cell>
          <cell r="Y79">
            <v>58.5</v>
          </cell>
          <cell r="Z79">
            <v>63</v>
          </cell>
          <cell r="AA79">
            <v>36.5</v>
          </cell>
          <cell r="AB79">
            <v>15</v>
          </cell>
          <cell r="AC79">
            <v>15</v>
          </cell>
          <cell r="AD79">
            <v>62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439.8</v>
          </cell>
          <cell r="AJ79">
            <v>67</v>
          </cell>
          <cell r="AK79">
            <v>15</v>
          </cell>
        </row>
        <row r="80">
          <cell r="C80">
            <v>350122025</v>
          </cell>
          <cell r="D80">
            <v>0</v>
          </cell>
          <cell r="E80">
            <v>1</v>
          </cell>
          <cell r="F80">
            <v>10</v>
          </cell>
          <cell r="G80">
            <v>2</v>
          </cell>
          <cell r="H80">
            <v>0</v>
          </cell>
          <cell r="I80">
            <v>77</v>
          </cell>
          <cell r="J80">
            <v>65</v>
          </cell>
          <cell r="K80">
            <v>14</v>
          </cell>
          <cell r="L80">
            <v>20</v>
          </cell>
          <cell r="M80">
            <v>48</v>
          </cell>
          <cell r="N80">
            <v>13</v>
          </cell>
          <cell r="O80">
            <v>6</v>
          </cell>
          <cell r="P80">
            <v>11</v>
          </cell>
          <cell r="Q80">
            <v>0</v>
          </cell>
          <cell r="R80">
            <v>94</v>
          </cell>
          <cell r="S80">
            <v>57</v>
          </cell>
          <cell r="T80">
            <v>0</v>
          </cell>
          <cell r="U80">
            <v>10</v>
          </cell>
          <cell r="V80">
            <v>1</v>
          </cell>
          <cell r="W80">
            <v>13</v>
          </cell>
          <cell r="X80">
            <v>0</v>
          </cell>
          <cell r="Y80">
            <v>6</v>
          </cell>
          <cell r="Z80">
            <v>3</v>
          </cell>
          <cell r="AA80">
            <v>52</v>
          </cell>
          <cell r="AB80">
            <v>6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509</v>
          </cell>
          <cell r="AJ80">
            <v>94</v>
          </cell>
          <cell r="AK80">
            <v>20</v>
          </cell>
        </row>
        <row r="81">
          <cell r="C81">
            <v>350122024</v>
          </cell>
          <cell r="D81">
            <v>0</v>
          </cell>
          <cell r="E81">
            <v>5</v>
          </cell>
          <cell r="F81">
            <v>4</v>
          </cell>
          <cell r="G81">
            <v>2</v>
          </cell>
          <cell r="H81">
            <v>2</v>
          </cell>
          <cell r="I81">
            <v>0</v>
          </cell>
          <cell r="J81">
            <v>27</v>
          </cell>
          <cell r="K81">
            <v>6</v>
          </cell>
          <cell r="L81">
            <v>2</v>
          </cell>
          <cell r="M81">
            <v>45</v>
          </cell>
          <cell r="N81">
            <v>0</v>
          </cell>
          <cell r="O81">
            <v>0</v>
          </cell>
          <cell r="P81">
            <v>55</v>
          </cell>
          <cell r="Q81">
            <v>8</v>
          </cell>
          <cell r="R81">
            <v>94</v>
          </cell>
          <cell r="S81">
            <v>4</v>
          </cell>
          <cell r="T81">
            <v>0</v>
          </cell>
          <cell r="U81">
            <v>2</v>
          </cell>
          <cell r="V81">
            <v>1</v>
          </cell>
          <cell r="W81">
            <v>5</v>
          </cell>
          <cell r="X81">
            <v>18</v>
          </cell>
          <cell r="Y81">
            <v>9</v>
          </cell>
          <cell r="Z81">
            <v>0</v>
          </cell>
          <cell r="AA81">
            <v>68</v>
          </cell>
          <cell r="AB81">
            <v>8</v>
          </cell>
          <cell r="AC81">
            <v>67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432</v>
          </cell>
          <cell r="AJ81">
            <v>94</v>
          </cell>
          <cell r="AK81">
            <v>20</v>
          </cell>
        </row>
        <row r="82">
          <cell r="C82">
            <v>350122023</v>
          </cell>
          <cell r="D82">
            <v>0</v>
          </cell>
          <cell r="E82">
            <v>1</v>
          </cell>
          <cell r="F82">
            <v>45.5</v>
          </cell>
          <cell r="G82">
            <v>4.5</v>
          </cell>
          <cell r="H82">
            <v>7</v>
          </cell>
          <cell r="I82">
            <v>9</v>
          </cell>
          <cell r="J82">
            <v>17.5</v>
          </cell>
          <cell r="K82">
            <v>32</v>
          </cell>
          <cell r="L82">
            <v>14</v>
          </cell>
          <cell r="M82">
            <v>17</v>
          </cell>
          <cell r="N82">
            <v>0</v>
          </cell>
          <cell r="O82">
            <v>7.4</v>
          </cell>
          <cell r="P82">
            <v>0</v>
          </cell>
          <cell r="Q82">
            <v>0</v>
          </cell>
          <cell r="R82">
            <v>1.6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35.799999999999997</v>
          </cell>
          <cell r="X82">
            <v>1.6</v>
          </cell>
          <cell r="Y82">
            <v>43.6</v>
          </cell>
          <cell r="Z82">
            <v>7.9</v>
          </cell>
          <cell r="AA82">
            <v>32</v>
          </cell>
          <cell r="AB82">
            <v>0</v>
          </cell>
          <cell r="AC82">
            <v>11.5</v>
          </cell>
          <cell r="AD82">
            <v>10.4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299.29999999999995</v>
          </cell>
          <cell r="AJ82">
            <v>45.5</v>
          </cell>
          <cell r="AK82">
            <v>18</v>
          </cell>
        </row>
        <row r="83">
          <cell r="C83">
            <v>350122022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26</v>
          </cell>
          <cell r="K83">
            <v>3</v>
          </cell>
          <cell r="L83">
            <v>8.4</v>
          </cell>
          <cell r="M83">
            <v>36</v>
          </cell>
          <cell r="N83">
            <v>3</v>
          </cell>
          <cell r="O83">
            <v>0</v>
          </cell>
          <cell r="P83">
            <v>5</v>
          </cell>
          <cell r="Q83">
            <v>0</v>
          </cell>
          <cell r="R83">
            <v>4</v>
          </cell>
          <cell r="S83">
            <v>29</v>
          </cell>
          <cell r="T83">
            <v>0</v>
          </cell>
          <cell r="U83">
            <v>8</v>
          </cell>
          <cell r="V83">
            <v>4</v>
          </cell>
          <cell r="W83">
            <v>17</v>
          </cell>
          <cell r="X83">
            <v>0</v>
          </cell>
          <cell r="Y83">
            <v>3</v>
          </cell>
          <cell r="Z83">
            <v>0</v>
          </cell>
          <cell r="AA83">
            <v>29</v>
          </cell>
          <cell r="AB83">
            <v>13</v>
          </cell>
          <cell r="AC83">
            <v>20</v>
          </cell>
          <cell r="AD83">
            <v>19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227.4</v>
          </cell>
          <cell r="AJ83">
            <v>36</v>
          </cell>
          <cell r="AK83">
            <v>16</v>
          </cell>
        </row>
        <row r="84">
          <cell r="C84">
            <v>350122021</v>
          </cell>
          <cell r="D84">
            <v>0</v>
          </cell>
          <cell r="E84">
            <v>3</v>
          </cell>
          <cell r="F84">
            <v>64</v>
          </cell>
          <cell r="G84">
            <v>6</v>
          </cell>
          <cell r="H84">
            <v>30</v>
          </cell>
          <cell r="I84">
            <v>15.5</v>
          </cell>
          <cell r="J84">
            <v>21</v>
          </cell>
          <cell r="K84">
            <v>4</v>
          </cell>
          <cell r="L84">
            <v>4</v>
          </cell>
          <cell r="M84">
            <v>22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15</v>
          </cell>
          <cell r="X84">
            <v>3</v>
          </cell>
          <cell r="Y84">
            <v>47</v>
          </cell>
          <cell r="Z84">
            <v>20</v>
          </cell>
          <cell r="AA84">
            <v>6</v>
          </cell>
          <cell r="AB84">
            <v>0</v>
          </cell>
          <cell r="AC84">
            <v>42</v>
          </cell>
          <cell r="AD84">
            <v>6.5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309</v>
          </cell>
          <cell r="AJ84">
            <v>64</v>
          </cell>
          <cell r="AK84">
            <v>16</v>
          </cell>
        </row>
        <row r="85">
          <cell r="C85">
            <v>350122020</v>
          </cell>
          <cell r="D85">
            <v>0</v>
          </cell>
          <cell r="E85">
            <v>0</v>
          </cell>
          <cell r="F85">
            <v>23</v>
          </cell>
          <cell r="G85">
            <v>0</v>
          </cell>
          <cell r="H85">
            <v>12</v>
          </cell>
          <cell r="I85">
            <v>7</v>
          </cell>
          <cell r="J85">
            <v>3</v>
          </cell>
          <cell r="K85">
            <v>9</v>
          </cell>
          <cell r="L85">
            <v>6</v>
          </cell>
          <cell r="M85">
            <v>9</v>
          </cell>
          <cell r="N85">
            <v>0</v>
          </cell>
          <cell r="O85">
            <v>11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27</v>
          </cell>
          <cell r="X85">
            <v>11</v>
          </cell>
          <cell r="Y85">
            <v>58</v>
          </cell>
          <cell r="Z85">
            <v>32</v>
          </cell>
          <cell r="AA85">
            <v>29</v>
          </cell>
          <cell r="AB85">
            <v>0</v>
          </cell>
          <cell r="AC85">
            <v>18</v>
          </cell>
          <cell r="AD85">
            <v>16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271</v>
          </cell>
          <cell r="AJ85">
            <v>58</v>
          </cell>
          <cell r="AK85">
            <v>15</v>
          </cell>
        </row>
        <row r="86">
          <cell r="C86">
            <v>350122019</v>
          </cell>
          <cell r="D86">
            <v>0</v>
          </cell>
          <cell r="E86">
            <v>0</v>
          </cell>
          <cell r="F86">
            <v>24</v>
          </cell>
          <cell r="G86">
            <v>28</v>
          </cell>
          <cell r="H86">
            <v>0</v>
          </cell>
          <cell r="I86">
            <v>5</v>
          </cell>
          <cell r="J86">
            <v>20</v>
          </cell>
          <cell r="K86">
            <v>19</v>
          </cell>
          <cell r="L86">
            <v>12</v>
          </cell>
          <cell r="M86">
            <v>10</v>
          </cell>
          <cell r="N86">
            <v>2</v>
          </cell>
          <cell r="O86">
            <v>0</v>
          </cell>
          <cell r="P86">
            <v>0</v>
          </cell>
          <cell r="Q86">
            <v>2</v>
          </cell>
          <cell r="R86">
            <v>20.5</v>
          </cell>
          <cell r="S86">
            <v>11</v>
          </cell>
          <cell r="T86">
            <v>0</v>
          </cell>
          <cell r="U86">
            <v>0</v>
          </cell>
          <cell r="V86">
            <v>8.5</v>
          </cell>
          <cell r="W86">
            <v>51</v>
          </cell>
          <cell r="X86">
            <v>0</v>
          </cell>
          <cell r="Y86">
            <v>19</v>
          </cell>
          <cell r="Z86">
            <v>10</v>
          </cell>
          <cell r="AA86">
            <v>11</v>
          </cell>
          <cell r="AB86">
            <v>0</v>
          </cell>
          <cell r="AC86">
            <v>54</v>
          </cell>
          <cell r="AD86">
            <v>4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311</v>
          </cell>
          <cell r="AJ86">
            <v>54</v>
          </cell>
          <cell r="AK86">
            <v>18</v>
          </cell>
        </row>
        <row r="87">
          <cell r="C87">
            <v>350122018</v>
          </cell>
          <cell r="D87">
            <v>5</v>
          </cell>
          <cell r="E87">
            <v>0</v>
          </cell>
          <cell r="F87">
            <v>18</v>
          </cell>
          <cell r="G87">
            <v>0</v>
          </cell>
          <cell r="H87">
            <v>0</v>
          </cell>
          <cell r="I87">
            <v>0</v>
          </cell>
          <cell r="J87">
            <v>8</v>
          </cell>
          <cell r="K87">
            <v>40</v>
          </cell>
          <cell r="L87">
            <v>57</v>
          </cell>
          <cell r="M87">
            <v>18</v>
          </cell>
          <cell r="N87">
            <v>16</v>
          </cell>
          <cell r="O87">
            <v>9</v>
          </cell>
          <cell r="P87">
            <v>0</v>
          </cell>
          <cell r="Q87">
            <v>0</v>
          </cell>
          <cell r="R87">
            <v>3</v>
          </cell>
          <cell r="S87">
            <v>4</v>
          </cell>
          <cell r="T87">
            <v>0</v>
          </cell>
          <cell r="U87">
            <v>0</v>
          </cell>
          <cell r="V87">
            <v>0</v>
          </cell>
          <cell r="W87">
            <v>51</v>
          </cell>
          <cell r="X87">
            <v>8</v>
          </cell>
          <cell r="Y87">
            <v>35</v>
          </cell>
          <cell r="Z87">
            <v>0</v>
          </cell>
          <cell r="AA87">
            <v>28</v>
          </cell>
          <cell r="AB87">
            <v>0</v>
          </cell>
          <cell r="AC87">
            <v>5</v>
          </cell>
          <cell r="AD87">
            <v>22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327</v>
          </cell>
          <cell r="AJ87">
            <v>57</v>
          </cell>
          <cell r="AK87">
            <v>16</v>
          </cell>
        </row>
        <row r="88">
          <cell r="C88">
            <v>350122017</v>
          </cell>
          <cell r="D88">
            <v>0</v>
          </cell>
          <cell r="E88">
            <v>3</v>
          </cell>
          <cell r="F88">
            <v>78</v>
          </cell>
          <cell r="G88">
            <v>60</v>
          </cell>
          <cell r="H88">
            <v>12</v>
          </cell>
          <cell r="I88">
            <v>40</v>
          </cell>
          <cell r="J88">
            <v>16</v>
          </cell>
          <cell r="K88">
            <v>34</v>
          </cell>
          <cell r="L88">
            <v>14</v>
          </cell>
          <cell r="M88">
            <v>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62</v>
          </cell>
          <cell r="X88">
            <v>0</v>
          </cell>
          <cell r="Y88">
            <v>101</v>
          </cell>
          <cell r="Z88">
            <v>10</v>
          </cell>
          <cell r="AA88">
            <v>20</v>
          </cell>
          <cell r="AB88">
            <v>0</v>
          </cell>
          <cell r="AC88">
            <v>15</v>
          </cell>
          <cell r="AD88">
            <v>1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469</v>
          </cell>
          <cell r="AJ88">
            <v>101</v>
          </cell>
          <cell r="AK88">
            <v>15</v>
          </cell>
        </row>
        <row r="89">
          <cell r="C89">
            <v>350122016</v>
          </cell>
          <cell r="D89">
            <v>0</v>
          </cell>
          <cell r="E89">
            <v>0</v>
          </cell>
          <cell r="F89">
            <v>20</v>
          </cell>
          <cell r="G89">
            <v>0</v>
          </cell>
          <cell r="H89">
            <v>0</v>
          </cell>
          <cell r="I89">
            <v>0</v>
          </cell>
          <cell r="J89">
            <v>13</v>
          </cell>
          <cell r="K89">
            <v>14</v>
          </cell>
          <cell r="L89">
            <v>19</v>
          </cell>
          <cell r="M89">
            <v>28</v>
          </cell>
          <cell r="N89">
            <v>0</v>
          </cell>
          <cell r="O89">
            <v>0</v>
          </cell>
          <cell r="P89">
            <v>48</v>
          </cell>
          <cell r="Q89">
            <v>0</v>
          </cell>
          <cell r="R89">
            <v>15</v>
          </cell>
          <cell r="S89">
            <v>73</v>
          </cell>
          <cell r="T89">
            <v>0</v>
          </cell>
          <cell r="U89">
            <v>32</v>
          </cell>
          <cell r="V89">
            <v>1</v>
          </cell>
          <cell r="W89">
            <v>29</v>
          </cell>
          <cell r="X89">
            <v>10</v>
          </cell>
          <cell r="Y89">
            <v>5</v>
          </cell>
          <cell r="Z89">
            <v>0</v>
          </cell>
          <cell r="AA89">
            <v>73</v>
          </cell>
          <cell r="AB89">
            <v>34</v>
          </cell>
          <cell r="AC89">
            <v>5</v>
          </cell>
          <cell r="AD89">
            <v>74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493</v>
          </cell>
          <cell r="AJ89">
            <v>74</v>
          </cell>
          <cell r="AK89">
            <v>17</v>
          </cell>
        </row>
        <row r="90">
          <cell r="C90">
            <v>350122015</v>
          </cell>
          <cell r="D90">
            <v>0</v>
          </cell>
          <cell r="E90">
            <v>47</v>
          </cell>
          <cell r="F90">
            <v>0</v>
          </cell>
          <cell r="G90">
            <v>31</v>
          </cell>
          <cell r="H90">
            <v>0</v>
          </cell>
          <cell r="I90">
            <v>0</v>
          </cell>
          <cell r="J90">
            <v>7</v>
          </cell>
          <cell r="K90">
            <v>9</v>
          </cell>
          <cell r="L90">
            <v>10</v>
          </cell>
          <cell r="M90">
            <v>13</v>
          </cell>
          <cell r="N90">
            <v>0</v>
          </cell>
          <cell r="O90">
            <v>0</v>
          </cell>
          <cell r="P90">
            <v>0</v>
          </cell>
          <cell r="Q90">
            <v>24</v>
          </cell>
          <cell r="R90">
            <v>56</v>
          </cell>
          <cell r="S90">
            <v>21</v>
          </cell>
          <cell r="T90">
            <v>0</v>
          </cell>
          <cell r="U90">
            <v>0</v>
          </cell>
          <cell r="V90">
            <v>16</v>
          </cell>
          <cell r="W90">
            <v>1</v>
          </cell>
          <cell r="X90">
            <v>0</v>
          </cell>
          <cell r="Y90">
            <v>27</v>
          </cell>
          <cell r="Z90">
            <v>0</v>
          </cell>
          <cell r="AA90">
            <v>14</v>
          </cell>
          <cell r="AB90">
            <v>0</v>
          </cell>
          <cell r="AC90">
            <v>64</v>
          </cell>
          <cell r="AD90">
            <v>9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349</v>
          </cell>
          <cell r="AJ90">
            <v>64</v>
          </cell>
          <cell r="AK90">
            <v>15</v>
          </cell>
        </row>
        <row r="91">
          <cell r="C91">
            <v>350122014</v>
          </cell>
          <cell r="D91">
            <v>0</v>
          </cell>
          <cell r="E91">
            <v>0</v>
          </cell>
          <cell r="F91">
            <v>7</v>
          </cell>
          <cell r="G91">
            <v>4</v>
          </cell>
          <cell r="H91">
            <v>0</v>
          </cell>
          <cell r="I91">
            <v>2</v>
          </cell>
          <cell r="J91">
            <v>17</v>
          </cell>
          <cell r="K91">
            <v>45</v>
          </cell>
          <cell r="L91">
            <v>2</v>
          </cell>
          <cell r="M91">
            <v>38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10</v>
          </cell>
          <cell r="S91">
            <v>11</v>
          </cell>
          <cell r="T91">
            <v>0</v>
          </cell>
          <cell r="U91">
            <v>0</v>
          </cell>
          <cell r="V91">
            <v>0</v>
          </cell>
          <cell r="W91">
            <v>25</v>
          </cell>
          <cell r="X91">
            <v>23</v>
          </cell>
          <cell r="Y91">
            <v>46</v>
          </cell>
          <cell r="Z91">
            <v>0</v>
          </cell>
          <cell r="AA91">
            <v>76</v>
          </cell>
          <cell r="AB91">
            <v>4</v>
          </cell>
          <cell r="AC91">
            <v>16</v>
          </cell>
          <cell r="AD91">
            <v>27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353</v>
          </cell>
          <cell r="AJ91">
            <v>76</v>
          </cell>
          <cell r="AK91">
            <v>16</v>
          </cell>
        </row>
        <row r="92">
          <cell r="C92">
            <v>350122013</v>
          </cell>
          <cell r="D92">
            <v>5</v>
          </cell>
          <cell r="E92">
            <v>0</v>
          </cell>
          <cell r="F92">
            <v>2</v>
          </cell>
          <cell r="G92">
            <v>0</v>
          </cell>
          <cell r="H92">
            <v>4</v>
          </cell>
          <cell r="I92">
            <v>0</v>
          </cell>
          <cell r="J92">
            <v>19</v>
          </cell>
          <cell r="K92">
            <v>9</v>
          </cell>
          <cell r="L92">
            <v>28</v>
          </cell>
          <cell r="M92">
            <v>16</v>
          </cell>
          <cell r="N92">
            <v>7</v>
          </cell>
          <cell r="O92">
            <v>0</v>
          </cell>
          <cell r="P92">
            <v>4</v>
          </cell>
          <cell r="Q92">
            <v>0</v>
          </cell>
          <cell r="R92">
            <v>6</v>
          </cell>
          <cell r="S92">
            <v>57</v>
          </cell>
          <cell r="T92">
            <v>0</v>
          </cell>
          <cell r="U92">
            <v>6</v>
          </cell>
          <cell r="V92">
            <v>5</v>
          </cell>
          <cell r="W92">
            <v>8</v>
          </cell>
          <cell r="X92">
            <v>22</v>
          </cell>
          <cell r="Y92">
            <v>5</v>
          </cell>
          <cell r="Z92">
            <v>0</v>
          </cell>
          <cell r="AA92">
            <v>86</v>
          </cell>
          <cell r="AB92">
            <v>18</v>
          </cell>
          <cell r="AC92">
            <v>24</v>
          </cell>
          <cell r="AD92">
            <v>32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363</v>
          </cell>
          <cell r="AJ92">
            <v>86</v>
          </cell>
          <cell r="AK92">
            <v>20</v>
          </cell>
        </row>
        <row r="93">
          <cell r="C93">
            <v>350122012</v>
          </cell>
          <cell r="D93">
            <v>42</v>
          </cell>
          <cell r="E93">
            <v>0</v>
          </cell>
          <cell r="F93">
            <v>20</v>
          </cell>
          <cell r="G93">
            <v>0</v>
          </cell>
          <cell r="H93">
            <v>12</v>
          </cell>
          <cell r="I93">
            <v>15</v>
          </cell>
          <cell r="J93">
            <v>17</v>
          </cell>
          <cell r="K93">
            <v>20</v>
          </cell>
          <cell r="L93">
            <v>6.5</v>
          </cell>
          <cell r="M93">
            <v>55</v>
          </cell>
          <cell r="N93">
            <v>32.5</v>
          </cell>
          <cell r="O93">
            <v>0</v>
          </cell>
          <cell r="P93">
            <v>23</v>
          </cell>
          <cell r="Q93">
            <v>0</v>
          </cell>
          <cell r="R93">
            <v>5</v>
          </cell>
          <cell r="S93">
            <v>32.5</v>
          </cell>
          <cell r="T93">
            <v>0</v>
          </cell>
          <cell r="U93">
            <v>8</v>
          </cell>
          <cell r="V93">
            <v>0</v>
          </cell>
          <cell r="W93">
            <v>27.5</v>
          </cell>
          <cell r="X93">
            <v>0</v>
          </cell>
          <cell r="Y93">
            <v>50</v>
          </cell>
          <cell r="Z93">
            <v>0</v>
          </cell>
          <cell r="AA93">
            <v>25</v>
          </cell>
          <cell r="AB93">
            <v>0</v>
          </cell>
          <cell r="AC93">
            <v>6.25</v>
          </cell>
          <cell r="AD93">
            <v>12.5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409.75</v>
          </cell>
          <cell r="AJ93">
            <v>55</v>
          </cell>
          <cell r="AK93">
            <v>18</v>
          </cell>
        </row>
        <row r="94">
          <cell r="C94">
            <v>350122011</v>
          </cell>
          <cell r="D94">
            <v>2</v>
          </cell>
          <cell r="E94">
            <v>7</v>
          </cell>
          <cell r="F94">
            <v>27</v>
          </cell>
          <cell r="G94">
            <v>20</v>
          </cell>
          <cell r="H94">
            <v>0</v>
          </cell>
          <cell r="I94">
            <v>97</v>
          </cell>
          <cell r="J94">
            <v>55</v>
          </cell>
          <cell r="K94">
            <v>37</v>
          </cell>
          <cell r="L94">
            <v>64</v>
          </cell>
          <cell r="M94">
            <v>22</v>
          </cell>
          <cell r="N94">
            <v>8</v>
          </cell>
          <cell r="O94">
            <v>2</v>
          </cell>
          <cell r="P94">
            <v>9</v>
          </cell>
          <cell r="Q94">
            <v>0</v>
          </cell>
          <cell r="R94">
            <v>111</v>
          </cell>
          <cell r="S94">
            <v>79</v>
          </cell>
          <cell r="T94">
            <v>0</v>
          </cell>
          <cell r="U94">
            <v>2</v>
          </cell>
          <cell r="V94">
            <v>0</v>
          </cell>
          <cell r="W94">
            <v>97</v>
          </cell>
          <cell r="X94">
            <v>0</v>
          </cell>
          <cell r="Y94">
            <v>6</v>
          </cell>
          <cell r="Z94">
            <v>4</v>
          </cell>
          <cell r="AA94">
            <v>110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759</v>
          </cell>
          <cell r="AJ94">
            <v>111</v>
          </cell>
          <cell r="AK94">
            <v>19</v>
          </cell>
        </row>
        <row r="95">
          <cell r="C95">
            <v>350122010</v>
          </cell>
          <cell r="D95">
            <v>0</v>
          </cell>
          <cell r="E95">
            <v>0</v>
          </cell>
          <cell r="F95">
            <v>0</v>
          </cell>
          <cell r="G95">
            <v>5</v>
          </cell>
          <cell r="H95">
            <v>0</v>
          </cell>
          <cell r="I95">
            <v>0</v>
          </cell>
          <cell r="J95">
            <v>21</v>
          </cell>
          <cell r="K95">
            <v>29</v>
          </cell>
          <cell r="L95">
            <v>28</v>
          </cell>
          <cell r="M95">
            <v>10</v>
          </cell>
          <cell r="N95">
            <v>2</v>
          </cell>
          <cell r="O95">
            <v>0</v>
          </cell>
          <cell r="P95">
            <v>22</v>
          </cell>
          <cell r="Q95">
            <v>0</v>
          </cell>
          <cell r="R95">
            <v>14</v>
          </cell>
          <cell r="S95">
            <v>89</v>
          </cell>
          <cell r="T95">
            <v>0</v>
          </cell>
          <cell r="U95">
            <v>9</v>
          </cell>
          <cell r="V95">
            <v>7</v>
          </cell>
          <cell r="W95">
            <v>22</v>
          </cell>
          <cell r="X95">
            <v>4</v>
          </cell>
          <cell r="Y95">
            <v>35</v>
          </cell>
          <cell r="Z95">
            <v>0</v>
          </cell>
          <cell r="AA95">
            <v>32</v>
          </cell>
          <cell r="AB95">
            <v>15</v>
          </cell>
          <cell r="AC95">
            <v>70</v>
          </cell>
          <cell r="AD95">
            <v>9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423</v>
          </cell>
          <cell r="AJ95">
            <v>89</v>
          </cell>
          <cell r="AK95">
            <v>18</v>
          </cell>
        </row>
        <row r="96">
          <cell r="C96">
            <v>350122009</v>
          </cell>
          <cell r="D96">
            <v>0</v>
          </cell>
          <cell r="E96">
            <v>17</v>
          </cell>
          <cell r="F96">
            <v>0</v>
          </cell>
          <cell r="G96">
            <v>52</v>
          </cell>
          <cell r="H96">
            <v>0</v>
          </cell>
          <cell r="I96">
            <v>0</v>
          </cell>
          <cell r="J96">
            <v>33</v>
          </cell>
          <cell r="K96">
            <v>13</v>
          </cell>
          <cell r="L96">
            <v>9</v>
          </cell>
          <cell r="M96">
            <v>11.5</v>
          </cell>
          <cell r="N96">
            <v>5</v>
          </cell>
          <cell r="O96">
            <v>0</v>
          </cell>
          <cell r="P96">
            <v>0</v>
          </cell>
          <cell r="Q96">
            <v>34</v>
          </cell>
          <cell r="R96">
            <v>49</v>
          </cell>
          <cell r="S96">
            <v>0</v>
          </cell>
          <cell r="T96">
            <v>0</v>
          </cell>
          <cell r="U96">
            <v>0</v>
          </cell>
          <cell r="V96">
            <v>3</v>
          </cell>
          <cell r="W96">
            <v>39</v>
          </cell>
          <cell r="X96">
            <v>0</v>
          </cell>
          <cell r="Y96">
            <v>23</v>
          </cell>
          <cell r="Z96">
            <v>0</v>
          </cell>
          <cell r="AA96">
            <v>6</v>
          </cell>
          <cell r="AB96">
            <v>17</v>
          </cell>
          <cell r="AC96">
            <v>65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376.5</v>
          </cell>
          <cell r="AJ96">
            <v>65</v>
          </cell>
          <cell r="AK96">
            <v>15</v>
          </cell>
        </row>
        <row r="97">
          <cell r="C97">
            <v>350122008</v>
          </cell>
          <cell r="D97">
            <v>0</v>
          </cell>
          <cell r="E97">
            <v>6</v>
          </cell>
          <cell r="F97">
            <v>4</v>
          </cell>
          <cell r="G97">
            <v>8</v>
          </cell>
          <cell r="H97">
            <v>0</v>
          </cell>
          <cell r="I97">
            <v>0</v>
          </cell>
          <cell r="J97">
            <v>43</v>
          </cell>
          <cell r="K97">
            <v>18</v>
          </cell>
          <cell r="L97">
            <v>2</v>
          </cell>
          <cell r="M97">
            <v>27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15</v>
          </cell>
          <cell r="S97">
            <v>28</v>
          </cell>
          <cell r="T97">
            <v>0</v>
          </cell>
          <cell r="U97">
            <v>0</v>
          </cell>
          <cell r="V97">
            <v>1</v>
          </cell>
          <cell r="W97">
            <v>21</v>
          </cell>
          <cell r="X97">
            <v>6</v>
          </cell>
          <cell r="Y97">
            <v>44</v>
          </cell>
          <cell r="Z97">
            <v>0</v>
          </cell>
          <cell r="AA97">
            <v>26</v>
          </cell>
          <cell r="AB97">
            <v>0</v>
          </cell>
          <cell r="AC97">
            <v>44</v>
          </cell>
          <cell r="AD97">
            <v>62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355</v>
          </cell>
          <cell r="AJ97">
            <v>62</v>
          </cell>
          <cell r="AK97">
            <v>16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26</v>
          </cell>
          <cell r="G98">
            <v>13</v>
          </cell>
          <cell r="H98">
            <v>8</v>
          </cell>
          <cell r="I98">
            <v>17</v>
          </cell>
          <cell r="J98">
            <v>23</v>
          </cell>
          <cell r="K98">
            <v>22</v>
          </cell>
          <cell r="L98">
            <v>17</v>
          </cell>
          <cell r="M98">
            <v>8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34</v>
          </cell>
          <cell r="X98">
            <v>2</v>
          </cell>
          <cell r="Y98">
            <v>58</v>
          </cell>
          <cell r="Z98">
            <v>38</v>
          </cell>
          <cell r="AA98">
            <v>13</v>
          </cell>
          <cell r="AB98">
            <v>0</v>
          </cell>
          <cell r="AC98">
            <v>53</v>
          </cell>
          <cell r="AD98">
            <v>21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353</v>
          </cell>
          <cell r="AJ98">
            <v>58</v>
          </cell>
          <cell r="AK98">
            <v>15</v>
          </cell>
        </row>
        <row r="99">
          <cell r="C99">
            <v>350122006</v>
          </cell>
          <cell r="D99">
            <v>0</v>
          </cell>
          <cell r="E99">
            <v>3</v>
          </cell>
          <cell r="F99">
            <v>34</v>
          </cell>
          <cell r="G99">
            <v>15</v>
          </cell>
          <cell r="H99">
            <v>4</v>
          </cell>
          <cell r="I99">
            <v>11</v>
          </cell>
          <cell r="J99">
            <v>17</v>
          </cell>
          <cell r="K99">
            <v>39</v>
          </cell>
          <cell r="L99">
            <v>23</v>
          </cell>
          <cell r="M99">
            <v>14</v>
          </cell>
          <cell r="N99">
            <v>0</v>
          </cell>
          <cell r="O99">
            <v>13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54</v>
          </cell>
          <cell r="X99">
            <v>2</v>
          </cell>
          <cell r="Y99">
            <v>43</v>
          </cell>
          <cell r="Z99">
            <v>50</v>
          </cell>
          <cell r="AA99">
            <v>96</v>
          </cell>
          <cell r="AB99">
            <v>0</v>
          </cell>
          <cell r="AC99">
            <v>8</v>
          </cell>
          <cell r="AD99">
            <v>50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476</v>
          </cell>
          <cell r="AJ99">
            <v>96</v>
          </cell>
          <cell r="AK99">
            <v>17</v>
          </cell>
        </row>
        <row r="100">
          <cell r="C100">
            <v>350122005</v>
          </cell>
          <cell r="D100">
            <v>0</v>
          </cell>
          <cell r="E100">
            <v>3</v>
          </cell>
          <cell r="F100">
            <v>10</v>
          </cell>
          <cell r="G100">
            <v>23</v>
          </cell>
          <cell r="H100">
            <v>1</v>
          </cell>
          <cell r="I100">
            <v>0</v>
          </cell>
          <cell r="J100">
            <v>45</v>
          </cell>
          <cell r="K100">
            <v>16</v>
          </cell>
          <cell r="L100">
            <v>2</v>
          </cell>
          <cell r="M100">
            <v>25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18</v>
          </cell>
          <cell r="S100">
            <v>43</v>
          </cell>
          <cell r="T100">
            <v>0</v>
          </cell>
          <cell r="U100">
            <v>0</v>
          </cell>
          <cell r="V100">
            <v>2</v>
          </cell>
          <cell r="W100">
            <v>13</v>
          </cell>
          <cell r="X100">
            <v>4</v>
          </cell>
          <cell r="Y100">
            <v>54</v>
          </cell>
          <cell r="Z100"/>
          <cell r="AA100">
            <v>46</v>
          </cell>
          <cell r="AB100">
            <v>0</v>
          </cell>
          <cell r="AC100">
            <v>49</v>
          </cell>
          <cell r="AD100">
            <v>66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420</v>
          </cell>
          <cell r="AJ100">
            <v>66</v>
          </cell>
          <cell r="AK100">
            <v>17</v>
          </cell>
        </row>
        <row r="101">
          <cell r="C101">
            <v>350122004</v>
          </cell>
          <cell r="D101">
            <v>7</v>
          </cell>
          <cell r="E101">
            <v>0</v>
          </cell>
          <cell r="F101">
            <v>11</v>
          </cell>
          <cell r="G101">
            <v>0</v>
          </cell>
          <cell r="H101">
            <v>4</v>
          </cell>
          <cell r="I101">
            <v>0</v>
          </cell>
          <cell r="J101">
            <v>14</v>
          </cell>
          <cell r="K101">
            <v>12</v>
          </cell>
          <cell r="L101">
            <v>10</v>
          </cell>
          <cell r="M101">
            <v>15</v>
          </cell>
          <cell r="N101">
            <v>8</v>
          </cell>
          <cell r="O101">
            <v>0</v>
          </cell>
          <cell r="P101">
            <v>0</v>
          </cell>
          <cell r="Q101">
            <v>0</v>
          </cell>
          <cell r="R101">
            <v>13</v>
          </cell>
          <cell r="S101">
            <v>51</v>
          </cell>
          <cell r="T101">
            <v>0</v>
          </cell>
          <cell r="U101">
            <v>2</v>
          </cell>
          <cell r="V101">
            <v>0</v>
          </cell>
          <cell r="W101">
            <v>22</v>
          </cell>
          <cell r="X101">
            <v>2</v>
          </cell>
          <cell r="Y101">
            <v>10</v>
          </cell>
          <cell r="Z101">
            <v>0</v>
          </cell>
          <cell r="AA101">
            <v>71</v>
          </cell>
          <cell r="AB101">
            <v>11</v>
          </cell>
          <cell r="AC101">
            <v>76</v>
          </cell>
          <cell r="AD101">
            <v>21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360</v>
          </cell>
          <cell r="AJ101">
            <v>76</v>
          </cell>
          <cell r="AK101">
            <v>18</v>
          </cell>
        </row>
        <row r="102">
          <cell r="C102">
            <v>350122003</v>
          </cell>
          <cell r="D102">
            <v>0</v>
          </cell>
          <cell r="E102">
            <v>1</v>
          </cell>
          <cell r="F102">
            <v>4</v>
          </cell>
          <cell r="G102">
            <v>8</v>
          </cell>
          <cell r="H102">
            <v>0</v>
          </cell>
          <cell r="I102">
            <v>0</v>
          </cell>
          <cell r="J102">
            <v>5</v>
          </cell>
          <cell r="K102">
            <v>30</v>
          </cell>
          <cell r="L102">
            <v>19</v>
          </cell>
          <cell r="M102">
            <v>2</v>
          </cell>
          <cell r="N102">
            <v>0</v>
          </cell>
          <cell r="O102">
            <v>0</v>
          </cell>
          <cell r="P102">
            <v>0</v>
          </cell>
          <cell r="Q102">
            <v>15</v>
          </cell>
          <cell r="R102">
            <v>49</v>
          </cell>
          <cell r="S102">
            <v>41</v>
          </cell>
          <cell r="T102">
            <v>0</v>
          </cell>
          <cell r="U102">
            <v>4</v>
          </cell>
          <cell r="V102">
            <v>7</v>
          </cell>
          <cell r="W102">
            <v>15</v>
          </cell>
          <cell r="X102">
            <v>0</v>
          </cell>
          <cell r="Y102">
            <v>13</v>
          </cell>
          <cell r="Z102">
            <v>0</v>
          </cell>
          <cell r="AA102">
            <v>44</v>
          </cell>
          <cell r="AB102">
            <v>0</v>
          </cell>
          <cell r="AC102">
            <v>84</v>
          </cell>
          <cell r="AD102">
            <v>2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343</v>
          </cell>
          <cell r="AJ102">
            <v>84</v>
          </cell>
          <cell r="AK102">
            <v>17</v>
          </cell>
        </row>
        <row r="103">
          <cell r="C103">
            <v>350122002</v>
          </cell>
          <cell r="D103">
            <v>1</v>
          </cell>
          <cell r="E103">
            <v>5</v>
          </cell>
          <cell r="F103">
            <v>1</v>
          </cell>
          <cell r="G103">
            <v>47</v>
          </cell>
          <cell r="H103">
            <v>0</v>
          </cell>
          <cell r="I103">
            <v>0</v>
          </cell>
          <cell r="J103">
            <v>6</v>
          </cell>
          <cell r="K103">
            <v>0</v>
          </cell>
          <cell r="L103">
            <v>7</v>
          </cell>
          <cell r="M103">
            <v>8</v>
          </cell>
          <cell r="N103">
            <v>20</v>
          </cell>
          <cell r="O103">
            <v>0</v>
          </cell>
          <cell r="P103">
            <v>5</v>
          </cell>
          <cell r="Q103">
            <v>10</v>
          </cell>
          <cell r="R103">
            <v>18</v>
          </cell>
          <cell r="S103">
            <v>1</v>
          </cell>
          <cell r="T103">
            <v>0</v>
          </cell>
          <cell r="U103">
            <v>4</v>
          </cell>
          <cell r="V103">
            <v>8</v>
          </cell>
          <cell r="W103">
            <v>5</v>
          </cell>
          <cell r="X103">
            <v>0</v>
          </cell>
          <cell r="Y103">
            <v>1</v>
          </cell>
          <cell r="Z103">
            <v>0</v>
          </cell>
          <cell r="AA103">
            <v>27</v>
          </cell>
          <cell r="AB103">
            <v>1</v>
          </cell>
          <cell r="AC103">
            <v>37</v>
          </cell>
          <cell r="AD103">
            <v>50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262</v>
          </cell>
          <cell r="AJ103">
            <v>50</v>
          </cell>
          <cell r="AK103">
            <v>20</v>
          </cell>
        </row>
        <row r="104">
          <cell r="C104">
            <v>350122001</v>
          </cell>
          <cell r="D104">
            <v>0</v>
          </cell>
          <cell r="E104">
            <v>0</v>
          </cell>
          <cell r="F104">
            <v>1</v>
          </cell>
          <cell r="G104">
            <v>0</v>
          </cell>
          <cell r="H104">
            <v>0</v>
          </cell>
          <cell r="I104">
            <v>0</v>
          </cell>
          <cell r="J104">
            <v>12</v>
          </cell>
          <cell r="K104">
            <v>19</v>
          </cell>
          <cell r="L104">
            <v>43</v>
          </cell>
          <cell r="M104">
            <v>17</v>
          </cell>
          <cell r="N104">
            <v>0</v>
          </cell>
          <cell r="O104">
            <v>0</v>
          </cell>
          <cell r="P104">
            <v>44</v>
          </cell>
          <cell r="Q104">
            <v>0</v>
          </cell>
          <cell r="R104">
            <v>10</v>
          </cell>
          <cell r="S104">
            <v>43</v>
          </cell>
          <cell r="T104">
            <v>0</v>
          </cell>
          <cell r="U104">
            <v>49</v>
          </cell>
          <cell r="V104">
            <v>14</v>
          </cell>
          <cell r="W104">
            <v>19</v>
          </cell>
          <cell r="X104">
            <v>0</v>
          </cell>
          <cell r="Y104">
            <v>29</v>
          </cell>
          <cell r="Z104">
            <v>0</v>
          </cell>
          <cell r="AA104">
            <v>63</v>
          </cell>
          <cell r="AB104">
            <v>23</v>
          </cell>
          <cell r="AC104">
            <v>34</v>
          </cell>
          <cell r="AD104">
            <v>8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428</v>
          </cell>
          <cell r="AJ104">
            <v>63</v>
          </cell>
          <cell r="AK104">
            <v>16</v>
          </cell>
        </row>
        <row r="105">
          <cell r="C105">
            <v>350619001</v>
          </cell>
          <cell r="D105">
            <v>15</v>
          </cell>
          <cell r="E105">
            <v>5</v>
          </cell>
          <cell r="F105">
            <v>0</v>
          </cell>
          <cell r="G105">
            <v>0</v>
          </cell>
          <cell r="H105">
            <v>0</v>
          </cell>
          <cell r="I105">
            <v>7.5</v>
          </cell>
          <cell r="J105">
            <v>2</v>
          </cell>
          <cell r="K105">
            <v>0</v>
          </cell>
          <cell r="L105">
            <v>15.5</v>
          </cell>
          <cell r="M105">
            <v>9</v>
          </cell>
          <cell r="N105">
            <v>2</v>
          </cell>
          <cell r="O105">
            <v>0</v>
          </cell>
          <cell r="P105">
            <v>2</v>
          </cell>
          <cell r="Q105">
            <v>0</v>
          </cell>
          <cell r="R105">
            <v>0</v>
          </cell>
          <cell r="S105">
            <v>1</v>
          </cell>
          <cell r="T105">
            <v>2</v>
          </cell>
          <cell r="U105">
            <v>2</v>
          </cell>
          <cell r="V105">
            <v>0</v>
          </cell>
          <cell r="W105">
            <v>6.5</v>
          </cell>
          <cell r="X105">
            <v>6</v>
          </cell>
          <cell r="Y105">
            <v>10</v>
          </cell>
          <cell r="Z105">
            <v>0</v>
          </cell>
          <cell r="AA105">
            <v>1</v>
          </cell>
          <cell r="AB105">
            <v>0</v>
          </cell>
          <cell r="AC105">
            <v>7.5</v>
          </cell>
          <cell r="AD105">
            <v>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95</v>
          </cell>
          <cell r="AJ105">
            <v>15.5</v>
          </cell>
          <cell r="AK105">
            <v>17</v>
          </cell>
        </row>
        <row r="106">
          <cell r="C106">
            <v>350619002</v>
          </cell>
          <cell r="D106">
            <v>0</v>
          </cell>
          <cell r="E106">
            <v>35</v>
          </cell>
          <cell r="F106">
            <v>0</v>
          </cell>
          <cell r="G106">
            <v>0</v>
          </cell>
          <cell r="H106">
            <v>0</v>
          </cell>
          <cell r="I106">
            <v>3</v>
          </cell>
          <cell r="J106">
            <v>2</v>
          </cell>
          <cell r="K106">
            <v>15</v>
          </cell>
          <cell r="L106">
            <v>0</v>
          </cell>
          <cell r="M106">
            <v>2</v>
          </cell>
          <cell r="N106">
            <v>0</v>
          </cell>
          <cell r="O106">
            <v>0</v>
          </cell>
          <cell r="P106">
            <v>0</v>
          </cell>
          <cell r="Q106">
            <v>13</v>
          </cell>
          <cell r="R106">
            <v>0</v>
          </cell>
          <cell r="S106">
            <v>10</v>
          </cell>
          <cell r="T106">
            <v>0</v>
          </cell>
          <cell r="U106">
            <v>13</v>
          </cell>
          <cell r="V106">
            <v>2</v>
          </cell>
          <cell r="W106">
            <v>20</v>
          </cell>
          <cell r="X106">
            <v>5</v>
          </cell>
          <cell r="Y106">
            <v>21</v>
          </cell>
          <cell r="Z106">
            <v>62</v>
          </cell>
          <cell r="AA106">
            <v>44</v>
          </cell>
          <cell r="AB106">
            <v>0</v>
          </cell>
          <cell r="AC106">
            <v>8</v>
          </cell>
          <cell r="AD106">
            <v>3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258</v>
          </cell>
          <cell r="AJ106">
            <v>62</v>
          </cell>
          <cell r="AK106">
            <v>16</v>
          </cell>
        </row>
        <row r="107">
          <cell r="C107">
            <v>350619003</v>
          </cell>
          <cell r="D107">
            <v>0</v>
          </cell>
          <cell r="E107">
            <v>0</v>
          </cell>
          <cell r="F107">
            <v>0</v>
          </cell>
          <cell r="G107">
            <v>16</v>
          </cell>
          <cell r="H107">
            <v>0</v>
          </cell>
          <cell r="I107">
            <v>22</v>
          </cell>
          <cell r="J107">
            <v>0</v>
          </cell>
          <cell r="K107">
            <v>27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15</v>
          </cell>
          <cell r="R107">
            <v>0</v>
          </cell>
          <cell r="S107">
            <v>0</v>
          </cell>
          <cell r="T107">
            <v>0</v>
          </cell>
          <cell r="U107">
            <v>14</v>
          </cell>
          <cell r="V107">
            <v>10</v>
          </cell>
          <cell r="W107">
            <v>32</v>
          </cell>
          <cell r="X107">
            <v>19</v>
          </cell>
          <cell r="Y107">
            <v>23</v>
          </cell>
          <cell r="Z107">
            <v>24</v>
          </cell>
          <cell r="AA107">
            <v>8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210</v>
          </cell>
          <cell r="AJ107">
            <v>32</v>
          </cell>
          <cell r="AK107">
            <v>11</v>
          </cell>
        </row>
        <row r="108">
          <cell r="C108">
            <v>350619004</v>
          </cell>
          <cell r="D108">
            <v>0</v>
          </cell>
          <cell r="E108">
            <v>7</v>
          </cell>
          <cell r="F108">
            <v>70</v>
          </cell>
          <cell r="G108">
            <v>0</v>
          </cell>
          <cell r="H108">
            <v>0</v>
          </cell>
          <cell r="I108">
            <v>22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31</v>
          </cell>
          <cell r="W108">
            <v>47</v>
          </cell>
          <cell r="X108">
            <v>17</v>
          </cell>
          <cell r="Y108">
            <v>32</v>
          </cell>
          <cell r="Z108">
            <v>34</v>
          </cell>
          <cell r="AA108">
            <v>5</v>
          </cell>
          <cell r="AB108">
            <v>0</v>
          </cell>
          <cell r="AC108">
            <v>18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283</v>
          </cell>
          <cell r="AJ108">
            <v>70</v>
          </cell>
          <cell r="AK108">
            <v>10</v>
          </cell>
        </row>
        <row r="109">
          <cell r="C109">
            <v>350619005</v>
          </cell>
          <cell r="D109">
            <v>0</v>
          </cell>
          <cell r="E109">
            <v>10</v>
          </cell>
          <cell r="F109">
            <v>15</v>
          </cell>
          <cell r="G109">
            <v>3</v>
          </cell>
          <cell r="H109">
            <v>0</v>
          </cell>
          <cell r="I109">
            <v>10</v>
          </cell>
          <cell r="J109">
            <v>5</v>
          </cell>
          <cell r="K109">
            <v>15</v>
          </cell>
          <cell r="L109">
            <v>0</v>
          </cell>
          <cell r="M109">
            <v>0</v>
          </cell>
          <cell r="N109">
            <v>0</v>
          </cell>
          <cell r="O109">
            <v>20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5</v>
          </cell>
          <cell r="W109">
            <v>20</v>
          </cell>
          <cell r="X109">
            <v>0</v>
          </cell>
          <cell r="Y109">
            <v>30</v>
          </cell>
          <cell r="Z109">
            <v>25</v>
          </cell>
          <cell r="AA109">
            <v>35</v>
          </cell>
          <cell r="AB109">
            <v>0</v>
          </cell>
          <cell r="AC109">
            <v>13</v>
          </cell>
          <cell r="AD109">
            <v>15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221</v>
          </cell>
          <cell r="AJ109">
            <v>35</v>
          </cell>
          <cell r="AK109">
            <v>14</v>
          </cell>
        </row>
        <row r="110">
          <cell r="C110">
            <v>350619006</v>
          </cell>
          <cell r="D110">
            <v>0</v>
          </cell>
          <cell r="E110">
            <v>0</v>
          </cell>
          <cell r="F110">
            <v>6</v>
          </cell>
          <cell r="G110">
            <v>31</v>
          </cell>
          <cell r="H110">
            <v>0</v>
          </cell>
          <cell r="I110">
            <v>8</v>
          </cell>
          <cell r="J110">
            <v>0</v>
          </cell>
          <cell r="K110">
            <v>21</v>
          </cell>
          <cell r="L110">
            <v>0</v>
          </cell>
          <cell r="M110">
            <v>1</v>
          </cell>
          <cell r="N110">
            <v>0</v>
          </cell>
          <cell r="O110">
            <v>0</v>
          </cell>
          <cell r="P110">
            <v>0</v>
          </cell>
          <cell r="Q110">
            <v>21</v>
          </cell>
          <cell r="R110">
            <v>0</v>
          </cell>
          <cell r="S110">
            <v>0</v>
          </cell>
          <cell r="T110">
            <v>0</v>
          </cell>
          <cell r="U110">
            <v>16</v>
          </cell>
          <cell r="V110">
            <v>2</v>
          </cell>
          <cell r="W110">
            <v>52</v>
          </cell>
          <cell r="X110">
            <v>2</v>
          </cell>
          <cell r="Y110">
            <v>30</v>
          </cell>
          <cell r="Z110">
            <v>37</v>
          </cell>
          <cell r="AA110">
            <v>32</v>
          </cell>
          <cell r="AB110">
            <v>0</v>
          </cell>
          <cell r="AC110">
            <v>10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269</v>
          </cell>
          <cell r="AJ110">
            <v>52</v>
          </cell>
          <cell r="AK110">
            <v>14</v>
          </cell>
        </row>
        <row r="111">
          <cell r="C111">
            <v>350619007</v>
          </cell>
          <cell r="D111">
            <v>0</v>
          </cell>
          <cell r="E111">
            <v>15</v>
          </cell>
          <cell r="F111">
            <v>0</v>
          </cell>
          <cell r="G111">
            <v>0</v>
          </cell>
          <cell r="H111">
            <v>0</v>
          </cell>
          <cell r="I111">
            <v>34</v>
          </cell>
          <cell r="J111">
            <v>0</v>
          </cell>
          <cell r="K111">
            <v>23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11</v>
          </cell>
          <cell r="R111">
            <v>0</v>
          </cell>
          <cell r="S111">
            <v>0</v>
          </cell>
          <cell r="T111">
            <v>0</v>
          </cell>
          <cell r="U111">
            <v>15</v>
          </cell>
          <cell r="V111">
            <v>12</v>
          </cell>
          <cell r="W111">
            <v>40</v>
          </cell>
          <cell r="X111">
            <v>10</v>
          </cell>
          <cell r="Y111">
            <v>17</v>
          </cell>
          <cell r="Z111">
            <v>72</v>
          </cell>
          <cell r="AA111">
            <v>6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255</v>
          </cell>
          <cell r="AJ111">
            <v>72</v>
          </cell>
          <cell r="AK111">
            <v>11</v>
          </cell>
        </row>
        <row r="112">
          <cell r="C112">
            <v>350619008</v>
          </cell>
          <cell r="D112">
            <v>0</v>
          </cell>
          <cell r="E112">
            <v>12</v>
          </cell>
          <cell r="F112">
            <v>0</v>
          </cell>
          <cell r="G112">
            <v>20</v>
          </cell>
          <cell r="H112">
            <v>0</v>
          </cell>
          <cell r="I112">
            <v>7</v>
          </cell>
          <cell r="J112">
            <v>0</v>
          </cell>
          <cell r="K112">
            <v>6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2</v>
          </cell>
          <cell r="S112">
            <v>5</v>
          </cell>
          <cell r="T112">
            <v>0</v>
          </cell>
          <cell r="U112">
            <v>4</v>
          </cell>
          <cell r="V112">
            <v>0</v>
          </cell>
          <cell r="W112">
            <v>9</v>
          </cell>
          <cell r="X112">
            <v>2</v>
          </cell>
          <cell r="Y112">
            <v>9</v>
          </cell>
          <cell r="Z112">
            <v>20</v>
          </cell>
          <cell r="AA112">
            <v>4</v>
          </cell>
          <cell r="AB112">
            <v>0</v>
          </cell>
          <cell r="AC112">
            <v>2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102</v>
          </cell>
          <cell r="AJ112">
            <v>20</v>
          </cell>
          <cell r="AK112">
            <v>13</v>
          </cell>
        </row>
        <row r="113">
          <cell r="C113">
            <v>350619009</v>
          </cell>
          <cell r="D113">
            <v>0</v>
          </cell>
          <cell r="E113">
            <v>23</v>
          </cell>
          <cell r="F113">
            <v>10</v>
          </cell>
          <cell r="G113">
            <v>9</v>
          </cell>
          <cell r="H113">
            <v>0</v>
          </cell>
          <cell r="I113">
            <v>6</v>
          </cell>
          <cell r="J113">
            <v>0</v>
          </cell>
          <cell r="K113">
            <v>5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3</v>
          </cell>
          <cell r="S113">
            <v>9</v>
          </cell>
          <cell r="T113">
            <v>0</v>
          </cell>
          <cell r="U113">
            <v>8</v>
          </cell>
          <cell r="V113">
            <v>0</v>
          </cell>
          <cell r="W113">
            <v>10</v>
          </cell>
          <cell r="X113">
            <v>7</v>
          </cell>
          <cell r="Y113">
            <v>21</v>
          </cell>
          <cell r="Z113">
            <v>11</v>
          </cell>
          <cell r="AA113">
            <v>10</v>
          </cell>
          <cell r="AB113">
            <v>0</v>
          </cell>
          <cell r="AC113">
            <v>10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142</v>
          </cell>
          <cell r="AJ113">
            <v>23</v>
          </cell>
          <cell r="AK113">
            <v>14</v>
          </cell>
        </row>
        <row r="114">
          <cell r="C114">
            <v>350619010</v>
          </cell>
          <cell r="D114">
            <v>5.5</v>
          </cell>
          <cell r="E114">
            <v>4.5</v>
          </cell>
          <cell r="F114">
            <v>3</v>
          </cell>
          <cell r="G114">
            <v>14</v>
          </cell>
          <cell r="H114">
            <v>0</v>
          </cell>
          <cell r="I114">
            <v>4</v>
          </cell>
          <cell r="J114">
            <v>0</v>
          </cell>
          <cell r="K114">
            <v>2.5</v>
          </cell>
          <cell r="L114">
            <v>0</v>
          </cell>
          <cell r="M114">
            <v>0</v>
          </cell>
          <cell r="N114">
            <v>0</v>
          </cell>
          <cell r="O114">
            <v>1</v>
          </cell>
          <cell r="P114">
            <v>3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4</v>
          </cell>
          <cell r="X114">
            <v>20</v>
          </cell>
          <cell r="Y114">
            <v>10</v>
          </cell>
          <cell r="Z114">
            <v>6</v>
          </cell>
          <cell r="AA114">
            <v>2</v>
          </cell>
          <cell r="AB114">
            <v>0</v>
          </cell>
          <cell r="AC114">
            <v>25</v>
          </cell>
          <cell r="AD114">
            <v>1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106.5</v>
          </cell>
          <cell r="AJ114">
            <v>25</v>
          </cell>
          <cell r="AK114">
            <v>16</v>
          </cell>
        </row>
        <row r="115">
          <cell r="C115">
            <v>350619011</v>
          </cell>
          <cell r="D115">
            <v>0</v>
          </cell>
          <cell r="E115">
            <v>5</v>
          </cell>
          <cell r="F115">
            <v>12</v>
          </cell>
          <cell r="G115">
            <v>29</v>
          </cell>
          <cell r="H115">
            <v>40</v>
          </cell>
          <cell r="I115">
            <v>5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15</v>
          </cell>
          <cell r="W115">
            <v>19</v>
          </cell>
          <cell r="X115">
            <v>5</v>
          </cell>
          <cell r="Y115">
            <v>51</v>
          </cell>
          <cell r="Z115">
            <v>19</v>
          </cell>
          <cell r="AA115">
            <v>25</v>
          </cell>
          <cell r="AB115">
            <v>103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328</v>
          </cell>
          <cell r="AJ115">
            <v>103</v>
          </cell>
          <cell r="AK115">
            <v>12</v>
          </cell>
        </row>
        <row r="116">
          <cell r="C116">
            <v>350619012</v>
          </cell>
          <cell r="D116">
            <v>0</v>
          </cell>
          <cell r="E116">
            <v>12</v>
          </cell>
          <cell r="F116">
            <v>9</v>
          </cell>
          <cell r="G116">
            <v>10</v>
          </cell>
          <cell r="H116">
            <v>0</v>
          </cell>
          <cell r="I116">
            <v>9</v>
          </cell>
          <cell r="J116">
            <v>2</v>
          </cell>
          <cell r="K116">
            <v>11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</v>
          </cell>
          <cell r="R116">
            <v>2</v>
          </cell>
          <cell r="S116">
            <v>11</v>
          </cell>
          <cell r="T116">
            <v>0</v>
          </cell>
          <cell r="U116">
            <v>8</v>
          </cell>
          <cell r="V116">
            <v>0</v>
          </cell>
          <cell r="W116">
            <v>12</v>
          </cell>
          <cell r="X116">
            <v>4</v>
          </cell>
          <cell r="Y116">
            <v>14</v>
          </cell>
          <cell r="Z116">
            <v>59</v>
          </cell>
          <cell r="AA116">
            <v>7</v>
          </cell>
          <cell r="AB116">
            <v>0</v>
          </cell>
          <cell r="AC116">
            <v>6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178</v>
          </cell>
          <cell r="AJ116">
            <v>59</v>
          </cell>
          <cell r="AK116">
            <v>16</v>
          </cell>
        </row>
        <row r="117">
          <cell r="C117">
            <v>350619013</v>
          </cell>
          <cell r="D117">
            <v>0</v>
          </cell>
          <cell r="E117">
            <v>5</v>
          </cell>
          <cell r="F117">
            <v>31</v>
          </cell>
          <cell r="G117">
            <v>8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17</v>
          </cell>
          <cell r="N117">
            <v>0</v>
          </cell>
          <cell r="O117">
            <v>0</v>
          </cell>
          <cell r="P117">
            <v>0</v>
          </cell>
          <cell r="Q117">
            <v>6</v>
          </cell>
          <cell r="R117">
            <v>0</v>
          </cell>
          <cell r="S117">
            <v>0</v>
          </cell>
          <cell r="T117">
            <v>7</v>
          </cell>
          <cell r="U117">
            <v>12</v>
          </cell>
          <cell r="V117">
            <v>0</v>
          </cell>
          <cell r="W117">
            <v>7</v>
          </cell>
          <cell r="X117">
            <v>26</v>
          </cell>
          <cell r="Y117">
            <v>14</v>
          </cell>
          <cell r="Z117">
            <v>27</v>
          </cell>
          <cell r="AA117">
            <v>0</v>
          </cell>
          <cell r="AB117">
            <v>22</v>
          </cell>
          <cell r="AC117">
            <v>47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229</v>
          </cell>
          <cell r="AJ117">
            <v>47</v>
          </cell>
          <cell r="AK117">
            <v>13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0</v>
          </cell>
          <cell r="G118">
            <v>3</v>
          </cell>
          <cell r="H118">
            <v>9</v>
          </cell>
          <cell r="I118">
            <v>13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5</v>
          </cell>
          <cell r="V118">
            <v>0</v>
          </cell>
          <cell r="W118">
            <v>9</v>
          </cell>
          <cell r="X118">
            <v>9</v>
          </cell>
          <cell r="Y118">
            <v>0</v>
          </cell>
          <cell r="Z118">
            <v>5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53</v>
          </cell>
          <cell r="AJ118">
            <v>13</v>
          </cell>
          <cell r="AK118">
            <v>7</v>
          </cell>
        </row>
        <row r="119">
          <cell r="C119">
            <v>350619015</v>
          </cell>
          <cell r="D119">
            <v>0</v>
          </cell>
          <cell r="E119">
            <v>2</v>
          </cell>
          <cell r="F119">
            <v>0</v>
          </cell>
          <cell r="G119">
            <v>0</v>
          </cell>
          <cell r="H119">
            <v>0</v>
          </cell>
          <cell r="I119">
            <v>25</v>
          </cell>
          <cell r="J119">
            <v>0</v>
          </cell>
          <cell r="K119">
            <v>2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2</v>
          </cell>
          <cell r="Q119">
            <v>0</v>
          </cell>
          <cell r="R119">
            <v>0</v>
          </cell>
          <cell r="S119">
            <v>0</v>
          </cell>
          <cell r="T119">
            <v>1</v>
          </cell>
          <cell r="U119">
            <v>7</v>
          </cell>
          <cell r="V119">
            <v>3</v>
          </cell>
          <cell r="W119">
            <v>21</v>
          </cell>
          <cell r="X119">
            <v>15</v>
          </cell>
          <cell r="Y119">
            <v>18</v>
          </cell>
          <cell r="Z119">
            <v>5</v>
          </cell>
          <cell r="AA119">
            <v>1</v>
          </cell>
          <cell r="AB119">
            <v>0</v>
          </cell>
          <cell r="AC119">
            <v>10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112</v>
          </cell>
          <cell r="AJ119">
            <v>25</v>
          </cell>
          <cell r="AK119">
            <v>13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29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2</v>
          </cell>
          <cell r="U120">
            <v>1</v>
          </cell>
          <cell r="V120">
            <v>11</v>
          </cell>
          <cell r="W120">
            <v>7</v>
          </cell>
          <cell r="X120">
            <v>11</v>
          </cell>
          <cell r="Y120">
            <v>7</v>
          </cell>
          <cell r="Z120">
            <v>2</v>
          </cell>
          <cell r="AA120">
            <v>0</v>
          </cell>
          <cell r="AB120">
            <v>0</v>
          </cell>
          <cell r="AC120">
            <v>18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88</v>
          </cell>
          <cell r="AJ120">
            <v>29</v>
          </cell>
          <cell r="AK120">
            <v>9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8</v>
          </cell>
          <cell r="H121">
            <v>15</v>
          </cell>
          <cell r="I121">
            <v>12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8</v>
          </cell>
          <cell r="T121">
            <v>0</v>
          </cell>
          <cell r="U121">
            <v>5</v>
          </cell>
          <cell r="V121">
            <v>0</v>
          </cell>
          <cell r="W121">
            <v>10</v>
          </cell>
          <cell r="X121">
            <v>5</v>
          </cell>
          <cell r="Y121">
            <v>10</v>
          </cell>
          <cell r="Z121">
            <v>40</v>
          </cell>
          <cell r="AA121">
            <v>8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121</v>
          </cell>
          <cell r="AJ121">
            <v>40</v>
          </cell>
          <cell r="AK121">
            <v>10</v>
          </cell>
        </row>
        <row r="122">
          <cell r="C122">
            <v>350619018</v>
          </cell>
          <cell r="D122">
            <v>0</v>
          </cell>
          <cell r="E122">
            <v>0</v>
          </cell>
          <cell r="F122">
            <v>0</v>
          </cell>
          <cell r="G122">
            <v>34</v>
          </cell>
          <cell r="H122">
            <v>0</v>
          </cell>
          <cell r="I122">
            <v>3</v>
          </cell>
          <cell r="J122">
            <v>0</v>
          </cell>
          <cell r="K122">
            <v>0</v>
          </cell>
          <cell r="L122">
            <v>0</v>
          </cell>
          <cell r="M122">
            <v>8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5</v>
          </cell>
          <cell r="U122">
            <v>8</v>
          </cell>
          <cell r="V122">
            <v>5</v>
          </cell>
          <cell r="W122">
            <v>9</v>
          </cell>
          <cell r="X122">
            <v>4</v>
          </cell>
          <cell r="Y122">
            <v>17</v>
          </cell>
          <cell r="Z122">
            <v>3</v>
          </cell>
          <cell r="AA122">
            <v>0</v>
          </cell>
          <cell r="AB122">
            <v>2</v>
          </cell>
          <cell r="AC122">
            <v>5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103</v>
          </cell>
          <cell r="AJ122">
            <v>34</v>
          </cell>
          <cell r="AK122">
            <v>12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0</v>
          </cell>
          <cell r="G123">
            <v>2</v>
          </cell>
          <cell r="H123">
            <v>7</v>
          </cell>
          <cell r="I123">
            <v>12</v>
          </cell>
          <cell r="J123">
            <v>0</v>
          </cell>
          <cell r="K123">
            <v>0</v>
          </cell>
          <cell r="L123">
            <v>0</v>
          </cell>
          <cell r="M123">
            <v>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2</v>
          </cell>
          <cell r="V123">
            <v>0</v>
          </cell>
          <cell r="W123">
            <v>7</v>
          </cell>
          <cell r="X123">
            <v>8</v>
          </cell>
          <cell r="Y123">
            <v>0</v>
          </cell>
          <cell r="Z123">
            <v>3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43</v>
          </cell>
          <cell r="AJ123">
            <v>12</v>
          </cell>
          <cell r="AK123">
            <v>8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6</v>
          </cell>
          <cell r="U124">
            <v>0</v>
          </cell>
          <cell r="V124">
            <v>0</v>
          </cell>
          <cell r="W124">
            <v>26</v>
          </cell>
          <cell r="X124">
            <v>10</v>
          </cell>
          <cell r="Y124">
            <v>12</v>
          </cell>
          <cell r="Z124">
            <v>0</v>
          </cell>
          <cell r="AA124">
            <v>0</v>
          </cell>
          <cell r="AB124">
            <v>0</v>
          </cell>
          <cell r="AC124">
            <v>4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58</v>
          </cell>
          <cell r="AJ124">
            <v>26</v>
          </cell>
          <cell r="AK124">
            <v>5</v>
          </cell>
        </row>
        <row r="125">
          <cell r="C125">
            <v>350619021</v>
          </cell>
          <cell r="D125">
            <v>0</v>
          </cell>
          <cell r="E125">
            <v>78</v>
          </cell>
          <cell r="F125">
            <v>0</v>
          </cell>
          <cell r="G125">
            <v>1</v>
          </cell>
          <cell r="H125">
            <v>2</v>
          </cell>
          <cell r="I125">
            <v>55</v>
          </cell>
          <cell r="J125">
            <v>1</v>
          </cell>
          <cell r="K125">
            <v>0</v>
          </cell>
          <cell r="L125">
            <v>0</v>
          </cell>
          <cell r="M125">
            <v>22</v>
          </cell>
          <cell r="N125">
            <v>0</v>
          </cell>
          <cell r="O125">
            <v>0</v>
          </cell>
          <cell r="P125">
            <v>24</v>
          </cell>
          <cell r="Q125">
            <v>3</v>
          </cell>
          <cell r="R125">
            <v>13</v>
          </cell>
          <cell r="S125">
            <v>0</v>
          </cell>
          <cell r="T125">
            <v>5</v>
          </cell>
          <cell r="U125">
            <v>11</v>
          </cell>
          <cell r="V125">
            <v>8</v>
          </cell>
          <cell r="W125">
            <v>15</v>
          </cell>
          <cell r="X125">
            <v>39</v>
          </cell>
          <cell r="Y125">
            <v>34</v>
          </cell>
          <cell r="Z125">
            <v>7</v>
          </cell>
          <cell r="AA125">
            <v>0</v>
          </cell>
          <cell r="AB125">
            <v>0</v>
          </cell>
          <cell r="AC125">
            <v>2</v>
          </cell>
          <cell r="AD125">
            <v>10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330</v>
          </cell>
          <cell r="AJ125">
            <v>78</v>
          </cell>
          <cell r="AK125">
            <v>18</v>
          </cell>
        </row>
        <row r="126">
          <cell r="C126">
            <v>350619022</v>
          </cell>
          <cell r="D126">
            <v>0</v>
          </cell>
          <cell r="E126">
            <v>5</v>
          </cell>
          <cell r="F126">
            <v>0</v>
          </cell>
          <cell r="G126">
            <v>6</v>
          </cell>
          <cell r="H126">
            <v>14</v>
          </cell>
          <cell r="I126">
            <v>3</v>
          </cell>
          <cell r="J126">
            <v>11</v>
          </cell>
          <cell r="K126">
            <v>37</v>
          </cell>
          <cell r="L126">
            <v>0</v>
          </cell>
          <cell r="M126">
            <v>4</v>
          </cell>
          <cell r="N126">
            <v>0</v>
          </cell>
          <cell r="O126">
            <v>33</v>
          </cell>
          <cell r="P126">
            <v>26</v>
          </cell>
          <cell r="Q126">
            <v>17</v>
          </cell>
          <cell r="R126">
            <v>10</v>
          </cell>
          <cell r="S126">
            <v>2</v>
          </cell>
          <cell r="T126">
            <v>13</v>
          </cell>
          <cell r="U126">
            <v>34</v>
          </cell>
          <cell r="V126">
            <v>109</v>
          </cell>
          <cell r="W126">
            <v>9</v>
          </cell>
          <cell r="X126">
            <v>32</v>
          </cell>
          <cell r="Y126">
            <v>97</v>
          </cell>
          <cell r="Z126">
            <v>2</v>
          </cell>
          <cell r="AA126">
            <v>23</v>
          </cell>
          <cell r="AB126">
            <v>0</v>
          </cell>
          <cell r="AC126">
            <v>2</v>
          </cell>
          <cell r="AD126">
            <v>26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515</v>
          </cell>
          <cell r="AJ126">
            <v>109</v>
          </cell>
          <cell r="AK126">
            <v>22</v>
          </cell>
        </row>
        <row r="127">
          <cell r="C127">
            <v>350619023</v>
          </cell>
          <cell r="D127">
            <v>0</v>
          </cell>
          <cell r="E127">
            <v>4</v>
          </cell>
          <cell r="F127">
            <v>0</v>
          </cell>
          <cell r="G127">
            <v>6</v>
          </cell>
          <cell r="H127">
            <v>10</v>
          </cell>
          <cell r="I127">
            <v>0</v>
          </cell>
          <cell r="J127">
            <v>9</v>
          </cell>
          <cell r="K127">
            <v>21</v>
          </cell>
          <cell r="L127">
            <v>0</v>
          </cell>
          <cell r="M127">
            <v>3</v>
          </cell>
          <cell r="N127">
            <v>0</v>
          </cell>
          <cell r="O127">
            <v>22</v>
          </cell>
          <cell r="P127">
            <v>10</v>
          </cell>
          <cell r="Q127">
            <v>19</v>
          </cell>
          <cell r="R127">
            <v>7</v>
          </cell>
          <cell r="S127">
            <v>5</v>
          </cell>
          <cell r="T127">
            <v>10</v>
          </cell>
          <cell r="U127">
            <v>7</v>
          </cell>
          <cell r="V127">
            <v>53</v>
          </cell>
          <cell r="W127">
            <v>35</v>
          </cell>
          <cell r="X127">
            <v>25</v>
          </cell>
          <cell r="Y127">
            <v>43</v>
          </cell>
          <cell r="Z127">
            <v>3</v>
          </cell>
          <cell r="AA127">
            <v>20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312</v>
          </cell>
          <cell r="AJ127">
            <v>53</v>
          </cell>
          <cell r="AK127">
            <v>19</v>
          </cell>
        </row>
        <row r="128">
          <cell r="C128">
            <v>350619024</v>
          </cell>
          <cell r="D128">
            <v>0</v>
          </cell>
          <cell r="E128">
            <v>36</v>
          </cell>
          <cell r="F128">
            <v>0</v>
          </cell>
          <cell r="G128">
            <v>0</v>
          </cell>
          <cell r="H128">
            <v>4</v>
          </cell>
          <cell r="I128">
            <v>70</v>
          </cell>
          <cell r="J128">
            <v>17</v>
          </cell>
          <cell r="K128">
            <v>12</v>
          </cell>
          <cell r="L128">
            <v>0</v>
          </cell>
          <cell r="M128">
            <v>28</v>
          </cell>
          <cell r="N128">
            <v>0</v>
          </cell>
          <cell r="O128">
            <v>0</v>
          </cell>
          <cell r="P128">
            <v>20</v>
          </cell>
          <cell r="Q128">
            <v>6</v>
          </cell>
          <cell r="R128">
            <v>10</v>
          </cell>
          <cell r="S128">
            <v>4</v>
          </cell>
          <cell r="T128">
            <v>9</v>
          </cell>
          <cell r="U128">
            <v>15</v>
          </cell>
          <cell r="V128">
            <v>5</v>
          </cell>
          <cell r="W128">
            <v>22</v>
          </cell>
          <cell r="X128">
            <v>32</v>
          </cell>
          <cell r="Y128">
            <v>63</v>
          </cell>
          <cell r="Z128">
            <v>8</v>
          </cell>
          <cell r="AA128">
            <v>0</v>
          </cell>
          <cell r="AB128">
            <v>0</v>
          </cell>
          <cell r="AC128">
            <v>5</v>
          </cell>
          <cell r="AD128">
            <v>14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380</v>
          </cell>
          <cell r="AJ128">
            <v>70</v>
          </cell>
          <cell r="AK128">
            <v>19</v>
          </cell>
        </row>
        <row r="129">
          <cell r="C129">
            <v>350619025</v>
          </cell>
          <cell r="D129">
            <v>0</v>
          </cell>
          <cell r="E129">
            <v>122</v>
          </cell>
          <cell r="F129">
            <v>0</v>
          </cell>
          <cell r="G129">
            <v>0</v>
          </cell>
          <cell r="H129">
            <v>0</v>
          </cell>
          <cell r="I129">
            <v>25</v>
          </cell>
          <cell r="J129">
            <v>6</v>
          </cell>
          <cell r="K129">
            <v>0</v>
          </cell>
          <cell r="L129">
            <v>0</v>
          </cell>
          <cell r="M129">
            <v>145</v>
          </cell>
          <cell r="N129">
            <v>0</v>
          </cell>
          <cell r="O129">
            <v>0</v>
          </cell>
          <cell r="P129">
            <v>36</v>
          </cell>
          <cell r="Q129">
            <v>8</v>
          </cell>
          <cell r="R129">
            <v>0</v>
          </cell>
          <cell r="S129">
            <v>4</v>
          </cell>
          <cell r="T129">
            <v>34</v>
          </cell>
          <cell r="U129">
            <v>34</v>
          </cell>
          <cell r="V129">
            <v>109</v>
          </cell>
          <cell r="W129">
            <v>123</v>
          </cell>
          <cell r="X129">
            <v>86</v>
          </cell>
          <cell r="Y129">
            <v>104</v>
          </cell>
          <cell r="Z129">
            <v>6</v>
          </cell>
          <cell r="AA129">
            <v>4</v>
          </cell>
          <cell r="AB129">
            <v>0</v>
          </cell>
          <cell r="AC129">
            <v>0</v>
          </cell>
          <cell r="AD129">
            <v>7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853</v>
          </cell>
          <cell r="AJ129">
            <v>145</v>
          </cell>
          <cell r="AK129">
            <v>16</v>
          </cell>
        </row>
        <row r="130">
          <cell r="C130">
            <v>350619026</v>
          </cell>
          <cell r="D130">
            <v>0</v>
          </cell>
          <cell r="E130">
            <v>17</v>
          </cell>
          <cell r="F130">
            <v>21</v>
          </cell>
          <cell r="G130">
            <v>12</v>
          </cell>
          <cell r="H130">
            <v>15</v>
          </cell>
          <cell r="I130">
            <v>34</v>
          </cell>
          <cell r="J130">
            <v>21</v>
          </cell>
          <cell r="K130">
            <v>25</v>
          </cell>
          <cell r="L130">
            <v>18</v>
          </cell>
          <cell r="M130">
            <v>37</v>
          </cell>
          <cell r="N130">
            <v>13</v>
          </cell>
          <cell r="O130">
            <v>15</v>
          </cell>
          <cell r="P130">
            <v>22</v>
          </cell>
          <cell r="Q130">
            <v>9</v>
          </cell>
          <cell r="R130">
            <v>11</v>
          </cell>
          <cell r="S130">
            <v>10</v>
          </cell>
          <cell r="T130">
            <v>25</v>
          </cell>
          <cell r="U130">
            <v>27</v>
          </cell>
          <cell r="V130">
            <v>9</v>
          </cell>
          <cell r="W130">
            <v>47</v>
          </cell>
          <cell r="X130">
            <v>71</v>
          </cell>
          <cell r="Y130">
            <v>81</v>
          </cell>
          <cell r="Z130">
            <v>80</v>
          </cell>
          <cell r="AA130">
            <v>9</v>
          </cell>
          <cell r="AB130">
            <v>8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637</v>
          </cell>
          <cell r="AJ130">
            <v>81</v>
          </cell>
          <cell r="AK130">
            <v>24</v>
          </cell>
        </row>
        <row r="131">
          <cell r="C131">
            <v>350619027</v>
          </cell>
          <cell r="D131">
            <v>10</v>
          </cell>
          <cell r="E131">
            <v>2</v>
          </cell>
          <cell r="F131">
            <v>0</v>
          </cell>
          <cell r="G131">
            <v>2</v>
          </cell>
          <cell r="H131">
            <v>5</v>
          </cell>
          <cell r="I131">
            <v>2</v>
          </cell>
          <cell r="J131">
            <v>1</v>
          </cell>
          <cell r="K131">
            <v>0</v>
          </cell>
          <cell r="L131">
            <v>26</v>
          </cell>
          <cell r="M131">
            <v>9</v>
          </cell>
          <cell r="N131">
            <v>0</v>
          </cell>
          <cell r="O131">
            <v>0</v>
          </cell>
          <cell r="P131">
            <v>2</v>
          </cell>
          <cell r="Q131">
            <v>0</v>
          </cell>
          <cell r="R131">
            <v>0</v>
          </cell>
          <cell r="S131">
            <v>0</v>
          </cell>
          <cell r="T131">
            <v>1</v>
          </cell>
          <cell r="U131">
            <v>2</v>
          </cell>
          <cell r="V131">
            <v>0</v>
          </cell>
          <cell r="W131">
            <v>6</v>
          </cell>
          <cell r="X131">
            <v>6</v>
          </cell>
          <cell r="Y131">
            <v>8</v>
          </cell>
          <cell r="Z131">
            <v>0</v>
          </cell>
          <cell r="AA131">
            <v>1</v>
          </cell>
          <cell r="AB131">
            <v>0</v>
          </cell>
          <cell r="AC131">
            <v>4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87</v>
          </cell>
          <cell r="AJ131">
            <v>26</v>
          </cell>
          <cell r="AK131">
            <v>16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5</v>
          </cell>
          <cell r="H132">
            <v>6</v>
          </cell>
          <cell r="I132">
            <v>15</v>
          </cell>
          <cell r="J132">
            <v>8</v>
          </cell>
          <cell r="K132">
            <v>0</v>
          </cell>
          <cell r="L132">
            <v>5</v>
          </cell>
          <cell r="M132">
            <v>5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5</v>
          </cell>
          <cell r="T132">
            <v>8</v>
          </cell>
          <cell r="U132">
            <v>5</v>
          </cell>
          <cell r="V132">
            <v>6</v>
          </cell>
          <cell r="W132">
            <v>43</v>
          </cell>
          <cell r="X132">
            <v>6</v>
          </cell>
          <cell r="Y132">
            <v>21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138</v>
          </cell>
          <cell r="AJ132">
            <v>43</v>
          </cell>
          <cell r="AK132">
            <v>13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33</v>
          </cell>
          <cell r="J133">
            <v>6</v>
          </cell>
          <cell r="K133">
            <v>0</v>
          </cell>
          <cell r="L133">
            <v>0</v>
          </cell>
          <cell r="M133">
            <v>6</v>
          </cell>
          <cell r="N133">
            <v>2</v>
          </cell>
          <cell r="O133">
            <v>0</v>
          </cell>
          <cell r="P133">
            <v>3</v>
          </cell>
          <cell r="Q133">
            <v>0</v>
          </cell>
          <cell r="R133">
            <v>0</v>
          </cell>
          <cell r="S133">
            <v>0</v>
          </cell>
          <cell r="T133">
            <v>6</v>
          </cell>
          <cell r="U133">
            <v>6</v>
          </cell>
          <cell r="V133">
            <v>0</v>
          </cell>
          <cell r="W133">
            <v>25</v>
          </cell>
          <cell r="X133">
            <v>15</v>
          </cell>
          <cell r="Y133">
            <v>10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112</v>
          </cell>
          <cell r="AJ133">
            <v>33</v>
          </cell>
          <cell r="AK133">
            <v>10</v>
          </cell>
        </row>
        <row r="134">
          <cell r="C134">
            <v>350619030</v>
          </cell>
          <cell r="D134">
            <v>10</v>
          </cell>
          <cell r="E134">
            <v>5</v>
          </cell>
          <cell r="F134">
            <v>0</v>
          </cell>
          <cell r="G134">
            <v>0</v>
          </cell>
          <cell r="H134">
            <v>0</v>
          </cell>
          <cell r="I134">
            <v>5</v>
          </cell>
          <cell r="J134">
            <v>0</v>
          </cell>
          <cell r="K134"/>
          <cell r="L134">
            <v>10</v>
          </cell>
          <cell r="M134">
            <v>5</v>
          </cell>
          <cell r="N134">
            <v>0</v>
          </cell>
          <cell r="O134">
            <v>0</v>
          </cell>
          <cell r="P134">
            <v>5</v>
          </cell>
          <cell r="Q134">
            <v>0</v>
          </cell>
          <cell r="R134">
            <v>0</v>
          </cell>
          <cell r="S134">
            <v>0</v>
          </cell>
          <cell r="T134">
            <v>5</v>
          </cell>
          <cell r="U134">
            <v>0</v>
          </cell>
          <cell r="V134">
            <v>0</v>
          </cell>
          <cell r="W134">
            <v>5</v>
          </cell>
          <cell r="X134">
            <v>7</v>
          </cell>
          <cell r="Y134">
            <v>12</v>
          </cell>
          <cell r="Z134">
            <v>0</v>
          </cell>
          <cell r="AA134">
            <v>0</v>
          </cell>
          <cell r="AB134">
            <v>0</v>
          </cell>
          <cell r="AC134">
            <v>6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75</v>
          </cell>
          <cell r="AJ134">
            <v>12</v>
          </cell>
          <cell r="AK134">
            <v>11</v>
          </cell>
        </row>
        <row r="135">
          <cell r="C135">
            <v>350619031</v>
          </cell>
          <cell r="D135">
            <v>0</v>
          </cell>
          <cell r="E135">
            <v>2</v>
          </cell>
          <cell r="F135">
            <v>0</v>
          </cell>
          <cell r="G135">
            <v>19</v>
          </cell>
          <cell r="H135">
            <v>0</v>
          </cell>
          <cell r="I135">
            <v>2</v>
          </cell>
          <cell r="J135">
            <v>6</v>
          </cell>
          <cell r="K135">
            <v>0</v>
          </cell>
          <cell r="L135">
            <v>0</v>
          </cell>
          <cell r="M135">
            <v>2</v>
          </cell>
          <cell r="N135">
            <v>8</v>
          </cell>
          <cell r="O135">
            <v>0</v>
          </cell>
          <cell r="P135">
            <v>0</v>
          </cell>
          <cell r="Q135">
            <v>7</v>
          </cell>
          <cell r="R135">
            <v>0</v>
          </cell>
          <cell r="S135">
            <v>2</v>
          </cell>
          <cell r="T135">
            <v>8</v>
          </cell>
          <cell r="U135">
            <v>13</v>
          </cell>
          <cell r="V135">
            <v>3</v>
          </cell>
          <cell r="W135">
            <v>43</v>
          </cell>
          <cell r="X135">
            <v>30</v>
          </cell>
          <cell r="Y135">
            <v>8</v>
          </cell>
          <cell r="Z135">
            <v>0</v>
          </cell>
          <cell r="AA135">
            <v>7</v>
          </cell>
          <cell r="AB135">
            <v>0</v>
          </cell>
          <cell r="AC135">
            <v>2</v>
          </cell>
          <cell r="AD135">
            <v>3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165</v>
          </cell>
          <cell r="AJ135">
            <v>43</v>
          </cell>
          <cell r="AK135">
            <v>17</v>
          </cell>
        </row>
        <row r="136">
          <cell r="C136">
            <v>350619032</v>
          </cell>
          <cell r="D136">
            <v>39</v>
          </cell>
          <cell r="E136">
            <v>1</v>
          </cell>
          <cell r="F136">
            <v>0</v>
          </cell>
          <cell r="G136">
            <v>7</v>
          </cell>
          <cell r="H136">
            <v>0</v>
          </cell>
          <cell r="I136">
            <v>0</v>
          </cell>
          <cell r="J136">
            <v>19</v>
          </cell>
          <cell r="K136">
            <v>6</v>
          </cell>
          <cell r="L136">
            <v>0</v>
          </cell>
          <cell r="M136">
            <v>8</v>
          </cell>
          <cell r="N136">
            <v>6</v>
          </cell>
          <cell r="O136">
            <v>0</v>
          </cell>
          <cell r="P136">
            <v>11</v>
          </cell>
          <cell r="Q136">
            <v>0</v>
          </cell>
          <cell r="R136">
            <v>0</v>
          </cell>
          <cell r="S136">
            <v>2</v>
          </cell>
          <cell r="T136">
            <v>23</v>
          </cell>
          <cell r="U136">
            <v>35</v>
          </cell>
          <cell r="V136">
            <v>1</v>
          </cell>
          <cell r="W136">
            <v>5</v>
          </cell>
          <cell r="X136">
            <v>46</v>
          </cell>
          <cell r="Y136">
            <v>39</v>
          </cell>
          <cell r="Z136">
            <v>0</v>
          </cell>
          <cell r="AA136">
            <v>20</v>
          </cell>
          <cell r="AB136">
            <v>0</v>
          </cell>
          <cell r="AC136">
            <v>2</v>
          </cell>
          <cell r="AD136">
            <v>13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283</v>
          </cell>
          <cell r="AJ136">
            <v>46</v>
          </cell>
          <cell r="AK136">
            <v>18</v>
          </cell>
        </row>
        <row r="137">
          <cell r="C137">
            <v>350619033</v>
          </cell>
          <cell r="D137">
            <v>2</v>
          </cell>
          <cell r="E137">
            <v>0</v>
          </cell>
          <cell r="F137">
            <v>0</v>
          </cell>
          <cell r="G137">
            <v>0</v>
          </cell>
          <cell r="H137">
            <v>54</v>
          </cell>
          <cell r="I137">
            <v>3</v>
          </cell>
          <cell r="J137">
            <v>19</v>
          </cell>
          <cell r="K137">
            <v>0</v>
          </cell>
          <cell r="L137">
            <v>0</v>
          </cell>
          <cell r="M137">
            <v>21</v>
          </cell>
          <cell r="N137">
            <v>9</v>
          </cell>
          <cell r="O137">
            <v>2</v>
          </cell>
          <cell r="P137">
            <v>0</v>
          </cell>
          <cell r="Q137">
            <v>4</v>
          </cell>
          <cell r="R137">
            <v>0</v>
          </cell>
          <cell r="S137">
            <v>0</v>
          </cell>
          <cell r="T137">
            <v>21</v>
          </cell>
          <cell r="U137">
            <v>29</v>
          </cell>
          <cell r="V137">
            <v>0</v>
          </cell>
          <cell r="W137">
            <v>0</v>
          </cell>
          <cell r="X137">
            <v>27</v>
          </cell>
          <cell r="Y137">
            <v>15</v>
          </cell>
          <cell r="Z137">
            <v>14</v>
          </cell>
          <cell r="AA137">
            <v>6</v>
          </cell>
          <cell r="AB137">
            <v>4</v>
          </cell>
          <cell r="AC137">
            <v>3</v>
          </cell>
          <cell r="AD137">
            <v>7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240</v>
          </cell>
          <cell r="AJ137">
            <v>54</v>
          </cell>
          <cell r="AK137">
            <v>17</v>
          </cell>
        </row>
        <row r="138">
          <cell r="C138">
            <v>350619034</v>
          </cell>
          <cell r="D138">
            <v>10</v>
          </cell>
          <cell r="E138">
            <v>3</v>
          </cell>
          <cell r="F138">
            <v>0</v>
          </cell>
          <cell r="G138">
            <v>0</v>
          </cell>
          <cell r="H138">
            <v>0</v>
          </cell>
          <cell r="I138">
            <v>4</v>
          </cell>
          <cell r="J138">
            <v>6</v>
          </cell>
          <cell r="K138">
            <v>4</v>
          </cell>
          <cell r="L138">
            <v>0</v>
          </cell>
          <cell r="M138">
            <v>25</v>
          </cell>
          <cell r="N138">
            <v>11</v>
          </cell>
          <cell r="O138">
            <v>2</v>
          </cell>
          <cell r="P138">
            <v>2</v>
          </cell>
          <cell r="Q138">
            <v>6</v>
          </cell>
          <cell r="R138">
            <v>0</v>
          </cell>
          <cell r="S138">
            <v>0</v>
          </cell>
          <cell r="T138">
            <v>14</v>
          </cell>
          <cell r="U138">
            <v>31</v>
          </cell>
          <cell r="V138">
            <v>0</v>
          </cell>
          <cell r="W138">
            <v>18</v>
          </cell>
          <cell r="X138">
            <v>19</v>
          </cell>
          <cell r="Y138">
            <v>8</v>
          </cell>
          <cell r="Z138">
            <v>0</v>
          </cell>
          <cell r="AA138">
            <v>4</v>
          </cell>
          <cell r="AB138">
            <v>0</v>
          </cell>
          <cell r="AC138">
            <v>6</v>
          </cell>
          <cell r="AD138">
            <v>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177</v>
          </cell>
          <cell r="AJ138">
            <v>31</v>
          </cell>
          <cell r="AK138">
            <v>18</v>
          </cell>
        </row>
        <row r="139">
          <cell r="C139">
            <v>350619035</v>
          </cell>
          <cell r="D139">
            <v>10</v>
          </cell>
          <cell r="E139">
            <v>0</v>
          </cell>
          <cell r="F139">
            <v>0</v>
          </cell>
          <cell r="G139">
            <v>0</v>
          </cell>
          <cell r="H139">
            <v>8</v>
          </cell>
          <cell r="I139">
            <v>16</v>
          </cell>
          <cell r="J139">
            <v>0</v>
          </cell>
          <cell r="K139">
            <v>0</v>
          </cell>
          <cell r="L139">
            <v>22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12</v>
          </cell>
          <cell r="S139">
            <v>0</v>
          </cell>
          <cell r="T139">
            <v>10</v>
          </cell>
          <cell r="U139">
            <v>0</v>
          </cell>
          <cell r="V139">
            <v>0</v>
          </cell>
          <cell r="W139">
            <v>0</v>
          </cell>
          <cell r="X139">
            <v>18</v>
          </cell>
          <cell r="Y139">
            <v>26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122</v>
          </cell>
          <cell r="AJ139">
            <v>26</v>
          </cell>
          <cell r="AK139">
            <v>8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5</v>
          </cell>
          <cell r="H140">
            <v>8</v>
          </cell>
          <cell r="I140">
            <v>16</v>
          </cell>
          <cell r="J140">
            <v>10</v>
          </cell>
          <cell r="K140">
            <v>0</v>
          </cell>
          <cell r="L140">
            <v>7</v>
          </cell>
          <cell r="M140">
            <v>5</v>
          </cell>
          <cell r="N140">
            <v>6</v>
          </cell>
          <cell r="O140">
            <v>13</v>
          </cell>
          <cell r="P140">
            <v>9</v>
          </cell>
          <cell r="Q140">
            <v>7</v>
          </cell>
          <cell r="R140">
            <v>0</v>
          </cell>
          <cell r="S140">
            <v>6</v>
          </cell>
          <cell r="T140">
            <v>11</v>
          </cell>
          <cell r="U140">
            <v>9</v>
          </cell>
          <cell r="V140">
            <v>7</v>
          </cell>
          <cell r="W140">
            <v>49</v>
          </cell>
          <cell r="X140">
            <v>8</v>
          </cell>
          <cell r="Y140">
            <v>28</v>
          </cell>
          <cell r="Z140">
            <v>0</v>
          </cell>
          <cell r="AA140">
            <v>0</v>
          </cell>
          <cell r="AB140">
            <v>0</v>
          </cell>
          <cell r="AC140">
            <v>5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209</v>
          </cell>
          <cell r="AJ140">
            <v>49</v>
          </cell>
          <cell r="AK140">
            <v>18</v>
          </cell>
        </row>
        <row r="141">
          <cell r="C141">
            <v>350620001</v>
          </cell>
          <cell r="D141">
            <v>0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18</v>
          </cell>
          <cell r="J141">
            <v>3</v>
          </cell>
          <cell r="K141">
            <v>0</v>
          </cell>
          <cell r="L141">
            <v>19</v>
          </cell>
          <cell r="M141">
            <v>0</v>
          </cell>
          <cell r="N141">
            <v>1</v>
          </cell>
          <cell r="O141">
            <v>0</v>
          </cell>
          <cell r="P141">
            <v>2</v>
          </cell>
          <cell r="Q141">
            <v>0</v>
          </cell>
          <cell r="R141">
            <v>0</v>
          </cell>
          <cell r="S141">
            <v>0</v>
          </cell>
          <cell r="T141">
            <v>2</v>
          </cell>
          <cell r="U141">
            <v>0</v>
          </cell>
          <cell r="V141">
            <v>0</v>
          </cell>
          <cell r="W141">
            <v>5</v>
          </cell>
          <cell r="X141">
            <v>0</v>
          </cell>
          <cell r="Y141">
            <v>23</v>
          </cell>
          <cell r="Z141">
            <v>0</v>
          </cell>
          <cell r="AA141">
            <v>27</v>
          </cell>
          <cell r="AB141">
            <v>0</v>
          </cell>
          <cell r="AC141">
            <v>1</v>
          </cell>
          <cell r="AD141">
            <v>3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106</v>
          </cell>
          <cell r="AJ141">
            <v>27</v>
          </cell>
          <cell r="AK141">
            <v>12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13</v>
          </cell>
          <cell r="G142">
            <v>0</v>
          </cell>
          <cell r="H142">
            <v>24</v>
          </cell>
          <cell r="I142">
            <v>31</v>
          </cell>
          <cell r="J142">
            <v>6</v>
          </cell>
          <cell r="K142">
            <v>0</v>
          </cell>
          <cell r="L142">
            <v>5</v>
          </cell>
          <cell r="M142">
            <v>2</v>
          </cell>
          <cell r="N142">
            <v>1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3</v>
          </cell>
          <cell r="X142">
            <v>0</v>
          </cell>
          <cell r="Y142">
            <v>18</v>
          </cell>
          <cell r="Z142">
            <v>0</v>
          </cell>
          <cell r="AA142">
            <v>1</v>
          </cell>
          <cell r="AB142">
            <v>0</v>
          </cell>
          <cell r="AC142">
            <v>1</v>
          </cell>
          <cell r="AD142">
            <v>1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106</v>
          </cell>
          <cell r="AJ142">
            <v>31</v>
          </cell>
          <cell r="AK142">
            <v>12</v>
          </cell>
        </row>
        <row r="143">
          <cell r="C143">
            <v>350620003</v>
          </cell>
          <cell r="D143">
            <v>2</v>
          </cell>
          <cell r="E143">
            <v>3</v>
          </cell>
          <cell r="F143">
            <v>65</v>
          </cell>
          <cell r="G143">
            <v>1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1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1</v>
          </cell>
          <cell r="U143">
            <v>2</v>
          </cell>
          <cell r="V143">
            <v>0</v>
          </cell>
          <cell r="W143">
            <v>2</v>
          </cell>
          <cell r="X143">
            <v>0</v>
          </cell>
          <cell r="Y143">
            <v>21</v>
          </cell>
          <cell r="Z143">
            <v>0</v>
          </cell>
          <cell r="AA143">
            <v>4</v>
          </cell>
          <cell r="AB143">
            <v>0</v>
          </cell>
          <cell r="AC143">
            <v>1</v>
          </cell>
          <cell r="AD143">
            <v>10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113</v>
          </cell>
          <cell r="AJ143">
            <v>65</v>
          </cell>
          <cell r="AK143">
            <v>12</v>
          </cell>
        </row>
        <row r="144">
          <cell r="C144">
            <v>350620004</v>
          </cell>
          <cell r="D144">
            <v>0</v>
          </cell>
          <cell r="E144">
            <v>2</v>
          </cell>
          <cell r="F144">
            <v>24</v>
          </cell>
          <cell r="G144">
            <v>1</v>
          </cell>
          <cell r="H144">
            <v>0</v>
          </cell>
          <cell r="I144">
            <v>19</v>
          </cell>
          <cell r="J144">
            <v>9</v>
          </cell>
          <cell r="K144">
            <v>0</v>
          </cell>
          <cell r="L144">
            <v>11</v>
          </cell>
          <cell r="M144">
            <v>0</v>
          </cell>
          <cell r="N144">
            <v>2</v>
          </cell>
          <cell r="O144">
            <v>0</v>
          </cell>
          <cell r="P144">
            <v>2</v>
          </cell>
          <cell r="Q144">
            <v>0</v>
          </cell>
          <cell r="R144">
            <v>1</v>
          </cell>
          <cell r="S144">
            <v>0</v>
          </cell>
          <cell r="T144">
            <v>2</v>
          </cell>
          <cell r="U144">
            <v>0</v>
          </cell>
          <cell r="V144">
            <v>0</v>
          </cell>
          <cell r="W144">
            <v>10</v>
          </cell>
          <cell r="X144">
            <v>0</v>
          </cell>
          <cell r="Y144">
            <v>23</v>
          </cell>
          <cell r="Z144">
            <v>0</v>
          </cell>
          <cell r="AA144">
            <v>3</v>
          </cell>
          <cell r="AB144">
            <v>0</v>
          </cell>
          <cell r="AC144">
            <v>3</v>
          </cell>
          <cell r="AD144">
            <v>7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119</v>
          </cell>
          <cell r="AJ144">
            <v>24</v>
          </cell>
          <cell r="AK144">
            <v>15</v>
          </cell>
        </row>
        <row r="145">
          <cell r="C145">
            <v>350620005</v>
          </cell>
          <cell r="D145">
            <v>12</v>
          </cell>
          <cell r="E145">
            <v>2</v>
          </cell>
          <cell r="F145">
            <v>42</v>
          </cell>
          <cell r="G145">
            <v>2</v>
          </cell>
          <cell r="H145">
            <v>0</v>
          </cell>
          <cell r="I145">
            <v>15</v>
          </cell>
          <cell r="J145">
            <v>8</v>
          </cell>
          <cell r="K145">
            <v>0</v>
          </cell>
          <cell r="L145">
            <v>12</v>
          </cell>
          <cell r="M145">
            <v>1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2</v>
          </cell>
          <cell r="S145">
            <v>0</v>
          </cell>
          <cell r="T145">
            <v>3</v>
          </cell>
          <cell r="U145">
            <v>0</v>
          </cell>
          <cell r="V145">
            <v>0</v>
          </cell>
          <cell r="W145">
            <v>9</v>
          </cell>
          <cell r="X145">
            <v>0</v>
          </cell>
          <cell r="Y145">
            <v>22</v>
          </cell>
          <cell r="Z145">
            <v>0</v>
          </cell>
          <cell r="AA145">
            <v>5</v>
          </cell>
          <cell r="AB145">
            <v>5</v>
          </cell>
          <cell r="AC145">
            <v>3</v>
          </cell>
          <cell r="AD145">
            <v>7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150</v>
          </cell>
          <cell r="AJ145">
            <v>42</v>
          </cell>
          <cell r="AK145">
            <v>16</v>
          </cell>
        </row>
        <row r="146">
          <cell r="C146">
            <v>350620006</v>
          </cell>
          <cell r="D146">
            <v>30</v>
          </cell>
          <cell r="E146">
            <v>0</v>
          </cell>
          <cell r="F146">
            <v>12</v>
          </cell>
          <cell r="G146">
            <v>20</v>
          </cell>
          <cell r="H146">
            <v>0</v>
          </cell>
          <cell r="I146">
            <v>11</v>
          </cell>
          <cell r="J146">
            <v>0</v>
          </cell>
          <cell r="K146">
            <v>0</v>
          </cell>
          <cell r="L146">
            <v>10</v>
          </cell>
          <cell r="M146">
            <v>2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</v>
          </cell>
          <cell r="U146">
            <v>2</v>
          </cell>
          <cell r="V146">
            <v>0</v>
          </cell>
          <cell r="W146">
            <v>6</v>
          </cell>
          <cell r="X146">
            <v>0</v>
          </cell>
          <cell r="Y146">
            <v>33</v>
          </cell>
          <cell r="Z146">
            <v>0</v>
          </cell>
          <cell r="AA146">
            <v>22</v>
          </cell>
          <cell r="AB146">
            <v>0</v>
          </cell>
          <cell r="AC146">
            <v>2</v>
          </cell>
          <cell r="AD146">
            <v>10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164</v>
          </cell>
          <cell r="AJ146">
            <v>33</v>
          </cell>
          <cell r="AK146">
            <v>13</v>
          </cell>
        </row>
        <row r="147">
          <cell r="C147">
            <v>350620007</v>
          </cell>
          <cell r="D147">
            <v>31</v>
          </cell>
          <cell r="E147">
            <v>2</v>
          </cell>
          <cell r="F147">
            <v>3</v>
          </cell>
          <cell r="G147">
            <v>6</v>
          </cell>
          <cell r="H147">
            <v>0</v>
          </cell>
          <cell r="I147">
            <v>29</v>
          </cell>
          <cell r="J147">
            <v>0</v>
          </cell>
          <cell r="K147">
            <v>0</v>
          </cell>
          <cell r="L147">
            <v>3</v>
          </cell>
          <cell r="M147">
            <v>0</v>
          </cell>
          <cell r="N147">
            <v>0</v>
          </cell>
          <cell r="O147">
            <v>0</v>
          </cell>
          <cell r="P147">
            <v>2</v>
          </cell>
          <cell r="Q147">
            <v>0</v>
          </cell>
          <cell r="R147">
            <v>0</v>
          </cell>
          <cell r="S147">
            <v>0</v>
          </cell>
          <cell r="T147">
            <v>6</v>
          </cell>
          <cell r="U147">
            <v>3</v>
          </cell>
          <cell r="V147">
            <v>0</v>
          </cell>
          <cell r="W147">
            <v>6</v>
          </cell>
          <cell r="X147">
            <v>0</v>
          </cell>
          <cell r="Y147">
            <v>27</v>
          </cell>
          <cell r="Z147">
            <v>0</v>
          </cell>
          <cell r="AA147">
            <v>31</v>
          </cell>
          <cell r="AB147">
            <v>0</v>
          </cell>
          <cell r="AC147">
            <v>4</v>
          </cell>
          <cell r="AD147">
            <v>6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159</v>
          </cell>
          <cell r="AJ147">
            <v>31</v>
          </cell>
          <cell r="AK147">
            <v>14</v>
          </cell>
        </row>
        <row r="148">
          <cell r="C148">
            <v>350620008</v>
          </cell>
          <cell r="D148">
            <v>13</v>
          </cell>
          <cell r="E148">
            <v>3</v>
          </cell>
          <cell r="F148">
            <v>6</v>
          </cell>
          <cell r="G148">
            <v>8</v>
          </cell>
          <cell r="H148">
            <v>0</v>
          </cell>
          <cell r="I148">
            <v>24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1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</v>
          </cell>
          <cell r="U148">
            <v>5</v>
          </cell>
          <cell r="V148">
            <v>0</v>
          </cell>
          <cell r="W148">
            <v>6</v>
          </cell>
          <cell r="X148">
            <v>0</v>
          </cell>
          <cell r="Y148">
            <v>5</v>
          </cell>
          <cell r="Z148">
            <v>0</v>
          </cell>
          <cell r="AA148">
            <v>0</v>
          </cell>
          <cell r="AB148">
            <v>0</v>
          </cell>
          <cell r="AC148">
            <v>1</v>
          </cell>
          <cell r="AD148">
            <v>5</v>
          </cell>
          <cell r="AE148">
            <v>0</v>
          </cell>
          <cell r="AF148">
            <v>0</v>
          </cell>
          <cell r="AG148">
            <v>0</v>
          </cell>
          <cell r="AH148"/>
          <cell r="AI148">
            <v>83</v>
          </cell>
          <cell r="AJ148">
            <v>24</v>
          </cell>
          <cell r="AK148">
            <v>12</v>
          </cell>
        </row>
        <row r="149">
          <cell r="C149">
            <v>350620009</v>
          </cell>
          <cell r="D149">
            <v>9</v>
          </cell>
          <cell r="E149">
            <v>0</v>
          </cell>
          <cell r="F149">
            <v>3</v>
          </cell>
          <cell r="G149">
            <v>7</v>
          </cell>
          <cell r="H149">
            <v>0</v>
          </cell>
          <cell r="I149">
            <v>7</v>
          </cell>
          <cell r="J149">
            <v>0</v>
          </cell>
          <cell r="K149">
            <v>0</v>
          </cell>
          <cell r="L149">
            <v>10</v>
          </cell>
          <cell r="M149">
            <v>0</v>
          </cell>
          <cell r="N149">
            <v>0</v>
          </cell>
          <cell r="O149">
            <v>0</v>
          </cell>
          <cell r="P149">
            <v>3</v>
          </cell>
          <cell r="Q149">
            <v>0</v>
          </cell>
          <cell r="R149">
            <v>0</v>
          </cell>
          <cell r="S149">
            <v>0</v>
          </cell>
          <cell r="T149">
            <v>2</v>
          </cell>
          <cell r="U149">
            <v>22</v>
          </cell>
          <cell r="V149">
            <v>4</v>
          </cell>
          <cell r="W149">
            <v>6</v>
          </cell>
          <cell r="X149">
            <v>30</v>
          </cell>
          <cell r="Y149">
            <v>17</v>
          </cell>
          <cell r="Z149">
            <v>22</v>
          </cell>
          <cell r="AA149">
            <v>17</v>
          </cell>
          <cell r="AB149">
            <v>3</v>
          </cell>
          <cell r="AC149">
            <v>7</v>
          </cell>
          <cell r="AD149">
            <v>20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189</v>
          </cell>
          <cell r="AJ149">
            <v>30</v>
          </cell>
          <cell r="AK149">
            <v>17</v>
          </cell>
        </row>
        <row r="150">
          <cell r="C150">
            <v>350620010</v>
          </cell>
          <cell r="D150">
            <v>2</v>
          </cell>
          <cell r="E150">
            <v>4</v>
          </cell>
          <cell r="F150">
            <v>11</v>
          </cell>
          <cell r="G150">
            <v>57</v>
          </cell>
          <cell r="H150">
            <v>2</v>
          </cell>
          <cell r="I150">
            <v>2</v>
          </cell>
          <cell r="J150">
            <v>0</v>
          </cell>
          <cell r="K150">
            <v>0</v>
          </cell>
          <cell r="L150">
            <v>11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2</v>
          </cell>
          <cell r="S150">
            <v>0</v>
          </cell>
          <cell r="T150">
            <v>6</v>
          </cell>
          <cell r="U150">
            <v>16</v>
          </cell>
          <cell r="V150">
            <v>0</v>
          </cell>
          <cell r="W150">
            <v>2</v>
          </cell>
          <cell r="X150">
            <v>1</v>
          </cell>
          <cell r="Y150">
            <v>3</v>
          </cell>
          <cell r="Z150">
            <v>9</v>
          </cell>
          <cell r="AA150">
            <v>11</v>
          </cell>
          <cell r="AB150">
            <v>4</v>
          </cell>
          <cell r="AC150">
            <v>11</v>
          </cell>
          <cell r="AD150">
            <v>6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160</v>
          </cell>
          <cell r="AJ150">
            <v>57</v>
          </cell>
          <cell r="AK150">
            <v>18</v>
          </cell>
        </row>
        <row r="151">
          <cell r="C151">
            <v>350620011</v>
          </cell>
          <cell r="D151">
            <v>0</v>
          </cell>
          <cell r="E151">
            <v>69</v>
          </cell>
          <cell r="F151">
            <v>16</v>
          </cell>
          <cell r="G151">
            <v>68</v>
          </cell>
          <cell r="H151">
            <v>0</v>
          </cell>
          <cell r="I151">
            <v>9</v>
          </cell>
          <cell r="J151">
            <v>0</v>
          </cell>
          <cell r="K151">
            <v>0</v>
          </cell>
          <cell r="L151">
            <v>10</v>
          </cell>
          <cell r="M151">
            <v>0</v>
          </cell>
          <cell r="N151">
            <v>0</v>
          </cell>
          <cell r="O151">
            <v>0</v>
          </cell>
          <cell r="P151">
            <v>4</v>
          </cell>
          <cell r="Q151">
            <v>0</v>
          </cell>
          <cell r="R151">
            <v>0</v>
          </cell>
          <cell r="S151">
            <v>0</v>
          </cell>
          <cell r="T151">
            <v>6</v>
          </cell>
          <cell r="U151">
            <v>25</v>
          </cell>
          <cell r="V151">
            <v>4</v>
          </cell>
          <cell r="W151">
            <v>49</v>
          </cell>
          <cell r="X151">
            <v>4</v>
          </cell>
          <cell r="Y151">
            <v>34</v>
          </cell>
          <cell r="Z151">
            <v>0</v>
          </cell>
          <cell r="AA151">
            <v>35</v>
          </cell>
          <cell r="AB151">
            <v>2</v>
          </cell>
          <cell r="AC151">
            <v>41</v>
          </cell>
          <cell r="AD151">
            <v>6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382</v>
          </cell>
          <cell r="AJ151">
            <v>69</v>
          </cell>
          <cell r="AK151">
            <v>16</v>
          </cell>
        </row>
        <row r="152">
          <cell r="C152">
            <v>350620012</v>
          </cell>
          <cell r="D152">
            <v>4</v>
          </cell>
          <cell r="E152">
            <v>2</v>
          </cell>
          <cell r="F152">
            <v>6</v>
          </cell>
          <cell r="G152"/>
          <cell r="H152">
            <v>0</v>
          </cell>
          <cell r="I152">
            <v>8</v>
          </cell>
          <cell r="J152">
            <v>0</v>
          </cell>
          <cell r="K152">
            <v>0</v>
          </cell>
          <cell r="L152">
            <v>11</v>
          </cell>
          <cell r="M152">
            <v>0</v>
          </cell>
          <cell r="N152">
            <v>0</v>
          </cell>
          <cell r="O152">
            <v>0</v>
          </cell>
          <cell r="P152">
            <v>6</v>
          </cell>
          <cell r="Q152">
            <v>0</v>
          </cell>
          <cell r="R152">
            <v>0</v>
          </cell>
          <cell r="S152">
            <v>0</v>
          </cell>
          <cell r="T152">
            <v>2</v>
          </cell>
          <cell r="U152">
            <v>12</v>
          </cell>
          <cell r="V152">
            <v>4</v>
          </cell>
          <cell r="W152">
            <v>5</v>
          </cell>
          <cell r="X152">
            <v>8</v>
          </cell>
          <cell r="Y152">
            <v>9</v>
          </cell>
          <cell r="Z152">
            <v>6</v>
          </cell>
          <cell r="AA152">
            <v>24</v>
          </cell>
          <cell r="AB152">
            <v>0</v>
          </cell>
          <cell r="AC152">
            <v>15</v>
          </cell>
          <cell r="AD152">
            <v>21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143</v>
          </cell>
          <cell r="AJ152">
            <v>24</v>
          </cell>
          <cell r="AK152">
            <v>16</v>
          </cell>
        </row>
        <row r="153">
          <cell r="C153">
            <v>350620013</v>
          </cell>
          <cell r="D153">
            <v>22</v>
          </cell>
          <cell r="E153">
            <v>2</v>
          </cell>
          <cell r="F153">
            <v>15</v>
          </cell>
          <cell r="G153">
            <v>14</v>
          </cell>
          <cell r="H153">
            <v>2</v>
          </cell>
          <cell r="I153">
            <v>1</v>
          </cell>
          <cell r="J153">
            <v>0</v>
          </cell>
          <cell r="K153">
            <v>0</v>
          </cell>
          <cell r="L153">
            <v>13</v>
          </cell>
          <cell r="M153">
            <v>0</v>
          </cell>
          <cell r="N153">
            <v>0</v>
          </cell>
          <cell r="O153">
            <v>0</v>
          </cell>
          <cell r="P153">
            <v>8</v>
          </cell>
          <cell r="Q153">
            <v>0</v>
          </cell>
          <cell r="R153">
            <v>0</v>
          </cell>
          <cell r="S153">
            <v>0</v>
          </cell>
          <cell r="T153">
            <v>2</v>
          </cell>
          <cell r="U153">
            <v>23</v>
          </cell>
          <cell r="V153">
            <v>2</v>
          </cell>
          <cell r="W153">
            <v>6</v>
          </cell>
          <cell r="X153">
            <v>1</v>
          </cell>
          <cell r="Y153">
            <v>8</v>
          </cell>
          <cell r="Z153">
            <v>4</v>
          </cell>
          <cell r="AA153">
            <v>11</v>
          </cell>
          <cell r="AB153">
            <v>0</v>
          </cell>
          <cell r="AC153">
            <v>15</v>
          </cell>
          <cell r="AD153">
            <v>15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164</v>
          </cell>
          <cell r="AJ153">
            <v>23</v>
          </cell>
          <cell r="AK153">
            <v>18</v>
          </cell>
        </row>
        <row r="154">
          <cell r="C154">
            <v>350620014</v>
          </cell>
          <cell r="D154">
            <v>19</v>
          </cell>
          <cell r="E154">
            <v>22</v>
          </cell>
          <cell r="F154">
            <v>22</v>
          </cell>
          <cell r="G154">
            <v>3</v>
          </cell>
          <cell r="H154">
            <v>0</v>
          </cell>
          <cell r="I154">
            <v>15</v>
          </cell>
          <cell r="J154">
            <v>12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  <cell r="O154">
            <v>0</v>
          </cell>
          <cell r="P154">
            <v>0</v>
          </cell>
          <cell r="Q154">
            <v>2</v>
          </cell>
          <cell r="R154">
            <v>0</v>
          </cell>
          <cell r="S154">
            <v>0</v>
          </cell>
          <cell r="T154">
            <v>0</v>
          </cell>
          <cell r="U154">
            <v>9</v>
          </cell>
          <cell r="V154">
            <v>7</v>
          </cell>
          <cell r="W154">
            <v>11</v>
          </cell>
          <cell r="X154">
            <v>4</v>
          </cell>
          <cell r="Y154">
            <v>18</v>
          </cell>
          <cell r="Z154">
            <v>0</v>
          </cell>
          <cell r="AA154">
            <v>2</v>
          </cell>
          <cell r="AB154">
            <v>0</v>
          </cell>
          <cell r="AC154">
            <v>15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163</v>
          </cell>
          <cell r="AJ154">
            <v>22</v>
          </cell>
          <cell r="AK154">
            <v>15</v>
          </cell>
        </row>
        <row r="155">
          <cell r="C155">
            <v>350620015</v>
          </cell>
          <cell r="D155">
            <v>22</v>
          </cell>
          <cell r="E155">
            <v>6</v>
          </cell>
          <cell r="F155">
            <v>0</v>
          </cell>
          <cell r="G155">
            <v>5</v>
          </cell>
          <cell r="H155">
            <v>0</v>
          </cell>
          <cell r="I155">
            <v>11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3</v>
          </cell>
          <cell r="U155">
            <v>8</v>
          </cell>
          <cell r="V155">
            <v>0</v>
          </cell>
          <cell r="W155">
            <v>3</v>
          </cell>
          <cell r="X155">
            <v>0</v>
          </cell>
          <cell r="Y155">
            <v>19</v>
          </cell>
          <cell r="Z155">
            <v>0</v>
          </cell>
          <cell r="AA155">
            <v>2</v>
          </cell>
          <cell r="AB155">
            <v>0</v>
          </cell>
          <cell r="AC155">
            <v>32</v>
          </cell>
          <cell r="AD155">
            <v>5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116</v>
          </cell>
          <cell r="AJ155">
            <v>32</v>
          </cell>
          <cell r="AK155">
            <v>11</v>
          </cell>
        </row>
        <row r="156">
          <cell r="C156">
            <v>350620016</v>
          </cell>
          <cell r="D156">
            <v>22</v>
          </cell>
          <cell r="E156">
            <v>7</v>
          </cell>
          <cell r="F156">
            <v>0</v>
          </cell>
          <cell r="G156">
            <v>7</v>
          </cell>
          <cell r="H156">
            <v>12</v>
          </cell>
          <cell r="I156">
            <v>4</v>
          </cell>
          <cell r="J156">
            <v>0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1</v>
          </cell>
          <cell r="S156">
            <v>0</v>
          </cell>
          <cell r="T156">
            <v>6</v>
          </cell>
          <cell r="U156">
            <v>10</v>
          </cell>
          <cell r="V156">
            <v>0</v>
          </cell>
          <cell r="W156">
            <v>4</v>
          </cell>
          <cell r="X156"/>
          <cell r="Y156">
            <v>23</v>
          </cell>
          <cell r="Z156">
            <v>0</v>
          </cell>
          <cell r="AA156">
            <v>0</v>
          </cell>
          <cell r="AB156">
            <v>0</v>
          </cell>
          <cell r="AC156">
            <v>34</v>
          </cell>
          <cell r="AD156">
            <v>6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137</v>
          </cell>
          <cell r="AJ156">
            <v>34</v>
          </cell>
          <cell r="AK156">
            <v>13</v>
          </cell>
        </row>
        <row r="157">
          <cell r="C157">
            <v>350620017</v>
          </cell>
          <cell r="D157">
            <v>42</v>
          </cell>
          <cell r="E157">
            <v>1</v>
          </cell>
          <cell r="F157">
            <v>0</v>
          </cell>
          <cell r="G157">
            <v>7</v>
          </cell>
          <cell r="H157">
            <v>0</v>
          </cell>
          <cell r="I157">
            <v>8</v>
          </cell>
          <cell r="J157">
            <v>5</v>
          </cell>
          <cell r="K157">
            <v>1</v>
          </cell>
          <cell r="L157">
            <v>0</v>
          </cell>
          <cell r="M157">
            <v>2</v>
          </cell>
          <cell r="N157">
            <v>0</v>
          </cell>
          <cell r="O157">
            <v>0</v>
          </cell>
          <cell r="P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16</v>
          </cell>
          <cell r="U157">
            <v>29</v>
          </cell>
          <cell r="V157">
            <v>6</v>
          </cell>
          <cell r="W157">
            <v>25</v>
          </cell>
          <cell r="X157">
            <v>0</v>
          </cell>
          <cell r="Y157">
            <v>36</v>
          </cell>
          <cell r="Z157">
            <v>0</v>
          </cell>
          <cell r="AA157">
            <v>25</v>
          </cell>
          <cell r="AB157">
            <v>0</v>
          </cell>
          <cell r="AC157">
            <v>48</v>
          </cell>
          <cell r="AD157">
            <v>1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253</v>
          </cell>
          <cell r="AJ157">
            <v>48</v>
          </cell>
          <cell r="AK157">
            <v>16</v>
          </cell>
        </row>
        <row r="158">
          <cell r="C158">
            <v>350620018</v>
          </cell>
          <cell r="D158">
            <v>3</v>
          </cell>
          <cell r="E158">
            <v>0</v>
          </cell>
          <cell r="F158">
            <v>7</v>
          </cell>
          <cell r="G158">
            <v>0</v>
          </cell>
          <cell r="H158">
            <v>43</v>
          </cell>
          <cell r="I158">
            <v>0</v>
          </cell>
          <cell r="J158">
            <v>9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</v>
          </cell>
          <cell r="U158">
            <v>25</v>
          </cell>
          <cell r="V158">
            <v>20</v>
          </cell>
          <cell r="W158">
            <v>16</v>
          </cell>
          <cell r="X158">
            <v>0</v>
          </cell>
          <cell r="Y158">
            <v>100</v>
          </cell>
          <cell r="Z158">
            <v>0</v>
          </cell>
          <cell r="AA158">
            <v>0</v>
          </cell>
          <cell r="AB158">
            <v>0</v>
          </cell>
          <cell r="AC158">
            <v>49</v>
          </cell>
          <cell r="AD158">
            <v>2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281</v>
          </cell>
          <cell r="AJ158">
            <v>100</v>
          </cell>
          <cell r="AK158">
            <v>11</v>
          </cell>
        </row>
        <row r="159">
          <cell r="C159">
            <v>350620019</v>
          </cell>
          <cell r="D159">
            <v>5</v>
          </cell>
          <cell r="E159">
            <v>12</v>
          </cell>
          <cell r="F159">
            <v>0</v>
          </cell>
          <cell r="G159">
            <v>7</v>
          </cell>
          <cell r="H159">
            <v>5</v>
          </cell>
          <cell r="I159">
            <v>4</v>
          </cell>
          <cell r="J159">
            <v>0</v>
          </cell>
          <cell r="K159">
            <v>2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12</v>
          </cell>
          <cell r="U159">
            <v>23</v>
          </cell>
          <cell r="V159">
            <v>0</v>
          </cell>
          <cell r="W159">
            <v>9</v>
          </cell>
          <cell r="X159">
            <v>0</v>
          </cell>
          <cell r="Y159">
            <v>48</v>
          </cell>
          <cell r="Z159">
            <v>4</v>
          </cell>
          <cell r="AA159">
            <v>0</v>
          </cell>
          <cell r="AB159">
            <v>0</v>
          </cell>
          <cell r="AC159">
            <v>52</v>
          </cell>
          <cell r="AD159">
            <v>7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190</v>
          </cell>
          <cell r="AJ159">
            <v>52</v>
          </cell>
          <cell r="AK159">
            <v>13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12</v>
          </cell>
          <cell r="G160">
            <v>0</v>
          </cell>
          <cell r="H160">
            <v>3</v>
          </cell>
          <cell r="I160">
            <v>29</v>
          </cell>
          <cell r="J160">
            <v>5</v>
          </cell>
          <cell r="K160">
            <v>0</v>
          </cell>
          <cell r="L160">
            <v>20</v>
          </cell>
          <cell r="M160">
            <v>0</v>
          </cell>
          <cell r="N160">
            <v>1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3</v>
          </cell>
          <cell r="X160">
            <v>0</v>
          </cell>
          <cell r="Y160">
            <v>17</v>
          </cell>
          <cell r="Z160">
            <v>0</v>
          </cell>
          <cell r="AA160">
            <v>3</v>
          </cell>
          <cell r="AB160">
            <v>0</v>
          </cell>
          <cell r="AC160">
            <v>1</v>
          </cell>
          <cell r="AD160">
            <v>2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96</v>
          </cell>
          <cell r="AJ160">
            <v>29</v>
          </cell>
          <cell r="AK160">
            <v>11</v>
          </cell>
        </row>
        <row r="161">
          <cell r="C161">
            <v>350621001</v>
          </cell>
          <cell r="D161">
            <v>34</v>
          </cell>
          <cell r="E161">
            <v>61</v>
          </cell>
          <cell r="F161">
            <v>0</v>
          </cell>
          <cell r="G161">
            <v>8</v>
          </cell>
          <cell r="H161">
            <v>11</v>
          </cell>
          <cell r="I161">
            <v>1</v>
          </cell>
          <cell r="J161">
            <v>3</v>
          </cell>
          <cell r="K161">
            <v>29</v>
          </cell>
          <cell r="L161">
            <v>37</v>
          </cell>
          <cell r="M161">
            <v>12</v>
          </cell>
          <cell r="N161">
            <v>2</v>
          </cell>
          <cell r="O161">
            <v>56</v>
          </cell>
          <cell r="P161">
            <v>0</v>
          </cell>
          <cell r="Q161">
            <v>0</v>
          </cell>
          <cell r="R161">
            <v>3</v>
          </cell>
          <cell r="S161">
            <v>7</v>
          </cell>
          <cell r="T161">
            <v>0</v>
          </cell>
          <cell r="U161">
            <v>0</v>
          </cell>
          <cell r="V161">
            <v>2</v>
          </cell>
          <cell r="W161">
            <v>55</v>
          </cell>
          <cell r="X161">
            <v>0</v>
          </cell>
          <cell r="Y161">
            <v>27</v>
          </cell>
          <cell r="Z161">
            <v>0</v>
          </cell>
          <cell r="AA161">
            <v>0</v>
          </cell>
          <cell r="AB161">
            <v>0</v>
          </cell>
          <cell r="AC161">
            <v>9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357</v>
          </cell>
          <cell r="AJ161">
            <v>61</v>
          </cell>
          <cell r="AK161">
            <v>17</v>
          </cell>
        </row>
        <row r="162">
          <cell r="C162">
            <v>350621002</v>
          </cell>
          <cell r="D162">
            <v>1</v>
          </cell>
          <cell r="E162">
            <v>2</v>
          </cell>
          <cell r="F162">
            <v>4</v>
          </cell>
          <cell r="G162">
            <v>4</v>
          </cell>
          <cell r="H162">
            <v>0</v>
          </cell>
          <cell r="I162">
            <v>2</v>
          </cell>
          <cell r="J162">
            <v>22</v>
          </cell>
          <cell r="K162">
            <v>4</v>
          </cell>
          <cell r="L162">
            <v>25</v>
          </cell>
          <cell r="M162">
            <v>11</v>
          </cell>
          <cell r="N162" t="str">
            <v>5,5</v>
          </cell>
          <cell r="O162">
            <v>9</v>
          </cell>
          <cell r="P162">
            <v>0</v>
          </cell>
          <cell r="Q162">
            <v>0</v>
          </cell>
          <cell r="R162">
            <v>5</v>
          </cell>
          <cell r="S162">
            <v>46</v>
          </cell>
          <cell r="T162">
            <v>0</v>
          </cell>
          <cell r="U162">
            <v>0</v>
          </cell>
          <cell r="V162">
            <v>0</v>
          </cell>
          <cell r="W162">
            <v>34</v>
          </cell>
          <cell r="X162">
            <v>0</v>
          </cell>
          <cell r="Y162">
            <v>5</v>
          </cell>
          <cell r="Z162">
            <v>11</v>
          </cell>
          <cell r="AA162">
            <v>32</v>
          </cell>
          <cell r="AB162">
            <v>0</v>
          </cell>
          <cell r="AC162">
            <v>18</v>
          </cell>
          <cell r="AD162">
            <v>1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236</v>
          </cell>
          <cell r="AJ162">
            <v>46</v>
          </cell>
          <cell r="AK162">
            <v>18</v>
          </cell>
        </row>
        <row r="163">
          <cell r="C163">
            <v>350621003</v>
          </cell>
          <cell r="D163">
            <v>1</v>
          </cell>
          <cell r="E163">
            <v>0</v>
          </cell>
          <cell r="F163">
            <v>0</v>
          </cell>
          <cell r="G163">
            <v>100.5</v>
          </cell>
          <cell r="H163">
            <v>1.5</v>
          </cell>
          <cell r="I163">
            <v>7</v>
          </cell>
          <cell r="J163">
            <v>22</v>
          </cell>
          <cell r="K163">
            <v>40</v>
          </cell>
          <cell r="L163">
            <v>63</v>
          </cell>
          <cell r="M163">
            <v>5</v>
          </cell>
          <cell r="N163">
            <v>48</v>
          </cell>
          <cell r="O163">
            <v>1.5</v>
          </cell>
          <cell r="P163">
            <v>1</v>
          </cell>
          <cell r="Q163">
            <v>17</v>
          </cell>
          <cell r="R163">
            <v>6</v>
          </cell>
          <cell r="S163">
            <v>4</v>
          </cell>
          <cell r="T163">
            <v>12</v>
          </cell>
          <cell r="U163">
            <v>0</v>
          </cell>
          <cell r="V163">
            <v>25</v>
          </cell>
          <cell r="W163">
            <v>16</v>
          </cell>
          <cell r="X163">
            <v>0</v>
          </cell>
          <cell r="Y163">
            <v>40</v>
          </cell>
          <cell r="Z163">
            <v>8</v>
          </cell>
          <cell r="AA163">
            <v>11</v>
          </cell>
          <cell r="AB163">
            <v>0</v>
          </cell>
          <cell r="AC163">
            <v>3.5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433</v>
          </cell>
          <cell r="AJ163">
            <v>100.5</v>
          </cell>
          <cell r="AK163">
            <v>21</v>
          </cell>
        </row>
        <row r="164">
          <cell r="C164">
            <v>350621004</v>
          </cell>
          <cell r="D164">
            <v>0</v>
          </cell>
          <cell r="E164">
            <v>6</v>
          </cell>
          <cell r="F164">
            <v>0</v>
          </cell>
          <cell r="G164">
            <v>27</v>
          </cell>
          <cell r="H164">
            <v>0</v>
          </cell>
          <cell r="I164">
            <v>27</v>
          </cell>
          <cell r="J164">
            <v>0</v>
          </cell>
          <cell r="K164">
            <v>18</v>
          </cell>
          <cell r="L164">
            <v>60</v>
          </cell>
          <cell r="M164">
            <v>28</v>
          </cell>
          <cell r="N164">
            <v>52</v>
          </cell>
          <cell r="O164">
            <v>0</v>
          </cell>
          <cell r="P164">
            <v>0</v>
          </cell>
          <cell r="Q164">
            <v>15</v>
          </cell>
          <cell r="R164">
            <v>0</v>
          </cell>
          <cell r="S164">
            <v>11</v>
          </cell>
          <cell r="T164">
            <v>3</v>
          </cell>
          <cell r="U164">
            <v>4</v>
          </cell>
          <cell r="V164">
            <v>7</v>
          </cell>
          <cell r="W164">
            <v>17</v>
          </cell>
          <cell r="X164">
            <v>0</v>
          </cell>
          <cell r="Y164">
            <v>35</v>
          </cell>
          <cell r="Z164">
            <v>0</v>
          </cell>
          <cell r="AA164">
            <v>3</v>
          </cell>
          <cell r="AB164">
            <v>0</v>
          </cell>
          <cell r="AC164">
            <v>4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317</v>
          </cell>
          <cell r="AJ164">
            <v>60</v>
          </cell>
          <cell r="AK164">
            <v>16</v>
          </cell>
        </row>
        <row r="165">
          <cell r="C165">
            <v>350621005</v>
          </cell>
          <cell r="D165">
            <v>33</v>
          </cell>
          <cell r="E165">
            <v>0</v>
          </cell>
          <cell r="F165">
            <v>0</v>
          </cell>
          <cell r="G165">
            <v>19</v>
          </cell>
          <cell r="H165">
            <v>0</v>
          </cell>
          <cell r="I165">
            <v>1</v>
          </cell>
          <cell r="J165">
            <v>1</v>
          </cell>
          <cell r="K165">
            <v>14</v>
          </cell>
          <cell r="L165">
            <v>20</v>
          </cell>
          <cell r="M165">
            <v>24</v>
          </cell>
          <cell r="N165">
            <v>0</v>
          </cell>
          <cell r="O165">
            <v>44</v>
          </cell>
          <cell r="P165">
            <v>9</v>
          </cell>
          <cell r="Q165">
            <v>0</v>
          </cell>
          <cell r="R165">
            <v>10</v>
          </cell>
          <cell r="S165">
            <v>9</v>
          </cell>
          <cell r="T165">
            <v>0</v>
          </cell>
          <cell r="U165">
            <v>1</v>
          </cell>
          <cell r="V165">
            <v>29</v>
          </cell>
          <cell r="W165">
            <v>12</v>
          </cell>
          <cell r="X165">
            <v>0</v>
          </cell>
          <cell r="Y165">
            <v>56</v>
          </cell>
          <cell r="Z165">
            <v>26</v>
          </cell>
          <cell r="AA165">
            <v>21</v>
          </cell>
          <cell r="AB165">
            <v>5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334</v>
          </cell>
          <cell r="AJ165">
            <v>56</v>
          </cell>
          <cell r="AK165">
            <v>18</v>
          </cell>
        </row>
        <row r="166">
          <cell r="C166">
            <v>350621006</v>
          </cell>
          <cell r="D166">
            <v>18</v>
          </cell>
          <cell r="E166">
            <v>30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2</v>
          </cell>
          <cell r="L166">
            <v>42</v>
          </cell>
          <cell r="M166">
            <v>25</v>
          </cell>
          <cell r="N166">
            <v>0</v>
          </cell>
          <cell r="O166">
            <v>6</v>
          </cell>
          <cell r="P166">
            <v>0</v>
          </cell>
          <cell r="Q166">
            <v>0</v>
          </cell>
          <cell r="R166">
            <v>2</v>
          </cell>
          <cell r="S166">
            <v>5</v>
          </cell>
          <cell r="T166">
            <v>0</v>
          </cell>
          <cell r="U166">
            <v>0</v>
          </cell>
          <cell r="V166">
            <v>2</v>
          </cell>
          <cell r="W166">
            <v>9</v>
          </cell>
          <cell r="X166">
            <v>0</v>
          </cell>
          <cell r="Y166">
            <v>1</v>
          </cell>
          <cell r="Z166">
            <v>0</v>
          </cell>
          <cell r="AA166">
            <v>3</v>
          </cell>
          <cell r="AB166">
            <v>0</v>
          </cell>
          <cell r="AC166">
            <v>10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155</v>
          </cell>
          <cell r="AJ166">
            <v>42</v>
          </cell>
          <cell r="AK166">
            <v>13</v>
          </cell>
        </row>
        <row r="167">
          <cell r="C167">
            <v>350621007</v>
          </cell>
          <cell r="D167">
            <v>0</v>
          </cell>
          <cell r="E167">
            <v>0</v>
          </cell>
          <cell r="F167">
            <v>2</v>
          </cell>
          <cell r="G167">
            <v>27</v>
          </cell>
          <cell r="H167">
            <v>0</v>
          </cell>
          <cell r="I167">
            <v>7</v>
          </cell>
          <cell r="J167">
            <v>0</v>
          </cell>
          <cell r="K167">
            <v>2</v>
          </cell>
          <cell r="L167">
            <v>6</v>
          </cell>
          <cell r="M167">
            <v>5</v>
          </cell>
          <cell r="N167">
            <v>2</v>
          </cell>
          <cell r="O167">
            <v>0</v>
          </cell>
          <cell r="P167">
            <v>1</v>
          </cell>
          <cell r="Q167">
            <v>3</v>
          </cell>
          <cell r="R167">
            <v>0</v>
          </cell>
          <cell r="S167">
            <v>0</v>
          </cell>
          <cell r="T167">
            <v>1</v>
          </cell>
          <cell r="U167">
            <v>0</v>
          </cell>
          <cell r="V167">
            <v>17</v>
          </cell>
          <cell r="W167">
            <v>9</v>
          </cell>
          <cell r="X167">
            <v>0</v>
          </cell>
          <cell r="Y167">
            <v>2</v>
          </cell>
          <cell r="Z167">
            <v>0</v>
          </cell>
          <cell r="AA167">
            <v>3</v>
          </cell>
          <cell r="AB167">
            <v>0</v>
          </cell>
          <cell r="AC167">
            <v>6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93</v>
          </cell>
          <cell r="AJ167">
            <v>27</v>
          </cell>
          <cell r="AK167">
            <v>15</v>
          </cell>
        </row>
        <row r="168">
          <cell r="C168">
            <v>350621008</v>
          </cell>
          <cell r="D168">
            <v>6</v>
          </cell>
          <cell r="E168">
            <v>0</v>
          </cell>
          <cell r="F168">
            <v>72</v>
          </cell>
          <cell r="G168">
            <v>84</v>
          </cell>
          <cell r="H168">
            <v>29</v>
          </cell>
          <cell r="I168">
            <v>5</v>
          </cell>
          <cell r="J168">
            <v>1</v>
          </cell>
          <cell r="K168">
            <v>1</v>
          </cell>
          <cell r="L168">
            <v>2</v>
          </cell>
          <cell r="M168">
            <v>1</v>
          </cell>
          <cell r="N168">
            <v>1</v>
          </cell>
          <cell r="O168">
            <v>0</v>
          </cell>
          <cell r="P168">
            <v>4</v>
          </cell>
          <cell r="Q168">
            <v>0</v>
          </cell>
          <cell r="R168">
            <v>0</v>
          </cell>
          <cell r="S168">
            <v>0</v>
          </cell>
          <cell r="T168">
            <v>2</v>
          </cell>
          <cell r="U168">
            <v>0</v>
          </cell>
          <cell r="V168">
            <v>0</v>
          </cell>
          <cell r="W168">
            <v>15</v>
          </cell>
          <cell r="X168">
            <v>1</v>
          </cell>
          <cell r="Y168">
            <v>12</v>
          </cell>
          <cell r="Z168">
            <v>10</v>
          </cell>
          <cell r="AA168">
            <v>3</v>
          </cell>
          <cell r="AB168">
            <v>18</v>
          </cell>
          <cell r="AC168">
            <v>9</v>
          </cell>
          <cell r="AD168">
            <v>3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279</v>
          </cell>
          <cell r="AJ168">
            <v>84</v>
          </cell>
          <cell r="AK168">
            <v>20</v>
          </cell>
        </row>
        <row r="169">
          <cell r="C169">
            <v>350621009</v>
          </cell>
          <cell r="D169">
            <v>2</v>
          </cell>
          <cell r="E169">
            <v>8</v>
          </cell>
          <cell r="F169">
            <v>0</v>
          </cell>
          <cell r="G169">
            <v>0</v>
          </cell>
          <cell r="H169">
            <v>0</v>
          </cell>
          <cell r="I169">
            <v>17.5</v>
          </cell>
          <cell r="J169">
            <v>3</v>
          </cell>
          <cell r="K169">
            <v>2</v>
          </cell>
          <cell r="L169">
            <v>34</v>
          </cell>
          <cell r="M169">
            <v>16.5</v>
          </cell>
          <cell r="N169">
            <v>2</v>
          </cell>
          <cell r="O169">
            <v>34</v>
          </cell>
          <cell r="P169">
            <v>2</v>
          </cell>
          <cell r="Q169">
            <v>0</v>
          </cell>
          <cell r="R169">
            <v>0</v>
          </cell>
          <cell r="S169">
            <v>24</v>
          </cell>
          <cell r="T169">
            <v>0</v>
          </cell>
          <cell r="U169">
            <v>0</v>
          </cell>
          <cell r="V169">
            <v>21</v>
          </cell>
          <cell r="W169">
            <v>20.5</v>
          </cell>
          <cell r="X169">
            <v>0</v>
          </cell>
          <cell r="Y169">
            <v>5</v>
          </cell>
          <cell r="Z169">
            <v>27</v>
          </cell>
          <cell r="AA169">
            <v>7</v>
          </cell>
          <cell r="AB169">
            <v>0</v>
          </cell>
          <cell r="AC169">
            <v>3.5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229</v>
          </cell>
          <cell r="AJ169">
            <v>34</v>
          </cell>
          <cell r="AK169">
            <v>17</v>
          </cell>
        </row>
        <row r="170">
          <cell r="C170">
            <v>350621010</v>
          </cell>
          <cell r="D170">
            <v>0</v>
          </cell>
          <cell r="E170">
            <v>47</v>
          </cell>
          <cell r="F170">
            <v>0</v>
          </cell>
          <cell r="G170">
            <v>58</v>
          </cell>
          <cell r="H170">
            <v>9</v>
          </cell>
          <cell r="I170">
            <v>26</v>
          </cell>
          <cell r="J170">
            <v>52</v>
          </cell>
          <cell r="K170">
            <v>16</v>
          </cell>
          <cell r="L170">
            <v>44</v>
          </cell>
          <cell r="M170">
            <v>14</v>
          </cell>
          <cell r="N170">
            <v>27</v>
          </cell>
          <cell r="O170">
            <v>23</v>
          </cell>
          <cell r="P170">
            <v>3</v>
          </cell>
          <cell r="Q170">
            <v>0</v>
          </cell>
          <cell r="R170">
            <v>26</v>
          </cell>
          <cell r="S170">
            <v>85</v>
          </cell>
          <cell r="T170">
            <v>0</v>
          </cell>
          <cell r="U170">
            <v>0</v>
          </cell>
          <cell r="V170">
            <v>0</v>
          </cell>
          <cell r="W170">
            <v>9</v>
          </cell>
          <cell r="X170">
            <v>0</v>
          </cell>
          <cell r="Y170">
            <v>16</v>
          </cell>
          <cell r="Z170">
            <v>29</v>
          </cell>
          <cell r="AA170">
            <v>28</v>
          </cell>
          <cell r="AB170">
            <v>0</v>
          </cell>
          <cell r="AC170">
            <v>70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582</v>
          </cell>
          <cell r="AJ170">
            <v>85</v>
          </cell>
          <cell r="AK170">
            <v>18</v>
          </cell>
        </row>
        <row r="171">
          <cell r="C171">
            <v>350621011</v>
          </cell>
          <cell r="D171">
            <v>0</v>
          </cell>
          <cell r="E171">
            <v>3</v>
          </cell>
          <cell r="F171">
            <v>42</v>
          </cell>
          <cell r="G171">
            <v>3</v>
          </cell>
          <cell r="H171">
            <v>0</v>
          </cell>
          <cell r="I171">
            <v>27</v>
          </cell>
          <cell r="J171">
            <v>6</v>
          </cell>
          <cell r="K171">
            <v>0</v>
          </cell>
          <cell r="L171">
            <v>41</v>
          </cell>
          <cell r="M171">
            <v>16</v>
          </cell>
          <cell r="N171">
            <v>4</v>
          </cell>
          <cell r="O171">
            <v>3</v>
          </cell>
          <cell r="P171">
            <v>0</v>
          </cell>
          <cell r="Q171">
            <v>0</v>
          </cell>
          <cell r="R171">
            <v>0</v>
          </cell>
          <cell r="S171">
            <v>16</v>
          </cell>
          <cell r="T171">
            <v>0</v>
          </cell>
          <cell r="U171">
            <v>0</v>
          </cell>
          <cell r="V171">
            <v>0</v>
          </cell>
          <cell r="W171">
            <v>20</v>
          </cell>
          <cell r="X171">
            <v>0</v>
          </cell>
          <cell r="Y171">
            <v>8</v>
          </cell>
          <cell r="Z171">
            <v>28</v>
          </cell>
          <cell r="AA171">
            <v>0</v>
          </cell>
          <cell r="AB171">
            <v>0</v>
          </cell>
          <cell r="AC171">
            <v>6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223</v>
          </cell>
          <cell r="AJ171">
            <v>42</v>
          </cell>
          <cell r="AK171">
            <v>14</v>
          </cell>
        </row>
        <row r="172">
          <cell r="C172">
            <v>350621012</v>
          </cell>
          <cell r="D172">
            <v>0</v>
          </cell>
          <cell r="E172">
            <v>1</v>
          </cell>
          <cell r="F172">
            <v>41</v>
          </cell>
          <cell r="G172">
            <v>1</v>
          </cell>
          <cell r="H172">
            <v>0</v>
          </cell>
          <cell r="I172">
            <v>27</v>
          </cell>
          <cell r="J172">
            <v>7.5</v>
          </cell>
          <cell r="K172">
            <v>1</v>
          </cell>
          <cell r="L172">
            <v>43</v>
          </cell>
          <cell r="M172">
            <v>17.5</v>
          </cell>
          <cell r="N172">
            <v>3.5</v>
          </cell>
          <cell r="O172">
            <v>1.5</v>
          </cell>
          <cell r="P172">
            <v>0</v>
          </cell>
          <cell r="Q172">
            <v>0</v>
          </cell>
          <cell r="R172">
            <v>1</v>
          </cell>
          <cell r="S172">
            <v>17</v>
          </cell>
          <cell r="T172">
            <v>0</v>
          </cell>
          <cell r="U172">
            <v>0</v>
          </cell>
          <cell r="V172">
            <v>0</v>
          </cell>
          <cell r="W172">
            <v>11.5</v>
          </cell>
          <cell r="X172">
            <v>0</v>
          </cell>
          <cell r="Y172">
            <v>7</v>
          </cell>
          <cell r="Z172">
            <v>26</v>
          </cell>
          <cell r="AA172">
            <v>8</v>
          </cell>
          <cell r="AB172">
            <v>0</v>
          </cell>
          <cell r="AC172">
            <v>11</v>
          </cell>
          <cell r="AD172">
            <v>1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226.5</v>
          </cell>
          <cell r="AJ172">
            <v>43</v>
          </cell>
          <cell r="AK172">
            <v>18</v>
          </cell>
        </row>
        <row r="173">
          <cell r="C173">
            <v>350621013</v>
          </cell>
          <cell r="D173">
            <v>2.2000000000000002</v>
          </cell>
          <cell r="E173">
            <v>11.5</v>
          </cell>
          <cell r="F173">
            <v>11.1</v>
          </cell>
          <cell r="G173">
            <v>0</v>
          </cell>
          <cell r="H173">
            <v>0</v>
          </cell>
          <cell r="I173">
            <v>33.1</v>
          </cell>
          <cell r="J173">
            <v>6.2</v>
          </cell>
          <cell r="K173">
            <v>2.2000000000000002</v>
          </cell>
          <cell r="L173">
            <v>42.3</v>
          </cell>
          <cell r="M173">
            <v>18.3</v>
          </cell>
          <cell r="N173">
            <v>1</v>
          </cell>
          <cell r="O173">
            <v>5</v>
          </cell>
          <cell r="P173">
            <v>0</v>
          </cell>
          <cell r="Q173">
            <v>0</v>
          </cell>
          <cell r="R173">
            <v>38.9</v>
          </cell>
          <cell r="S173">
            <v>11.8</v>
          </cell>
          <cell r="T173">
            <v>0</v>
          </cell>
          <cell r="U173">
            <v>0</v>
          </cell>
          <cell r="V173">
            <v>0</v>
          </cell>
          <cell r="W173">
            <v>20.8</v>
          </cell>
          <cell r="X173">
            <v>0</v>
          </cell>
          <cell r="Y173">
            <v>5.0999999999999996</v>
          </cell>
          <cell r="Z173">
            <v>28</v>
          </cell>
          <cell r="AA173">
            <v>5.8</v>
          </cell>
          <cell r="AB173">
            <v>0</v>
          </cell>
          <cell r="AC173">
            <v>2</v>
          </cell>
          <cell r="AD173" t="str">
            <v>4,3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245.3</v>
          </cell>
          <cell r="AJ173">
            <v>42.3</v>
          </cell>
          <cell r="AK173">
            <v>17</v>
          </cell>
        </row>
        <row r="174">
          <cell r="C174">
            <v>350621014</v>
          </cell>
          <cell r="D174">
            <v>0</v>
          </cell>
          <cell r="E174">
            <v>11</v>
          </cell>
          <cell r="F174">
            <v>0</v>
          </cell>
          <cell r="G174">
            <v>24</v>
          </cell>
          <cell r="H174">
            <v>17</v>
          </cell>
          <cell r="I174">
            <v>0</v>
          </cell>
          <cell r="J174">
            <v>0</v>
          </cell>
          <cell r="K174">
            <v>13</v>
          </cell>
          <cell r="L174">
            <v>47</v>
          </cell>
          <cell r="M174">
            <v>7</v>
          </cell>
          <cell r="N174">
            <v>31</v>
          </cell>
          <cell r="O174">
            <v>16</v>
          </cell>
          <cell r="P174">
            <v>14</v>
          </cell>
          <cell r="Q174">
            <v>0</v>
          </cell>
          <cell r="R174">
            <v>0</v>
          </cell>
          <cell r="S174">
            <v>73</v>
          </cell>
          <cell r="T174">
            <v>0</v>
          </cell>
          <cell r="U174">
            <v>0</v>
          </cell>
          <cell r="V174">
            <v>0</v>
          </cell>
          <cell r="W174">
            <v>15</v>
          </cell>
          <cell r="X174">
            <v>0</v>
          </cell>
          <cell r="Y174">
            <v>9</v>
          </cell>
          <cell r="Z174">
            <v>59</v>
          </cell>
          <cell r="AA174">
            <v>43</v>
          </cell>
          <cell r="AB174">
            <v>0</v>
          </cell>
          <cell r="AC174">
            <v>51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430</v>
          </cell>
          <cell r="AJ174">
            <v>73</v>
          </cell>
          <cell r="AK174">
            <v>15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6</v>
          </cell>
          <cell r="G175">
            <v>8</v>
          </cell>
          <cell r="H175">
            <v>0</v>
          </cell>
          <cell r="I175">
            <v>40</v>
          </cell>
          <cell r="J175">
            <v>25</v>
          </cell>
          <cell r="K175">
            <v>3</v>
          </cell>
          <cell r="L175">
            <v>10</v>
          </cell>
          <cell r="M175">
            <v>4</v>
          </cell>
          <cell r="N175">
            <v>0</v>
          </cell>
          <cell r="O175">
            <v>3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3</v>
          </cell>
          <cell r="X175">
            <v>0</v>
          </cell>
          <cell r="Y175">
            <v>7</v>
          </cell>
          <cell r="Z175">
            <v>19</v>
          </cell>
          <cell r="AA175">
            <v>5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133</v>
          </cell>
          <cell r="AJ175">
            <v>40</v>
          </cell>
          <cell r="AK175">
            <v>12</v>
          </cell>
        </row>
        <row r="176">
          <cell r="C176">
            <v>350621016</v>
          </cell>
          <cell r="D176">
            <v>0</v>
          </cell>
          <cell r="E176">
            <v>10</v>
          </cell>
          <cell r="F176">
            <v>8</v>
          </cell>
          <cell r="G176">
            <v>43</v>
          </cell>
          <cell r="H176">
            <v>0</v>
          </cell>
          <cell r="I176">
            <v>55</v>
          </cell>
          <cell r="J176">
            <v>38</v>
          </cell>
          <cell r="K176">
            <v>4</v>
          </cell>
          <cell r="L176">
            <v>57</v>
          </cell>
          <cell r="M176">
            <v>4</v>
          </cell>
          <cell r="N176">
            <v>2</v>
          </cell>
          <cell r="O176">
            <v>11</v>
          </cell>
          <cell r="P176">
            <v>3</v>
          </cell>
          <cell r="Q176">
            <v>0</v>
          </cell>
          <cell r="R176">
            <v>0</v>
          </cell>
          <cell r="S176">
            <v>48</v>
          </cell>
          <cell r="T176">
            <v>0</v>
          </cell>
          <cell r="U176">
            <v>0</v>
          </cell>
          <cell r="V176">
            <v>0</v>
          </cell>
          <cell r="W176">
            <v>11</v>
          </cell>
          <cell r="X176">
            <v>0</v>
          </cell>
          <cell r="Y176">
            <v>68</v>
          </cell>
          <cell r="Z176">
            <v>18</v>
          </cell>
          <cell r="AA176">
            <v>10</v>
          </cell>
          <cell r="AB176">
            <v>0</v>
          </cell>
          <cell r="AC176">
            <v>8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398</v>
          </cell>
          <cell r="AJ176">
            <v>68</v>
          </cell>
          <cell r="AK176">
            <v>17</v>
          </cell>
        </row>
        <row r="177">
          <cell r="C177">
            <v>350621017</v>
          </cell>
          <cell r="D177">
            <v>0</v>
          </cell>
          <cell r="E177">
            <v>0</v>
          </cell>
          <cell r="F177">
            <v>0</v>
          </cell>
          <cell r="G177">
            <v>58</v>
          </cell>
          <cell r="H177">
            <v>7</v>
          </cell>
          <cell r="I177">
            <v>4</v>
          </cell>
          <cell r="J177">
            <v>18</v>
          </cell>
          <cell r="K177">
            <v>11</v>
          </cell>
          <cell r="L177">
            <v>17</v>
          </cell>
          <cell r="M177">
            <v>3</v>
          </cell>
          <cell r="N177">
            <v>38</v>
          </cell>
          <cell r="O177">
            <v>12</v>
          </cell>
          <cell r="P177">
            <v>0</v>
          </cell>
          <cell r="Q177">
            <v>0</v>
          </cell>
          <cell r="R177">
            <v>3</v>
          </cell>
          <cell r="S177">
            <v>0</v>
          </cell>
          <cell r="T177">
            <v>0</v>
          </cell>
          <cell r="U177">
            <v>0</v>
          </cell>
          <cell r="V177">
            <v>32</v>
          </cell>
          <cell r="W177">
            <v>9</v>
          </cell>
          <cell r="X177">
            <v>0</v>
          </cell>
          <cell r="Y177">
            <v>34</v>
          </cell>
          <cell r="Z177">
            <v>0</v>
          </cell>
          <cell r="AA177">
            <v>20</v>
          </cell>
          <cell r="AB177">
            <v>0</v>
          </cell>
          <cell r="AC177">
            <v>13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279</v>
          </cell>
          <cell r="AJ177">
            <v>58</v>
          </cell>
          <cell r="AK177">
            <v>15</v>
          </cell>
        </row>
        <row r="178">
          <cell r="C178">
            <v>350621018</v>
          </cell>
          <cell r="D178">
            <v>0</v>
          </cell>
          <cell r="E178">
            <v>0</v>
          </cell>
          <cell r="F178">
            <v>7.6</v>
          </cell>
          <cell r="G178">
            <v>14.5</v>
          </cell>
          <cell r="H178">
            <v>0</v>
          </cell>
          <cell r="I178">
            <v>5</v>
          </cell>
          <cell r="J178">
            <v>2.6</v>
          </cell>
          <cell r="K178">
            <v>1.5</v>
          </cell>
          <cell r="L178">
            <v>8</v>
          </cell>
          <cell r="M178">
            <v>3</v>
          </cell>
          <cell r="N178">
            <v>5</v>
          </cell>
          <cell r="O178">
            <v>0</v>
          </cell>
          <cell r="P178">
            <v>0</v>
          </cell>
          <cell r="Q178">
            <v>0</v>
          </cell>
          <cell r="R178">
            <v>8</v>
          </cell>
          <cell r="S178">
            <v>4</v>
          </cell>
          <cell r="T178">
            <v>0</v>
          </cell>
          <cell r="U178">
            <v>0</v>
          </cell>
          <cell r="V178">
            <v>40</v>
          </cell>
          <cell r="W178">
            <v>9</v>
          </cell>
          <cell r="X178">
            <v>0</v>
          </cell>
          <cell r="Y178">
            <v>4</v>
          </cell>
          <cell r="Z178">
            <v>1.6</v>
          </cell>
          <cell r="AA178">
            <v>1.4</v>
          </cell>
          <cell r="AB178">
            <v>0</v>
          </cell>
          <cell r="AC178">
            <v>8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123.2</v>
          </cell>
          <cell r="AJ178">
            <v>40</v>
          </cell>
          <cell r="AK178">
            <v>16</v>
          </cell>
        </row>
        <row r="179">
          <cell r="C179">
            <v>350621019</v>
          </cell>
          <cell r="D179">
            <v>0</v>
          </cell>
          <cell r="E179">
            <v>0</v>
          </cell>
          <cell r="F179">
            <v>5</v>
          </cell>
          <cell r="G179">
            <v>12</v>
          </cell>
          <cell r="H179">
            <v>3</v>
          </cell>
          <cell r="I179">
            <v>8</v>
          </cell>
          <cell r="J179">
            <v>4</v>
          </cell>
          <cell r="K179">
            <v>8</v>
          </cell>
          <cell r="L179">
            <v>14</v>
          </cell>
          <cell r="M179">
            <v>5</v>
          </cell>
          <cell r="N179">
            <v>0</v>
          </cell>
          <cell r="O179">
            <v>2</v>
          </cell>
          <cell r="P179">
            <v>5</v>
          </cell>
          <cell r="Q179">
            <v>0</v>
          </cell>
          <cell r="R179">
            <v>0</v>
          </cell>
          <cell r="S179">
            <v>3</v>
          </cell>
          <cell r="T179">
            <v>0</v>
          </cell>
          <cell r="U179">
            <v>0</v>
          </cell>
          <cell r="V179">
            <v>0</v>
          </cell>
          <cell r="W179">
            <v>3</v>
          </cell>
          <cell r="X179">
            <v>6</v>
          </cell>
          <cell r="Y179">
            <v>26</v>
          </cell>
          <cell r="Z179">
            <v>4</v>
          </cell>
          <cell r="AA179">
            <v>0</v>
          </cell>
          <cell r="AB179">
            <v>2</v>
          </cell>
          <cell r="AC179">
            <v>5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115</v>
          </cell>
          <cell r="AJ179">
            <v>26</v>
          </cell>
          <cell r="AK179">
            <v>17</v>
          </cell>
        </row>
        <row r="180">
          <cell r="C180">
            <v>350621020</v>
          </cell>
          <cell r="D180">
            <v>4</v>
          </cell>
          <cell r="E180">
            <v>7</v>
          </cell>
          <cell r="F180">
            <v>0</v>
          </cell>
          <cell r="G180">
            <v>0</v>
          </cell>
          <cell r="H180">
            <v>0</v>
          </cell>
          <cell r="I180">
            <v>10</v>
          </cell>
          <cell r="J180">
            <v>6</v>
          </cell>
          <cell r="K180">
            <v>4</v>
          </cell>
          <cell r="L180">
            <v>33</v>
          </cell>
          <cell r="M180">
            <v>14</v>
          </cell>
          <cell r="N180">
            <v>3</v>
          </cell>
          <cell r="O180">
            <v>27</v>
          </cell>
          <cell r="P180">
            <v>0</v>
          </cell>
          <cell r="Q180">
            <v>0</v>
          </cell>
          <cell r="R180">
            <v>0</v>
          </cell>
          <cell r="S180">
            <v>18</v>
          </cell>
          <cell r="T180">
            <v>0</v>
          </cell>
          <cell r="U180">
            <v>0</v>
          </cell>
          <cell r="V180">
            <v>0</v>
          </cell>
          <cell r="W180">
            <v>29</v>
          </cell>
          <cell r="X180">
            <v>0</v>
          </cell>
          <cell r="Y180">
            <v>11</v>
          </cell>
          <cell r="Z180">
            <v>16</v>
          </cell>
          <cell r="AA180">
            <v>7</v>
          </cell>
          <cell r="AB180">
            <v>0</v>
          </cell>
          <cell r="AC180">
            <v>4</v>
          </cell>
          <cell r="AD180">
            <v>3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196</v>
          </cell>
          <cell r="AJ180">
            <v>33</v>
          </cell>
          <cell r="AK180">
            <v>16</v>
          </cell>
        </row>
        <row r="181">
          <cell r="C181">
            <v>350621021</v>
          </cell>
          <cell r="D181">
            <v>3</v>
          </cell>
          <cell r="E181">
            <v>6</v>
          </cell>
          <cell r="F181">
            <v>0</v>
          </cell>
          <cell r="G181">
            <v>0</v>
          </cell>
          <cell r="H181">
            <v>0</v>
          </cell>
          <cell r="I181">
            <v>15</v>
          </cell>
          <cell r="J181">
            <v>5</v>
          </cell>
          <cell r="K181">
            <v>3</v>
          </cell>
          <cell r="L181">
            <v>32</v>
          </cell>
          <cell r="M181" t="str">
            <v>15,5</v>
          </cell>
          <cell r="N181">
            <v>0</v>
          </cell>
          <cell r="O181">
            <v>29</v>
          </cell>
          <cell r="P181">
            <v>0</v>
          </cell>
          <cell r="Q181">
            <v>0</v>
          </cell>
          <cell r="R181">
            <v>0</v>
          </cell>
          <cell r="S181">
            <v>19</v>
          </cell>
          <cell r="T181">
            <v>0</v>
          </cell>
          <cell r="U181">
            <v>0</v>
          </cell>
          <cell r="V181">
            <v>0</v>
          </cell>
          <cell r="W181">
            <v>18</v>
          </cell>
          <cell r="X181">
            <v>0</v>
          </cell>
          <cell r="Y181">
            <v>10</v>
          </cell>
          <cell r="Z181">
            <v>15</v>
          </cell>
          <cell r="AA181">
            <v>4</v>
          </cell>
          <cell r="AB181">
            <v>0</v>
          </cell>
          <cell r="AC181">
            <v>2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161</v>
          </cell>
          <cell r="AJ181">
            <v>32</v>
          </cell>
          <cell r="AK181">
            <v>13</v>
          </cell>
        </row>
        <row r="182">
          <cell r="C182">
            <v>350621022</v>
          </cell>
          <cell r="D182">
            <v>0</v>
          </cell>
          <cell r="E182">
            <v>3</v>
          </cell>
          <cell r="F182">
            <v>68</v>
          </cell>
          <cell r="G182">
            <v>0</v>
          </cell>
          <cell r="H182">
            <v>4</v>
          </cell>
          <cell r="I182">
            <v>12</v>
          </cell>
          <cell r="J182">
            <v>14</v>
          </cell>
          <cell r="K182">
            <v>0</v>
          </cell>
          <cell r="L182">
            <v>17</v>
          </cell>
          <cell r="M182">
            <v>3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11</v>
          </cell>
          <cell r="X182">
            <v>0</v>
          </cell>
          <cell r="Y182">
            <v>13</v>
          </cell>
          <cell r="Z182">
            <v>0</v>
          </cell>
          <cell r="AA182">
            <v>23</v>
          </cell>
          <cell r="AB182">
            <v>3</v>
          </cell>
          <cell r="AC182">
            <v>21</v>
          </cell>
          <cell r="AD182">
            <v>8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200</v>
          </cell>
          <cell r="AJ182">
            <v>68</v>
          </cell>
          <cell r="AK182">
            <v>13</v>
          </cell>
        </row>
        <row r="183">
          <cell r="C183">
            <v>350621023</v>
          </cell>
          <cell r="D183">
            <v>0</v>
          </cell>
          <cell r="E183">
            <v>0</v>
          </cell>
          <cell r="F183">
            <v>32</v>
          </cell>
          <cell r="G183">
            <v>0</v>
          </cell>
          <cell r="H183">
            <v>8</v>
          </cell>
          <cell r="I183">
            <v>7.5</v>
          </cell>
          <cell r="J183">
            <v>3.5</v>
          </cell>
          <cell r="K183">
            <v>0</v>
          </cell>
          <cell r="L183">
            <v>21</v>
          </cell>
          <cell r="M183">
            <v>3.5</v>
          </cell>
          <cell r="N183">
            <v>0</v>
          </cell>
          <cell r="O183">
            <v>0</v>
          </cell>
          <cell r="P183">
            <v>1.5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14</v>
          </cell>
          <cell r="X183">
            <v>0</v>
          </cell>
          <cell r="Y183">
            <v>13.5</v>
          </cell>
          <cell r="Z183">
            <v>2.5</v>
          </cell>
          <cell r="AA183">
            <v>27.5</v>
          </cell>
          <cell r="AB183">
            <v>1</v>
          </cell>
          <cell r="AC183">
            <v>26</v>
          </cell>
          <cell r="AD183">
            <v>6.5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168</v>
          </cell>
          <cell r="AJ183">
            <v>32</v>
          </cell>
          <cell r="AK183">
            <v>14</v>
          </cell>
        </row>
        <row r="184">
          <cell r="C184">
            <v>350621024</v>
          </cell>
          <cell r="D184">
            <v>2</v>
          </cell>
          <cell r="E184">
            <v>8</v>
          </cell>
          <cell r="F184">
            <v>0</v>
          </cell>
          <cell r="G184">
            <v>0</v>
          </cell>
          <cell r="H184">
            <v>0</v>
          </cell>
          <cell r="I184" t="str">
            <v>17,5</v>
          </cell>
          <cell r="J184">
            <v>3</v>
          </cell>
          <cell r="K184">
            <v>2</v>
          </cell>
          <cell r="L184">
            <v>34</v>
          </cell>
          <cell r="M184" t="str">
            <v>16,5</v>
          </cell>
          <cell r="N184">
            <v>0</v>
          </cell>
          <cell r="O184">
            <v>27</v>
          </cell>
          <cell r="P184">
            <v>0</v>
          </cell>
          <cell r="Q184">
            <v>0</v>
          </cell>
          <cell r="R184">
            <v>32</v>
          </cell>
          <cell r="S184">
            <v>20</v>
          </cell>
          <cell r="T184">
            <v>0</v>
          </cell>
          <cell r="U184">
            <v>0</v>
          </cell>
          <cell r="V184">
            <v>0</v>
          </cell>
          <cell r="W184">
            <v>17</v>
          </cell>
          <cell r="X184">
            <v>0</v>
          </cell>
          <cell r="Y184">
            <v>5</v>
          </cell>
          <cell r="Z184">
            <v>26</v>
          </cell>
          <cell r="AA184">
            <v>4</v>
          </cell>
          <cell r="AB184">
            <v>0</v>
          </cell>
          <cell r="AC184">
            <v>3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183</v>
          </cell>
          <cell r="AJ184">
            <v>34</v>
          </cell>
          <cell r="AK184">
            <v>13</v>
          </cell>
        </row>
        <row r="185">
          <cell r="C185">
            <v>350621025</v>
          </cell>
          <cell r="D185">
            <v>0</v>
          </cell>
          <cell r="E185">
            <v>3</v>
          </cell>
          <cell r="F185">
            <v>0</v>
          </cell>
          <cell r="G185">
            <v>0</v>
          </cell>
          <cell r="H185">
            <v>0</v>
          </cell>
          <cell r="I185">
            <v>3</v>
          </cell>
          <cell r="J185">
            <v>0</v>
          </cell>
          <cell r="K185">
            <v>0</v>
          </cell>
          <cell r="L185">
            <v>37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2</v>
          </cell>
          <cell r="X185">
            <v>1</v>
          </cell>
          <cell r="Y185">
            <v>17</v>
          </cell>
          <cell r="Z185">
            <v>0</v>
          </cell>
          <cell r="AA185">
            <v>5</v>
          </cell>
          <cell r="AB185">
            <v>0</v>
          </cell>
          <cell r="AC185">
            <v>15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83</v>
          </cell>
          <cell r="AJ185">
            <v>37</v>
          </cell>
          <cell r="AK185">
            <v>8</v>
          </cell>
        </row>
        <row r="186">
          <cell r="C186">
            <v>350621026</v>
          </cell>
          <cell r="D186">
            <v>7</v>
          </cell>
          <cell r="E186">
            <v>0</v>
          </cell>
          <cell r="F186">
            <v>60</v>
          </cell>
          <cell r="G186">
            <v>0</v>
          </cell>
          <cell r="H186">
            <v>7</v>
          </cell>
          <cell r="I186">
            <v>7</v>
          </cell>
          <cell r="J186">
            <v>9</v>
          </cell>
          <cell r="K186">
            <v>0</v>
          </cell>
          <cell r="L186">
            <v>12</v>
          </cell>
          <cell r="M186">
            <v>14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12</v>
          </cell>
          <cell r="X186">
            <v>12</v>
          </cell>
          <cell r="Y186">
            <v>62</v>
          </cell>
          <cell r="Z186">
            <v>34</v>
          </cell>
          <cell r="AA186">
            <v>7</v>
          </cell>
          <cell r="AB186">
            <v>12</v>
          </cell>
          <cell r="AC186">
            <v>10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265</v>
          </cell>
          <cell r="AJ186">
            <v>62</v>
          </cell>
          <cell r="AK186">
            <v>14</v>
          </cell>
        </row>
        <row r="187">
          <cell r="C187">
            <v>350602001</v>
          </cell>
          <cell r="D187">
            <v>34</v>
          </cell>
          <cell r="E187">
            <v>2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34</v>
          </cell>
          <cell r="K187">
            <v>43</v>
          </cell>
          <cell r="L187">
            <v>8</v>
          </cell>
          <cell r="M187">
            <v>8</v>
          </cell>
          <cell r="N187">
            <v>3</v>
          </cell>
          <cell r="O187">
            <v>0</v>
          </cell>
          <cell r="P187">
            <v>12</v>
          </cell>
          <cell r="Q187">
            <v>1</v>
          </cell>
          <cell r="R187">
            <v>0</v>
          </cell>
          <cell r="S187">
            <v>0</v>
          </cell>
          <cell r="T187">
            <v>36</v>
          </cell>
          <cell r="U187">
            <v>59</v>
          </cell>
          <cell r="V187">
            <v>8</v>
          </cell>
          <cell r="W187">
            <v>4.5</v>
          </cell>
          <cell r="X187">
            <v>44</v>
          </cell>
          <cell r="Y187">
            <v>42</v>
          </cell>
          <cell r="Z187">
            <v>0</v>
          </cell>
          <cell r="AA187">
            <v>6</v>
          </cell>
          <cell r="AB187">
            <v>0</v>
          </cell>
          <cell r="AC187">
            <v>8</v>
          </cell>
          <cell r="AD187">
            <v>31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383.5</v>
          </cell>
          <cell r="AJ187">
            <v>59</v>
          </cell>
          <cell r="AK187">
            <v>18</v>
          </cell>
        </row>
        <row r="188">
          <cell r="C188">
            <v>350602002</v>
          </cell>
          <cell r="D188">
            <v>41</v>
          </cell>
          <cell r="E188">
            <v>1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24</v>
          </cell>
          <cell r="K188">
            <v>13</v>
          </cell>
          <cell r="L188">
            <v>1</v>
          </cell>
          <cell r="M188">
            <v>3</v>
          </cell>
          <cell r="N188">
            <v>5</v>
          </cell>
          <cell r="O188">
            <v>2</v>
          </cell>
          <cell r="P188">
            <v>0</v>
          </cell>
          <cell r="Q188">
            <v>5</v>
          </cell>
          <cell r="R188">
            <v>0</v>
          </cell>
          <cell r="S188">
            <v>0</v>
          </cell>
          <cell r="T188">
            <v>14</v>
          </cell>
          <cell r="U188">
            <v>44</v>
          </cell>
          <cell r="V188">
            <v>0</v>
          </cell>
          <cell r="W188">
            <v>5</v>
          </cell>
          <cell r="X188">
            <v>9</v>
          </cell>
          <cell r="Y188">
            <v>64</v>
          </cell>
          <cell r="Z188">
            <v>0</v>
          </cell>
          <cell r="AA188">
            <v>32</v>
          </cell>
          <cell r="AB188">
            <v>0</v>
          </cell>
          <cell r="AC188">
            <v>10</v>
          </cell>
          <cell r="AD188">
            <v>20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293</v>
          </cell>
          <cell r="AJ188">
            <v>64</v>
          </cell>
          <cell r="AK188">
            <v>17</v>
          </cell>
        </row>
        <row r="189">
          <cell r="C189">
            <v>350602003</v>
          </cell>
          <cell r="D189">
            <v>2</v>
          </cell>
          <cell r="E189">
            <v>40</v>
          </cell>
          <cell r="F189">
            <v>0</v>
          </cell>
          <cell r="G189">
            <v>1</v>
          </cell>
          <cell r="H189">
            <v>0</v>
          </cell>
          <cell r="I189">
            <v>1</v>
          </cell>
          <cell r="J189">
            <v>19</v>
          </cell>
          <cell r="K189">
            <v>62</v>
          </cell>
          <cell r="L189">
            <v>0</v>
          </cell>
          <cell r="M189">
            <v>2</v>
          </cell>
          <cell r="N189">
            <v>56</v>
          </cell>
          <cell r="O189">
            <v>0</v>
          </cell>
          <cell r="P189">
            <v>20</v>
          </cell>
          <cell r="Q189">
            <v>1</v>
          </cell>
          <cell r="R189">
            <v>0</v>
          </cell>
          <cell r="S189">
            <v>0</v>
          </cell>
          <cell r="T189">
            <v>28</v>
          </cell>
          <cell r="U189">
            <v>68</v>
          </cell>
          <cell r="V189">
            <v>1</v>
          </cell>
          <cell r="W189">
            <v>8</v>
          </cell>
          <cell r="X189">
            <v>24</v>
          </cell>
          <cell r="Y189">
            <v>123</v>
          </cell>
          <cell r="Z189">
            <v>1</v>
          </cell>
          <cell r="AA189">
            <v>67</v>
          </cell>
          <cell r="AB189">
            <v>0</v>
          </cell>
          <cell r="AC189">
            <v>2</v>
          </cell>
          <cell r="AD189">
            <v>28</v>
          </cell>
          <cell r="AE189">
            <v>0</v>
          </cell>
          <cell r="AF189">
            <v>0</v>
          </cell>
          <cell r="AG189">
            <v>0</v>
          </cell>
          <cell r="AH189"/>
          <cell r="AI189">
            <v>554</v>
          </cell>
          <cell r="AJ189">
            <v>123</v>
          </cell>
          <cell r="AK189">
            <v>20</v>
          </cell>
        </row>
        <row r="190">
          <cell r="C190">
            <v>350602004</v>
          </cell>
          <cell r="D190">
            <v>6</v>
          </cell>
          <cell r="E190">
            <v>28</v>
          </cell>
          <cell r="F190">
            <v>0</v>
          </cell>
          <cell r="G190">
            <v>3</v>
          </cell>
          <cell r="H190">
            <v>0</v>
          </cell>
          <cell r="I190">
            <v>3</v>
          </cell>
          <cell r="J190">
            <v>10</v>
          </cell>
          <cell r="K190">
            <v>98</v>
          </cell>
          <cell r="L190">
            <v>0</v>
          </cell>
          <cell r="M190">
            <v>5</v>
          </cell>
          <cell r="N190">
            <v>3</v>
          </cell>
          <cell r="O190">
            <v>0</v>
          </cell>
          <cell r="P190">
            <v>23</v>
          </cell>
          <cell r="Q190">
            <v>3</v>
          </cell>
          <cell r="R190">
            <v>0</v>
          </cell>
          <cell r="S190">
            <v>0</v>
          </cell>
          <cell r="T190">
            <v>24</v>
          </cell>
          <cell r="U190">
            <v>53</v>
          </cell>
          <cell r="V190">
            <v>23</v>
          </cell>
          <cell r="W190">
            <v>11</v>
          </cell>
          <cell r="X190">
            <v>30</v>
          </cell>
          <cell r="Y190">
            <v>108</v>
          </cell>
          <cell r="Z190">
            <v>0</v>
          </cell>
          <cell r="AA190">
            <v>65</v>
          </cell>
          <cell r="AB190">
            <v>0</v>
          </cell>
          <cell r="AC190">
            <v>0</v>
          </cell>
          <cell r="AD190">
            <v>29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525</v>
          </cell>
          <cell r="AJ190">
            <v>108</v>
          </cell>
          <cell r="AK190">
            <v>18</v>
          </cell>
        </row>
        <row r="191">
          <cell r="C191">
            <v>350602005</v>
          </cell>
          <cell r="D191">
            <v>0</v>
          </cell>
          <cell r="E191">
            <v>8</v>
          </cell>
          <cell r="F191">
            <v>53</v>
          </cell>
          <cell r="G191">
            <v>43</v>
          </cell>
          <cell r="H191">
            <v>0</v>
          </cell>
          <cell r="I191">
            <v>6</v>
          </cell>
          <cell r="J191">
            <v>31</v>
          </cell>
          <cell r="K191">
            <v>98</v>
          </cell>
          <cell r="L191">
            <v>2</v>
          </cell>
          <cell r="M191">
            <v>10</v>
          </cell>
          <cell r="N191">
            <v>2</v>
          </cell>
          <cell r="O191">
            <v>0</v>
          </cell>
          <cell r="P191">
            <v>32</v>
          </cell>
          <cell r="Q191">
            <v>9</v>
          </cell>
          <cell r="R191">
            <v>17</v>
          </cell>
          <cell r="S191">
            <v>0</v>
          </cell>
          <cell r="T191">
            <v>47</v>
          </cell>
          <cell r="U191">
            <v>86</v>
          </cell>
          <cell r="V191">
            <v>9</v>
          </cell>
          <cell r="W191">
            <v>12</v>
          </cell>
          <cell r="X191">
            <v>24</v>
          </cell>
          <cell r="Y191">
            <v>45</v>
          </cell>
          <cell r="Z191">
            <v>21</v>
          </cell>
          <cell r="AA191">
            <v>48</v>
          </cell>
          <cell r="AB191">
            <v>5</v>
          </cell>
          <cell r="AC191">
            <v>16</v>
          </cell>
          <cell r="AD191">
            <v>86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710</v>
          </cell>
          <cell r="AJ191">
            <v>98</v>
          </cell>
          <cell r="AK191">
            <v>23</v>
          </cell>
        </row>
        <row r="192">
          <cell r="C192">
            <v>350602006</v>
          </cell>
          <cell r="D192">
            <v>2</v>
          </cell>
          <cell r="E192">
            <v>13</v>
          </cell>
          <cell r="F192">
            <v>0</v>
          </cell>
          <cell r="G192">
            <v>15</v>
          </cell>
          <cell r="H192">
            <v>0</v>
          </cell>
          <cell r="I192">
            <v>1</v>
          </cell>
          <cell r="J192">
            <v>9</v>
          </cell>
          <cell r="K192">
            <v>174</v>
          </cell>
          <cell r="L192">
            <v>0</v>
          </cell>
          <cell r="M192">
            <v>25</v>
          </cell>
          <cell r="N192">
            <v>0</v>
          </cell>
          <cell r="O192">
            <v>0</v>
          </cell>
          <cell r="P192">
            <v>59</v>
          </cell>
          <cell r="Q192">
            <v>2</v>
          </cell>
          <cell r="R192">
            <v>0</v>
          </cell>
          <cell r="S192">
            <v>0</v>
          </cell>
          <cell r="T192">
            <v>22</v>
          </cell>
          <cell r="U192">
            <v>90</v>
          </cell>
          <cell r="V192">
            <v>29</v>
          </cell>
          <cell r="W192">
            <v>4</v>
          </cell>
          <cell r="X192">
            <v>35</v>
          </cell>
          <cell r="Y192">
            <v>74</v>
          </cell>
          <cell r="Z192">
            <v>23</v>
          </cell>
          <cell r="AA192">
            <v>24</v>
          </cell>
          <cell r="AB192">
            <v>8</v>
          </cell>
          <cell r="AC192">
            <v>1</v>
          </cell>
          <cell r="AD192">
            <v>49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659</v>
          </cell>
          <cell r="AJ192">
            <v>174</v>
          </cell>
          <cell r="AK192">
            <v>20</v>
          </cell>
        </row>
        <row r="193">
          <cell r="C193">
            <v>350602007</v>
          </cell>
          <cell r="D193">
            <v>4</v>
          </cell>
          <cell r="E193">
            <v>6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6</v>
          </cell>
          <cell r="K193">
            <v>101</v>
          </cell>
          <cell r="L193">
            <v>0</v>
          </cell>
          <cell r="M193">
            <v>3</v>
          </cell>
          <cell r="N193">
            <v>0</v>
          </cell>
          <cell r="O193">
            <v>0</v>
          </cell>
          <cell r="P193">
            <v>13</v>
          </cell>
          <cell r="Q193">
            <v>0</v>
          </cell>
          <cell r="R193">
            <v>0</v>
          </cell>
          <cell r="S193">
            <v>0</v>
          </cell>
          <cell r="T193">
            <v>46</v>
          </cell>
          <cell r="U193">
            <v>90</v>
          </cell>
          <cell r="V193">
            <v>0</v>
          </cell>
          <cell r="W193">
            <v>3</v>
          </cell>
          <cell r="X193">
            <v>7</v>
          </cell>
          <cell r="Y193">
            <v>43</v>
          </cell>
          <cell r="Z193">
            <v>0</v>
          </cell>
          <cell r="AA193">
            <v>0</v>
          </cell>
          <cell r="AB193">
            <v>0</v>
          </cell>
          <cell r="AC193">
            <v>27</v>
          </cell>
          <cell r="AD193">
            <v>34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383</v>
          </cell>
          <cell r="AJ193">
            <v>101</v>
          </cell>
          <cell r="AK193">
            <v>13</v>
          </cell>
        </row>
        <row r="194">
          <cell r="C194">
            <v>350602008</v>
          </cell>
          <cell r="D194">
            <v>2</v>
          </cell>
          <cell r="E194">
            <v>2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5</v>
          </cell>
          <cell r="K194">
            <v>76</v>
          </cell>
          <cell r="L194">
            <v>1</v>
          </cell>
          <cell r="M194">
            <v>2</v>
          </cell>
          <cell r="N194">
            <v>0</v>
          </cell>
          <cell r="O194">
            <v>0</v>
          </cell>
          <cell r="P194">
            <v>12</v>
          </cell>
          <cell r="Q194">
            <v>1</v>
          </cell>
          <cell r="R194">
            <v>0</v>
          </cell>
          <cell r="S194">
            <v>0</v>
          </cell>
          <cell r="T194">
            <v>45</v>
          </cell>
          <cell r="U194">
            <v>78</v>
          </cell>
          <cell r="V194">
            <v>10</v>
          </cell>
          <cell r="W194">
            <v>3</v>
          </cell>
          <cell r="X194">
            <v>36</v>
          </cell>
          <cell r="Y194">
            <v>24</v>
          </cell>
          <cell r="Z194">
            <v>0</v>
          </cell>
          <cell r="AA194">
            <v>9</v>
          </cell>
          <cell r="AB194">
            <v>0</v>
          </cell>
          <cell r="AC194">
            <v>7</v>
          </cell>
          <cell r="AD194">
            <v>22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335</v>
          </cell>
          <cell r="AJ194">
            <v>78</v>
          </cell>
          <cell r="AK194">
            <v>17</v>
          </cell>
        </row>
        <row r="195">
          <cell r="C195">
            <v>350602009</v>
          </cell>
          <cell r="D195">
            <v>6</v>
          </cell>
          <cell r="E195">
            <v>31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4</v>
          </cell>
          <cell r="K195">
            <v>72</v>
          </cell>
          <cell r="L195">
            <v>0</v>
          </cell>
          <cell r="M195">
            <v>4</v>
          </cell>
          <cell r="N195">
            <v>0</v>
          </cell>
          <cell r="O195">
            <v>0</v>
          </cell>
          <cell r="P195">
            <v>12</v>
          </cell>
          <cell r="Q195">
            <v>0</v>
          </cell>
          <cell r="R195">
            <v>0</v>
          </cell>
          <cell r="S195">
            <v>0</v>
          </cell>
          <cell r="T195">
            <v>39</v>
          </cell>
          <cell r="U195">
            <v>65</v>
          </cell>
          <cell r="V195">
            <v>13</v>
          </cell>
          <cell r="W195">
            <v>3</v>
          </cell>
          <cell r="X195">
            <v>22</v>
          </cell>
          <cell r="Y195">
            <v>32</v>
          </cell>
          <cell r="Z195">
            <v>0</v>
          </cell>
          <cell r="AA195">
            <v>7</v>
          </cell>
          <cell r="AB195">
            <v>0</v>
          </cell>
          <cell r="AC195">
            <v>9</v>
          </cell>
          <cell r="AD195">
            <v>28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347</v>
          </cell>
          <cell r="AJ195">
            <v>72</v>
          </cell>
          <cell r="AK195">
            <v>15</v>
          </cell>
        </row>
        <row r="196">
          <cell r="C196">
            <v>350602010</v>
          </cell>
          <cell r="D196">
            <v>0</v>
          </cell>
          <cell r="E196">
            <v>10</v>
          </cell>
          <cell r="F196">
            <v>5</v>
          </cell>
          <cell r="G196">
            <v>0</v>
          </cell>
          <cell r="H196">
            <v>0</v>
          </cell>
          <cell r="I196">
            <v>0</v>
          </cell>
          <cell r="J196">
            <v>9</v>
          </cell>
          <cell r="K196">
            <v>41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7</v>
          </cell>
          <cell r="U196">
            <v>53</v>
          </cell>
          <cell r="V196">
            <v>0</v>
          </cell>
          <cell r="W196">
            <v>0</v>
          </cell>
          <cell r="X196">
            <v>92</v>
          </cell>
          <cell r="Y196">
            <v>32</v>
          </cell>
          <cell r="Z196">
            <v>0</v>
          </cell>
          <cell r="AA196">
            <v>0</v>
          </cell>
          <cell r="AB196">
            <v>0</v>
          </cell>
          <cell r="AC196">
            <v>16</v>
          </cell>
          <cell r="AD196">
            <v>48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313</v>
          </cell>
          <cell r="AJ196">
            <v>92</v>
          </cell>
          <cell r="AK196">
            <v>10</v>
          </cell>
        </row>
        <row r="197">
          <cell r="C197">
            <v>350602011</v>
          </cell>
          <cell r="D197">
            <v>23</v>
          </cell>
          <cell r="E197">
            <v>4</v>
          </cell>
          <cell r="F197">
            <v>8</v>
          </cell>
          <cell r="G197">
            <v>4</v>
          </cell>
          <cell r="H197">
            <v>8</v>
          </cell>
          <cell r="I197">
            <v>5</v>
          </cell>
          <cell r="J197">
            <v>3</v>
          </cell>
          <cell r="K197">
            <v>15</v>
          </cell>
          <cell r="L197">
            <v>0</v>
          </cell>
          <cell r="M197">
            <v>5</v>
          </cell>
          <cell r="N197">
            <v>0</v>
          </cell>
          <cell r="O197">
            <v>0</v>
          </cell>
          <cell r="P197">
            <v>0</v>
          </cell>
          <cell r="Q197">
            <v>7</v>
          </cell>
          <cell r="R197">
            <v>0</v>
          </cell>
          <cell r="S197">
            <v>0</v>
          </cell>
          <cell r="T197">
            <v>8</v>
          </cell>
          <cell r="U197">
            <v>48</v>
          </cell>
          <cell r="V197">
            <v>6</v>
          </cell>
          <cell r="W197">
            <v>16</v>
          </cell>
          <cell r="X197">
            <v>21</v>
          </cell>
          <cell r="Y197">
            <v>59</v>
          </cell>
          <cell r="Z197">
            <v>0</v>
          </cell>
          <cell r="AA197">
            <v>12</v>
          </cell>
          <cell r="AB197">
            <v>4</v>
          </cell>
          <cell r="AC197">
            <v>10</v>
          </cell>
          <cell r="AD197">
            <v>14</v>
          </cell>
          <cell r="AE197">
            <v>5</v>
          </cell>
          <cell r="AF197">
            <v>0</v>
          </cell>
          <cell r="AG197">
            <v>0</v>
          </cell>
          <cell r="AH197">
            <v>0</v>
          </cell>
          <cell r="AI197">
            <v>285</v>
          </cell>
          <cell r="AJ197">
            <v>59</v>
          </cell>
          <cell r="AK197">
            <v>21</v>
          </cell>
        </row>
        <row r="198">
          <cell r="C198">
            <v>350602012</v>
          </cell>
          <cell r="D198">
            <v>11</v>
          </cell>
          <cell r="E198">
            <v>20</v>
          </cell>
          <cell r="F198">
            <v>1</v>
          </cell>
          <cell r="G198">
            <v>2</v>
          </cell>
          <cell r="H198">
            <v>0</v>
          </cell>
          <cell r="I198">
            <v>0</v>
          </cell>
          <cell r="J198">
            <v>4</v>
          </cell>
          <cell r="K198">
            <v>33</v>
          </cell>
          <cell r="L198">
            <v>0</v>
          </cell>
          <cell r="M198">
            <v>2</v>
          </cell>
          <cell r="N198">
            <v>0</v>
          </cell>
          <cell r="O198">
            <v>0</v>
          </cell>
          <cell r="P198">
            <v>3</v>
          </cell>
          <cell r="Q198">
            <v>0</v>
          </cell>
          <cell r="R198">
            <v>1</v>
          </cell>
          <cell r="S198">
            <v>0</v>
          </cell>
          <cell r="T198">
            <v>29</v>
          </cell>
          <cell r="U198">
            <v>45</v>
          </cell>
          <cell r="V198">
            <v>9</v>
          </cell>
          <cell r="W198">
            <v>3</v>
          </cell>
          <cell r="X198">
            <v>14</v>
          </cell>
          <cell r="Y198">
            <v>37</v>
          </cell>
          <cell r="Z198">
            <v>0</v>
          </cell>
          <cell r="AA198">
            <v>5</v>
          </cell>
          <cell r="AB198">
            <v>0</v>
          </cell>
          <cell r="AC198">
            <v>6</v>
          </cell>
          <cell r="AD198">
            <v>20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245</v>
          </cell>
          <cell r="AJ198">
            <v>45</v>
          </cell>
          <cell r="AK198">
            <v>18</v>
          </cell>
        </row>
        <row r="199">
          <cell r="C199">
            <v>350602013</v>
          </cell>
          <cell r="D199">
            <v>4</v>
          </cell>
          <cell r="E199">
            <v>5</v>
          </cell>
          <cell r="F199">
            <v>44</v>
          </cell>
          <cell r="G199">
            <v>1</v>
          </cell>
          <cell r="H199">
            <v>4</v>
          </cell>
          <cell r="I199">
            <v>0</v>
          </cell>
          <cell r="J199">
            <v>26</v>
          </cell>
          <cell r="K199">
            <v>13</v>
          </cell>
          <cell r="L199">
            <v>7</v>
          </cell>
          <cell r="M199">
            <v>5</v>
          </cell>
          <cell r="N199">
            <v>0</v>
          </cell>
          <cell r="O199">
            <v>0</v>
          </cell>
          <cell r="P199">
            <v>2</v>
          </cell>
          <cell r="Q199">
            <v>0</v>
          </cell>
          <cell r="R199">
            <v>0</v>
          </cell>
          <cell r="S199">
            <v>0</v>
          </cell>
          <cell r="T199">
            <v>28</v>
          </cell>
          <cell r="U199">
            <v>55</v>
          </cell>
          <cell r="V199">
            <v>8</v>
          </cell>
          <cell r="W199">
            <v>5</v>
          </cell>
          <cell r="X199">
            <v>18</v>
          </cell>
          <cell r="Y199">
            <v>65</v>
          </cell>
          <cell r="Z199">
            <v>0</v>
          </cell>
          <cell r="AA199">
            <v>18</v>
          </cell>
          <cell r="AB199">
            <v>1</v>
          </cell>
          <cell r="AC199">
            <v>6</v>
          </cell>
          <cell r="AD199">
            <v>6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321</v>
          </cell>
          <cell r="AJ199">
            <v>65</v>
          </cell>
          <cell r="AK199">
            <v>20</v>
          </cell>
        </row>
        <row r="200">
          <cell r="C200">
            <v>350602014</v>
          </cell>
          <cell r="D200">
            <v>12</v>
          </cell>
          <cell r="E200">
            <v>100</v>
          </cell>
          <cell r="F200">
            <v>0</v>
          </cell>
          <cell r="G200">
            <v>1</v>
          </cell>
          <cell r="H200">
            <v>1</v>
          </cell>
          <cell r="I200">
            <v>14</v>
          </cell>
          <cell r="J200">
            <v>10</v>
          </cell>
          <cell r="K200">
            <v>9</v>
          </cell>
          <cell r="L200">
            <v>2</v>
          </cell>
          <cell r="M200">
            <v>3</v>
          </cell>
          <cell r="N200">
            <v>0</v>
          </cell>
          <cell r="O200">
            <v>0</v>
          </cell>
          <cell r="P200">
            <v>1</v>
          </cell>
          <cell r="Q200">
            <v>1</v>
          </cell>
          <cell r="R200">
            <v>0</v>
          </cell>
          <cell r="S200">
            <v>0</v>
          </cell>
          <cell r="T200">
            <v>20</v>
          </cell>
          <cell r="U200">
            <v>34</v>
          </cell>
          <cell r="V200">
            <v>6</v>
          </cell>
          <cell r="W200">
            <v>6</v>
          </cell>
          <cell r="X200">
            <v>88</v>
          </cell>
          <cell r="Y200">
            <v>76</v>
          </cell>
          <cell r="Z200">
            <v>0</v>
          </cell>
          <cell r="AA200">
            <v>3</v>
          </cell>
          <cell r="AB200">
            <v>1</v>
          </cell>
          <cell r="AC200">
            <v>11</v>
          </cell>
          <cell r="AD200">
            <v>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406</v>
          </cell>
          <cell r="AJ200">
            <v>100</v>
          </cell>
          <cell r="AK200">
            <v>21</v>
          </cell>
        </row>
        <row r="201">
          <cell r="C201">
            <v>350602015</v>
          </cell>
          <cell r="D201">
            <v>0</v>
          </cell>
          <cell r="E201">
            <v>51</v>
          </cell>
          <cell r="F201">
            <v>0</v>
          </cell>
          <cell r="G201">
            <v>4</v>
          </cell>
          <cell r="H201">
            <v>15</v>
          </cell>
          <cell r="I201">
            <v>11</v>
          </cell>
          <cell r="J201">
            <v>95</v>
          </cell>
          <cell r="K201">
            <v>22</v>
          </cell>
          <cell r="L201">
            <v>0</v>
          </cell>
          <cell r="M201">
            <v>42</v>
          </cell>
          <cell r="N201">
            <v>7</v>
          </cell>
          <cell r="O201">
            <v>17</v>
          </cell>
          <cell r="P201">
            <v>21</v>
          </cell>
          <cell r="Q201">
            <v>7</v>
          </cell>
          <cell r="R201">
            <v>0</v>
          </cell>
          <cell r="S201">
            <v>25</v>
          </cell>
          <cell r="T201">
            <v>17</v>
          </cell>
          <cell r="U201">
            <v>55</v>
          </cell>
          <cell r="V201">
            <v>16</v>
          </cell>
          <cell r="W201">
            <v>20</v>
          </cell>
          <cell r="X201">
            <v>32</v>
          </cell>
          <cell r="Y201">
            <v>123</v>
          </cell>
          <cell r="Z201">
            <v>0</v>
          </cell>
          <cell r="AA201">
            <v>59</v>
          </cell>
          <cell r="AB201">
            <v>0</v>
          </cell>
          <cell r="AC201">
            <v>0</v>
          </cell>
          <cell r="AD201">
            <v>27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666</v>
          </cell>
          <cell r="AJ201">
            <v>123</v>
          </cell>
          <cell r="AK201">
            <v>20</v>
          </cell>
        </row>
        <row r="202">
          <cell r="C202">
            <v>350602016</v>
          </cell>
          <cell r="D202">
            <v>4</v>
          </cell>
          <cell r="E202">
            <v>16</v>
          </cell>
          <cell r="F202">
            <v>6</v>
          </cell>
          <cell r="G202">
            <v>8</v>
          </cell>
          <cell r="H202">
            <v>0</v>
          </cell>
          <cell r="I202">
            <v>23</v>
          </cell>
          <cell r="J202">
            <v>86</v>
          </cell>
          <cell r="K202">
            <v>35</v>
          </cell>
          <cell r="L202">
            <v>1</v>
          </cell>
          <cell r="M202">
            <v>5</v>
          </cell>
          <cell r="N202">
            <v>2</v>
          </cell>
          <cell r="O202">
            <v>13</v>
          </cell>
          <cell r="P202">
            <v>40</v>
          </cell>
          <cell r="Q202">
            <v>3</v>
          </cell>
          <cell r="R202">
            <v>0</v>
          </cell>
          <cell r="S202">
            <v>25</v>
          </cell>
          <cell r="T202">
            <v>22</v>
          </cell>
          <cell r="U202">
            <v>85</v>
          </cell>
          <cell r="V202">
            <v>7</v>
          </cell>
          <cell r="W202">
            <v>32</v>
          </cell>
          <cell r="X202">
            <v>23</v>
          </cell>
          <cell r="Y202">
            <v>120</v>
          </cell>
          <cell r="Z202">
            <v>0</v>
          </cell>
          <cell r="AA202">
            <v>71</v>
          </cell>
          <cell r="AB202">
            <v>2</v>
          </cell>
          <cell r="AC202">
            <v>2</v>
          </cell>
          <cell r="AD202">
            <v>33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664</v>
          </cell>
          <cell r="AJ202">
            <v>120</v>
          </cell>
          <cell r="AK202">
            <v>24</v>
          </cell>
        </row>
        <row r="203">
          <cell r="C203">
            <v>350602017</v>
          </cell>
          <cell r="D203">
            <v>21</v>
          </cell>
          <cell r="E203">
            <v>10</v>
          </cell>
          <cell r="F203">
            <v>0</v>
          </cell>
          <cell r="G203">
            <v>11</v>
          </cell>
          <cell r="H203">
            <v>0</v>
          </cell>
          <cell r="I203">
            <v>0</v>
          </cell>
          <cell r="J203">
            <v>55</v>
          </cell>
          <cell r="K203">
            <v>21</v>
          </cell>
          <cell r="L203">
            <v>6</v>
          </cell>
          <cell r="M203">
            <v>5</v>
          </cell>
          <cell r="N203">
            <v>10</v>
          </cell>
          <cell r="O203">
            <v>0</v>
          </cell>
          <cell r="P203">
            <v>14</v>
          </cell>
          <cell r="Q203">
            <v>0</v>
          </cell>
          <cell r="R203">
            <v>0</v>
          </cell>
          <cell r="S203">
            <v>0</v>
          </cell>
          <cell r="T203">
            <v>24</v>
          </cell>
          <cell r="U203">
            <v>59</v>
          </cell>
          <cell r="V203">
            <v>0</v>
          </cell>
          <cell r="W203">
            <v>7</v>
          </cell>
          <cell r="X203">
            <v>29</v>
          </cell>
          <cell r="Y203">
            <v>93</v>
          </cell>
          <cell r="Z203">
            <v>0</v>
          </cell>
          <cell r="AA203">
            <v>24</v>
          </cell>
          <cell r="AB203">
            <v>0</v>
          </cell>
          <cell r="AC203">
            <v>14</v>
          </cell>
          <cell r="AD203">
            <v>18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421</v>
          </cell>
          <cell r="AJ203">
            <v>93</v>
          </cell>
          <cell r="AK203">
            <v>17</v>
          </cell>
        </row>
        <row r="204">
          <cell r="C204">
            <v>350602018</v>
          </cell>
          <cell r="D204">
            <v>2</v>
          </cell>
          <cell r="E204">
            <v>24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3</v>
          </cell>
          <cell r="K204">
            <v>81</v>
          </cell>
          <cell r="L204">
            <v>0</v>
          </cell>
          <cell r="M204">
            <v>1</v>
          </cell>
          <cell r="N204">
            <v>0</v>
          </cell>
          <cell r="O204">
            <v>0</v>
          </cell>
          <cell r="P204">
            <v>10</v>
          </cell>
          <cell r="Q204">
            <v>0</v>
          </cell>
          <cell r="R204">
            <v>0</v>
          </cell>
          <cell r="S204">
            <v>0</v>
          </cell>
          <cell r="T204">
            <v>43</v>
          </cell>
          <cell r="U204">
            <v>48</v>
          </cell>
          <cell r="V204">
            <v>11</v>
          </cell>
          <cell r="W204">
            <v>2</v>
          </cell>
          <cell r="X204">
            <v>29</v>
          </cell>
          <cell r="Y204">
            <v>23</v>
          </cell>
          <cell r="Z204">
            <v>0</v>
          </cell>
          <cell r="AA204">
            <v>7</v>
          </cell>
          <cell r="AB204">
            <v>0</v>
          </cell>
          <cell r="AC204">
            <v>12</v>
          </cell>
          <cell r="AD204">
            <v>26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322</v>
          </cell>
          <cell r="AJ204">
            <v>81</v>
          </cell>
          <cell r="AK204">
            <v>15</v>
          </cell>
        </row>
        <row r="205">
          <cell r="C205">
            <v>350602019</v>
          </cell>
          <cell r="D205">
            <v>8</v>
          </cell>
          <cell r="E205">
            <v>61</v>
          </cell>
          <cell r="F205">
            <v>2</v>
          </cell>
          <cell r="G205">
            <v>1</v>
          </cell>
          <cell r="H205">
            <v>0</v>
          </cell>
          <cell r="I205">
            <v>0</v>
          </cell>
          <cell r="J205">
            <v>4</v>
          </cell>
          <cell r="K205">
            <v>39</v>
          </cell>
          <cell r="L205">
            <v>0</v>
          </cell>
          <cell r="M205">
            <v>1</v>
          </cell>
          <cell r="N205">
            <v>0</v>
          </cell>
          <cell r="O205">
            <v>0</v>
          </cell>
          <cell r="P205">
            <v>1</v>
          </cell>
          <cell r="Q205">
            <v>0</v>
          </cell>
          <cell r="R205">
            <v>0</v>
          </cell>
          <cell r="S205">
            <v>0</v>
          </cell>
          <cell r="T205">
            <v>15</v>
          </cell>
          <cell r="U205">
            <v>37</v>
          </cell>
          <cell r="V205">
            <v>7</v>
          </cell>
          <cell r="W205">
            <v>3</v>
          </cell>
          <cell r="X205">
            <v>34</v>
          </cell>
          <cell r="Y205">
            <v>50</v>
          </cell>
          <cell r="Z205">
            <v>0</v>
          </cell>
          <cell r="AA205">
            <v>4</v>
          </cell>
          <cell r="AB205">
            <v>0</v>
          </cell>
          <cell r="AC205">
            <v>23</v>
          </cell>
          <cell r="AD205">
            <v>22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312</v>
          </cell>
          <cell r="AJ205">
            <v>61</v>
          </cell>
          <cell r="AK205">
            <v>17</v>
          </cell>
        </row>
        <row r="206">
          <cell r="C206">
            <v>350602020</v>
          </cell>
          <cell r="D206">
            <v>3</v>
          </cell>
          <cell r="E206">
            <v>15</v>
          </cell>
          <cell r="F206">
            <v>3</v>
          </cell>
          <cell r="G206">
            <v>0</v>
          </cell>
          <cell r="H206">
            <v>23</v>
          </cell>
          <cell r="I206">
            <v>0</v>
          </cell>
          <cell r="J206">
            <v>21</v>
          </cell>
          <cell r="K206">
            <v>12</v>
          </cell>
          <cell r="L206">
            <v>5</v>
          </cell>
          <cell r="M206">
            <v>18</v>
          </cell>
          <cell r="N206">
            <v>0</v>
          </cell>
          <cell r="O206">
            <v>0</v>
          </cell>
          <cell r="P206">
            <v>4</v>
          </cell>
          <cell r="Q206">
            <v>0</v>
          </cell>
          <cell r="R206">
            <v>0</v>
          </cell>
          <cell r="S206">
            <v>0</v>
          </cell>
          <cell r="T206">
            <v>32</v>
          </cell>
          <cell r="U206">
            <v>62</v>
          </cell>
          <cell r="V206">
            <v>6</v>
          </cell>
          <cell r="W206">
            <v>4</v>
          </cell>
          <cell r="X206">
            <v>8</v>
          </cell>
          <cell r="Y206">
            <v>41</v>
          </cell>
          <cell r="Z206">
            <v>0</v>
          </cell>
          <cell r="AA206">
            <v>20</v>
          </cell>
          <cell r="AB206">
            <v>0</v>
          </cell>
          <cell r="AC206">
            <v>10</v>
          </cell>
          <cell r="AD206">
            <v>10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297</v>
          </cell>
          <cell r="AJ206">
            <v>62</v>
          </cell>
          <cell r="AK206">
            <v>18</v>
          </cell>
        </row>
        <row r="207">
          <cell r="C207">
            <v>350602021</v>
          </cell>
          <cell r="D207">
            <v>11</v>
          </cell>
          <cell r="E207">
            <v>58</v>
          </cell>
          <cell r="F207">
            <v>18</v>
          </cell>
          <cell r="G207">
            <v>4</v>
          </cell>
          <cell r="H207">
            <v>1</v>
          </cell>
          <cell r="I207">
            <v>31</v>
          </cell>
          <cell r="J207">
            <v>14</v>
          </cell>
          <cell r="K207">
            <v>10</v>
          </cell>
          <cell r="L207">
            <v>4</v>
          </cell>
          <cell r="M207">
            <v>3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23</v>
          </cell>
          <cell r="U207">
            <v>45</v>
          </cell>
          <cell r="V207">
            <v>5</v>
          </cell>
          <cell r="W207">
            <v>5</v>
          </cell>
          <cell r="X207">
            <v>43</v>
          </cell>
          <cell r="Y207">
            <v>86</v>
          </cell>
          <cell r="Z207">
            <v>0</v>
          </cell>
          <cell r="AA207">
            <v>8</v>
          </cell>
          <cell r="AB207">
            <v>0</v>
          </cell>
          <cell r="AC207">
            <v>5</v>
          </cell>
          <cell r="AD207">
            <v>3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377</v>
          </cell>
          <cell r="AJ207">
            <v>86</v>
          </cell>
          <cell r="AK207">
            <v>19</v>
          </cell>
        </row>
        <row r="208">
          <cell r="C208">
            <v>350602022</v>
          </cell>
          <cell r="D208">
            <v>24</v>
          </cell>
          <cell r="E208">
            <v>5</v>
          </cell>
          <cell r="F208">
            <v>8</v>
          </cell>
          <cell r="G208">
            <v>2</v>
          </cell>
          <cell r="H208">
            <v>4</v>
          </cell>
          <cell r="I208">
            <v>5</v>
          </cell>
          <cell r="J208">
            <v>4</v>
          </cell>
          <cell r="K208">
            <v>3</v>
          </cell>
          <cell r="L208">
            <v>2</v>
          </cell>
          <cell r="M208">
            <v>3</v>
          </cell>
          <cell r="N208">
            <v>0</v>
          </cell>
          <cell r="O208">
            <v>0</v>
          </cell>
          <cell r="P208">
            <v>3</v>
          </cell>
          <cell r="Q208">
            <v>0</v>
          </cell>
          <cell r="R208">
            <v>0</v>
          </cell>
          <cell r="S208">
            <v>0</v>
          </cell>
          <cell r="T208">
            <v>22</v>
          </cell>
          <cell r="U208">
            <v>55</v>
          </cell>
          <cell r="V208">
            <v>2</v>
          </cell>
          <cell r="W208">
            <v>34</v>
          </cell>
          <cell r="X208">
            <v>5</v>
          </cell>
          <cell r="Y208">
            <v>105</v>
          </cell>
          <cell r="Z208">
            <v>0</v>
          </cell>
          <cell r="AA208">
            <v>35</v>
          </cell>
          <cell r="AB208">
            <v>0</v>
          </cell>
          <cell r="AC208">
            <v>32</v>
          </cell>
          <cell r="AD208">
            <v>5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358</v>
          </cell>
          <cell r="AJ208">
            <v>105</v>
          </cell>
          <cell r="AK208">
            <v>20</v>
          </cell>
        </row>
        <row r="209">
          <cell r="C209">
            <v>350602023</v>
          </cell>
          <cell r="D209">
            <v>0</v>
          </cell>
          <cell r="E209">
            <v>13</v>
          </cell>
          <cell r="F209">
            <v>6</v>
          </cell>
          <cell r="G209">
            <v>0</v>
          </cell>
          <cell r="H209">
            <v>2</v>
          </cell>
          <cell r="I209">
            <v>16</v>
          </cell>
          <cell r="J209">
            <v>4</v>
          </cell>
          <cell r="K209">
            <v>92</v>
          </cell>
          <cell r="L209">
            <v>2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3</v>
          </cell>
          <cell r="U209">
            <v>72</v>
          </cell>
          <cell r="V209">
            <v>12</v>
          </cell>
          <cell r="W209">
            <v>2</v>
          </cell>
          <cell r="X209">
            <v>29</v>
          </cell>
          <cell r="Y209">
            <v>48</v>
          </cell>
          <cell r="Z209">
            <v>19</v>
          </cell>
          <cell r="AA209">
            <v>0</v>
          </cell>
          <cell r="AB209">
            <v>1</v>
          </cell>
          <cell r="AC209">
            <v>2</v>
          </cell>
          <cell r="AD209">
            <v>69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392</v>
          </cell>
          <cell r="AJ209">
            <v>92</v>
          </cell>
          <cell r="AK209">
            <v>17</v>
          </cell>
        </row>
        <row r="210">
          <cell r="C210">
            <v>350601001</v>
          </cell>
          <cell r="D210">
            <v>14</v>
          </cell>
          <cell r="E210">
            <v>4</v>
          </cell>
          <cell r="F210">
            <v>103</v>
          </cell>
          <cell r="G210">
            <v>2</v>
          </cell>
          <cell r="H210">
            <v>0</v>
          </cell>
          <cell r="I210">
            <v>5</v>
          </cell>
          <cell r="J210">
            <v>31</v>
          </cell>
          <cell r="K210">
            <v>134</v>
          </cell>
          <cell r="L210">
            <v>6</v>
          </cell>
          <cell r="M210">
            <v>2</v>
          </cell>
          <cell r="N210">
            <v>24</v>
          </cell>
          <cell r="O210">
            <v>117</v>
          </cell>
          <cell r="P210">
            <v>152</v>
          </cell>
          <cell r="Q210">
            <v>26</v>
          </cell>
          <cell r="R210">
            <v>6</v>
          </cell>
          <cell r="S210">
            <v>1</v>
          </cell>
          <cell r="T210">
            <v>16</v>
          </cell>
          <cell r="U210">
            <v>85</v>
          </cell>
          <cell r="V210">
            <v>2</v>
          </cell>
          <cell r="W210">
            <v>6</v>
          </cell>
          <cell r="X210">
            <v>16</v>
          </cell>
          <cell r="Y210">
            <v>21</v>
          </cell>
          <cell r="Z210">
            <v>1</v>
          </cell>
          <cell r="AA210">
            <v>33</v>
          </cell>
          <cell r="AB210">
            <v>15</v>
          </cell>
          <cell r="AC210">
            <v>35</v>
          </cell>
          <cell r="AD210">
            <v>32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889</v>
          </cell>
          <cell r="AJ210">
            <v>152</v>
          </cell>
          <cell r="AK210">
            <v>26</v>
          </cell>
        </row>
        <row r="211">
          <cell r="C211">
            <v>350601002</v>
          </cell>
          <cell r="D211">
            <v>11</v>
          </cell>
          <cell r="E211">
            <v>1</v>
          </cell>
          <cell r="F211">
            <v>60</v>
          </cell>
          <cell r="G211">
            <v>18</v>
          </cell>
          <cell r="H211">
            <v>0</v>
          </cell>
          <cell r="I211">
            <v>18</v>
          </cell>
          <cell r="J211">
            <v>27</v>
          </cell>
          <cell r="K211">
            <v>156</v>
          </cell>
          <cell r="L211">
            <v>8</v>
          </cell>
          <cell r="M211">
            <v>9</v>
          </cell>
          <cell r="N211">
            <v>37</v>
          </cell>
          <cell r="O211">
            <v>12</v>
          </cell>
          <cell r="P211">
            <v>201</v>
          </cell>
          <cell r="Q211">
            <v>29</v>
          </cell>
          <cell r="R211">
            <v>9</v>
          </cell>
          <cell r="S211">
            <v>0</v>
          </cell>
          <cell r="T211">
            <v>8</v>
          </cell>
          <cell r="U211">
            <v>41</v>
          </cell>
          <cell r="V211">
            <v>3</v>
          </cell>
          <cell r="W211">
            <v>6</v>
          </cell>
          <cell r="X211">
            <v>13</v>
          </cell>
          <cell r="Y211">
            <v>0</v>
          </cell>
          <cell r="Z211">
            <v>24</v>
          </cell>
          <cell r="AA211">
            <v>45</v>
          </cell>
          <cell r="AB211">
            <v>8</v>
          </cell>
          <cell r="AC211">
            <v>34</v>
          </cell>
          <cell r="AD211">
            <v>19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797</v>
          </cell>
          <cell r="AJ211">
            <v>201</v>
          </cell>
          <cell r="AK211">
            <v>24</v>
          </cell>
        </row>
        <row r="212">
          <cell r="C212">
            <v>350601003</v>
          </cell>
          <cell r="D212">
            <v>3</v>
          </cell>
          <cell r="E212">
            <v>7</v>
          </cell>
          <cell r="F212">
            <v>120</v>
          </cell>
          <cell r="G212">
            <v>0</v>
          </cell>
          <cell r="H212">
            <v>0</v>
          </cell>
          <cell r="I212">
            <v>0</v>
          </cell>
          <cell r="J212">
            <v>11</v>
          </cell>
          <cell r="K212">
            <v>180</v>
          </cell>
          <cell r="L212">
            <v>7</v>
          </cell>
          <cell r="M212">
            <v>0</v>
          </cell>
          <cell r="N212">
            <v>0</v>
          </cell>
          <cell r="O212">
            <v>10</v>
          </cell>
          <cell r="P212">
            <v>67</v>
          </cell>
          <cell r="Q212">
            <v>15</v>
          </cell>
          <cell r="R212">
            <v>2</v>
          </cell>
          <cell r="S212">
            <v>0</v>
          </cell>
          <cell r="T212">
            <v>31</v>
          </cell>
          <cell r="U212">
            <v>30</v>
          </cell>
          <cell r="V212">
            <v>16</v>
          </cell>
          <cell r="W212">
            <v>3</v>
          </cell>
          <cell r="X212">
            <v>32</v>
          </cell>
          <cell r="Y212">
            <v>62</v>
          </cell>
          <cell r="Z212">
            <v>0</v>
          </cell>
          <cell r="AA212">
            <v>20</v>
          </cell>
          <cell r="AB212">
            <v>4</v>
          </cell>
          <cell r="AC212">
            <v>37</v>
          </cell>
          <cell r="AD212">
            <v>45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702</v>
          </cell>
          <cell r="AJ212">
            <v>180</v>
          </cell>
          <cell r="AK212">
            <v>20</v>
          </cell>
        </row>
        <row r="213">
          <cell r="C213">
            <v>350601004</v>
          </cell>
          <cell r="D213">
            <v>1</v>
          </cell>
          <cell r="E213">
            <v>5</v>
          </cell>
          <cell r="F213">
            <v>25</v>
          </cell>
          <cell r="G213">
            <v>0</v>
          </cell>
          <cell r="H213">
            <v>0</v>
          </cell>
          <cell r="I213">
            <v>10</v>
          </cell>
          <cell r="J213">
            <v>6</v>
          </cell>
          <cell r="K213">
            <v>165</v>
          </cell>
          <cell r="L213">
            <v>2</v>
          </cell>
          <cell r="M213">
            <v>1</v>
          </cell>
          <cell r="N213">
            <v>1</v>
          </cell>
          <cell r="O213">
            <v>10</v>
          </cell>
          <cell r="P213">
            <v>17</v>
          </cell>
          <cell r="Q213">
            <v>8</v>
          </cell>
          <cell r="R213">
            <v>5</v>
          </cell>
          <cell r="S213">
            <v>0</v>
          </cell>
          <cell r="T213">
            <v>25</v>
          </cell>
          <cell r="U213">
            <v>43</v>
          </cell>
          <cell r="V213">
            <v>10</v>
          </cell>
          <cell r="W213">
            <v>3</v>
          </cell>
          <cell r="X213">
            <v>50</v>
          </cell>
          <cell r="Y213">
            <v>6</v>
          </cell>
          <cell r="Z213">
            <v>0</v>
          </cell>
          <cell r="AA213">
            <v>34</v>
          </cell>
          <cell r="AB213">
            <v>20</v>
          </cell>
          <cell r="AC213">
            <v>4</v>
          </cell>
          <cell r="AD213">
            <v>16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467</v>
          </cell>
          <cell r="AJ213">
            <v>165</v>
          </cell>
          <cell r="AK213">
            <v>23</v>
          </cell>
        </row>
        <row r="214">
          <cell r="C214">
            <v>350601005</v>
          </cell>
          <cell r="D214">
            <v>12</v>
          </cell>
          <cell r="E214">
            <v>2</v>
          </cell>
          <cell r="F214">
            <v>34</v>
          </cell>
          <cell r="G214">
            <v>4</v>
          </cell>
          <cell r="H214">
            <v>0</v>
          </cell>
          <cell r="I214">
            <v>3</v>
          </cell>
          <cell r="J214">
            <v>4</v>
          </cell>
          <cell r="K214">
            <v>71</v>
          </cell>
          <cell r="L214">
            <v>6</v>
          </cell>
          <cell r="M214">
            <v>0</v>
          </cell>
          <cell r="N214">
            <v>7</v>
          </cell>
          <cell r="O214">
            <v>16</v>
          </cell>
          <cell r="P214">
            <v>85</v>
          </cell>
          <cell r="Q214">
            <v>40</v>
          </cell>
          <cell r="R214">
            <v>5</v>
          </cell>
          <cell r="S214">
            <v>2</v>
          </cell>
          <cell r="T214">
            <v>14</v>
          </cell>
          <cell r="U214">
            <v>36</v>
          </cell>
          <cell r="V214">
            <v>25</v>
          </cell>
          <cell r="W214">
            <v>2</v>
          </cell>
          <cell r="X214">
            <v>22</v>
          </cell>
          <cell r="Y214">
            <v>0</v>
          </cell>
          <cell r="Z214">
            <v>25</v>
          </cell>
          <cell r="AA214">
            <v>0</v>
          </cell>
          <cell r="AB214">
            <v>17</v>
          </cell>
          <cell r="AC214">
            <v>26</v>
          </cell>
          <cell r="AD214">
            <v>20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478</v>
          </cell>
          <cell r="AJ214">
            <v>85</v>
          </cell>
          <cell r="AK214">
            <v>23</v>
          </cell>
        </row>
        <row r="215">
          <cell r="C215">
            <v>350601006</v>
          </cell>
          <cell r="D215">
            <v>13</v>
          </cell>
          <cell r="E215">
            <v>0</v>
          </cell>
          <cell r="F215">
            <v>41</v>
          </cell>
          <cell r="G215">
            <v>6</v>
          </cell>
          <cell r="H215">
            <v>0</v>
          </cell>
          <cell r="I215">
            <v>7</v>
          </cell>
          <cell r="J215">
            <v>18</v>
          </cell>
          <cell r="K215">
            <v>141</v>
          </cell>
          <cell r="L215">
            <v>9</v>
          </cell>
          <cell r="M215">
            <v>0</v>
          </cell>
          <cell r="N215">
            <v>24</v>
          </cell>
          <cell r="O215">
            <v>132</v>
          </cell>
          <cell r="P215">
            <v>105</v>
          </cell>
          <cell r="Q215">
            <v>31</v>
          </cell>
          <cell r="R215">
            <v>11</v>
          </cell>
          <cell r="S215">
            <v>3</v>
          </cell>
          <cell r="T215">
            <v>2</v>
          </cell>
          <cell r="U215">
            <v>48</v>
          </cell>
          <cell r="V215">
            <v>19</v>
          </cell>
          <cell r="W215">
            <v>23</v>
          </cell>
          <cell r="X215">
            <v>20</v>
          </cell>
          <cell r="Y215">
            <v>18</v>
          </cell>
          <cell r="Z215">
            <v>2</v>
          </cell>
          <cell r="AA215">
            <v>45</v>
          </cell>
          <cell r="AB215">
            <v>12</v>
          </cell>
          <cell r="AC215">
            <v>32</v>
          </cell>
          <cell r="AD215">
            <v>40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802</v>
          </cell>
          <cell r="AJ215">
            <v>141</v>
          </cell>
          <cell r="AK215">
            <v>24</v>
          </cell>
        </row>
        <row r="216">
          <cell r="C216">
            <v>350601007</v>
          </cell>
          <cell r="D216">
            <v>5</v>
          </cell>
          <cell r="E216">
            <v>10</v>
          </cell>
          <cell r="F216">
            <v>10</v>
          </cell>
          <cell r="G216">
            <v>0</v>
          </cell>
          <cell r="H216">
            <v>0</v>
          </cell>
          <cell r="I216">
            <v>5</v>
          </cell>
          <cell r="J216">
            <v>5</v>
          </cell>
          <cell r="K216">
            <v>75</v>
          </cell>
          <cell r="L216">
            <v>0</v>
          </cell>
          <cell r="M216">
            <v>5</v>
          </cell>
          <cell r="N216">
            <v>10</v>
          </cell>
          <cell r="O216">
            <v>10</v>
          </cell>
          <cell r="P216">
            <v>70</v>
          </cell>
          <cell r="Q216">
            <v>20</v>
          </cell>
          <cell r="R216">
            <v>10</v>
          </cell>
          <cell r="S216">
            <v>0</v>
          </cell>
          <cell r="T216">
            <v>20</v>
          </cell>
          <cell r="U216">
            <v>35</v>
          </cell>
          <cell r="V216">
            <v>5</v>
          </cell>
          <cell r="W216">
            <v>0</v>
          </cell>
          <cell r="X216">
            <v>50</v>
          </cell>
          <cell r="Y216">
            <v>30</v>
          </cell>
          <cell r="Z216">
            <v>5</v>
          </cell>
          <cell r="AA216">
            <v>30</v>
          </cell>
          <cell r="AB216">
            <v>15</v>
          </cell>
          <cell r="AC216">
            <v>25</v>
          </cell>
          <cell r="AD216">
            <v>27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477</v>
          </cell>
          <cell r="AJ216">
            <v>75</v>
          </cell>
          <cell r="AK216">
            <v>22</v>
          </cell>
        </row>
        <row r="217">
          <cell r="C217">
            <v>350601008</v>
          </cell>
          <cell r="D217">
            <v>15</v>
          </cell>
          <cell r="E217">
            <v>8</v>
          </cell>
          <cell r="F217">
            <v>178</v>
          </cell>
          <cell r="G217">
            <v>21</v>
          </cell>
          <cell r="H217">
            <v>0</v>
          </cell>
          <cell r="I217">
            <v>14</v>
          </cell>
          <cell r="J217">
            <v>33</v>
          </cell>
          <cell r="K217">
            <v>176</v>
          </cell>
          <cell r="L217">
            <v>2</v>
          </cell>
          <cell r="M217">
            <v>5</v>
          </cell>
          <cell r="N217">
            <v>2</v>
          </cell>
          <cell r="O217">
            <v>2</v>
          </cell>
          <cell r="P217">
            <v>79</v>
          </cell>
          <cell r="Q217">
            <v>64</v>
          </cell>
          <cell r="R217">
            <v>9</v>
          </cell>
          <cell r="S217">
            <v>2</v>
          </cell>
          <cell r="T217">
            <v>49</v>
          </cell>
          <cell r="U217">
            <v>30</v>
          </cell>
          <cell r="V217">
            <v>11</v>
          </cell>
          <cell r="W217">
            <v>10</v>
          </cell>
          <cell r="X217">
            <v>36</v>
          </cell>
          <cell r="Y217">
            <v>40</v>
          </cell>
          <cell r="Z217">
            <v>1</v>
          </cell>
          <cell r="AA217">
            <v>13</v>
          </cell>
          <cell r="AB217">
            <v>10</v>
          </cell>
          <cell r="AC217">
            <v>42</v>
          </cell>
          <cell r="AD217">
            <v>36</v>
          </cell>
          <cell r="AE217">
            <v>0</v>
          </cell>
          <cell r="AF217">
            <v>0</v>
          </cell>
          <cell r="AG217">
            <v>1</v>
          </cell>
          <cell r="AH217">
            <v>2</v>
          </cell>
          <cell r="AI217">
            <v>891</v>
          </cell>
          <cell r="AJ217">
            <v>178</v>
          </cell>
          <cell r="AK217">
            <v>28</v>
          </cell>
        </row>
        <row r="218">
          <cell r="C218">
            <v>350601009</v>
          </cell>
          <cell r="D218">
            <v>13</v>
          </cell>
          <cell r="E218">
            <v>1</v>
          </cell>
          <cell r="F218">
            <v>96</v>
          </cell>
          <cell r="G218">
            <v>17</v>
          </cell>
          <cell r="H218">
            <v>0</v>
          </cell>
          <cell r="I218">
            <v>5</v>
          </cell>
          <cell r="J218">
            <v>41</v>
          </cell>
          <cell r="K218">
            <v>181</v>
          </cell>
          <cell r="L218">
            <v>8</v>
          </cell>
          <cell r="M218">
            <v>0</v>
          </cell>
          <cell r="N218">
            <v>0</v>
          </cell>
          <cell r="O218">
            <v>45</v>
          </cell>
          <cell r="P218">
            <v>124</v>
          </cell>
          <cell r="Q218">
            <v>73</v>
          </cell>
          <cell r="R218">
            <v>14</v>
          </cell>
          <cell r="S218">
            <v>1</v>
          </cell>
          <cell r="T218">
            <v>26</v>
          </cell>
          <cell r="U218">
            <v>86</v>
          </cell>
          <cell r="V218">
            <v>16</v>
          </cell>
          <cell r="W218">
            <v>12</v>
          </cell>
          <cell r="X218">
            <v>27</v>
          </cell>
          <cell r="Y218">
            <v>42</v>
          </cell>
          <cell r="Z218">
            <v>0</v>
          </cell>
          <cell r="AA218">
            <v>5</v>
          </cell>
          <cell r="AB218">
            <v>3</v>
          </cell>
          <cell r="AC218">
            <v>78</v>
          </cell>
          <cell r="AD218">
            <v>42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956</v>
          </cell>
          <cell r="AJ218">
            <v>181</v>
          </cell>
          <cell r="AK218">
            <v>23</v>
          </cell>
        </row>
        <row r="219">
          <cell r="C219">
            <v>350601010</v>
          </cell>
          <cell r="D219">
            <v>17</v>
          </cell>
          <cell r="E219">
            <v>7</v>
          </cell>
          <cell r="F219">
            <v>76</v>
          </cell>
          <cell r="G219">
            <v>104</v>
          </cell>
          <cell r="H219">
            <v>0</v>
          </cell>
          <cell r="I219">
            <v>7</v>
          </cell>
          <cell r="J219">
            <v>41</v>
          </cell>
          <cell r="K219">
            <v>131</v>
          </cell>
          <cell r="L219">
            <v>6</v>
          </cell>
          <cell r="M219">
            <v>2</v>
          </cell>
          <cell r="N219">
            <v>0</v>
          </cell>
          <cell r="O219">
            <v>15</v>
          </cell>
          <cell r="P219">
            <v>76</v>
          </cell>
          <cell r="Q219">
            <v>102</v>
          </cell>
          <cell r="R219">
            <v>11</v>
          </cell>
          <cell r="S219">
            <v>1</v>
          </cell>
          <cell r="T219">
            <v>67</v>
          </cell>
          <cell r="U219">
            <v>55</v>
          </cell>
          <cell r="V219">
            <v>17</v>
          </cell>
          <cell r="W219">
            <v>16</v>
          </cell>
          <cell r="X219">
            <v>31</v>
          </cell>
          <cell r="Y219">
            <v>53</v>
          </cell>
          <cell r="Z219">
            <v>0</v>
          </cell>
          <cell r="AA219">
            <v>2</v>
          </cell>
          <cell r="AB219">
            <v>9</v>
          </cell>
          <cell r="AC219">
            <v>79</v>
          </cell>
          <cell r="AD219">
            <v>77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1002</v>
          </cell>
          <cell r="AJ219">
            <v>131</v>
          </cell>
          <cell r="AK219">
            <v>24</v>
          </cell>
        </row>
        <row r="220">
          <cell r="C220">
            <v>350601011</v>
          </cell>
          <cell r="D220">
            <v>17</v>
          </cell>
          <cell r="E220">
            <v>32</v>
          </cell>
          <cell r="F220">
            <v>9</v>
          </cell>
          <cell r="G220">
            <v>1</v>
          </cell>
          <cell r="H220">
            <v>0</v>
          </cell>
          <cell r="I220">
            <v>0</v>
          </cell>
          <cell r="J220">
            <v>9</v>
          </cell>
          <cell r="K220">
            <v>53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1</v>
          </cell>
          <cell r="Q220">
            <v>10</v>
          </cell>
          <cell r="R220">
            <v>2</v>
          </cell>
          <cell r="S220">
            <v>0</v>
          </cell>
          <cell r="T220">
            <v>21</v>
          </cell>
          <cell r="U220">
            <v>33</v>
          </cell>
          <cell r="V220">
            <v>17</v>
          </cell>
          <cell r="W220">
            <v>73</v>
          </cell>
          <cell r="X220">
            <v>19</v>
          </cell>
          <cell r="Y220">
            <v>43</v>
          </cell>
          <cell r="Z220">
            <v>14</v>
          </cell>
          <cell r="AA220">
            <v>5</v>
          </cell>
          <cell r="AB220">
            <v>0</v>
          </cell>
          <cell r="AC220">
            <v>64</v>
          </cell>
          <cell r="AD220">
            <v>26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449</v>
          </cell>
          <cell r="AJ220">
            <v>73</v>
          </cell>
          <cell r="AK220">
            <v>19</v>
          </cell>
        </row>
        <row r="221">
          <cell r="C221">
            <v>350601012</v>
          </cell>
          <cell r="D221">
            <v>12</v>
          </cell>
          <cell r="E221">
            <v>51</v>
          </cell>
          <cell r="F221">
            <v>42</v>
          </cell>
          <cell r="G221">
            <v>0</v>
          </cell>
          <cell r="H221">
            <v>0</v>
          </cell>
          <cell r="I221">
            <v>0</v>
          </cell>
          <cell r="J221">
            <v>10</v>
          </cell>
          <cell r="K221">
            <v>71</v>
          </cell>
          <cell r="L221">
            <v>2</v>
          </cell>
          <cell r="M221">
            <v>0</v>
          </cell>
          <cell r="N221">
            <v>0</v>
          </cell>
          <cell r="O221">
            <v>0</v>
          </cell>
          <cell r="P221">
            <v>5</v>
          </cell>
          <cell r="Q221">
            <v>0</v>
          </cell>
          <cell r="R221">
            <v>0</v>
          </cell>
          <cell r="S221">
            <v>0</v>
          </cell>
          <cell r="T221">
            <v>20</v>
          </cell>
          <cell r="U221">
            <v>40</v>
          </cell>
          <cell r="V221">
            <v>4</v>
          </cell>
          <cell r="W221">
            <v>10</v>
          </cell>
          <cell r="X221">
            <v>19</v>
          </cell>
          <cell r="Y221">
            <v>75</v>
          </cell>
          <cell r="Z221">
            <v>20</v>
          </cell>
          <cell r="AA221">
            <v>3</v>
          </cell>
          <cell r="AB221">
            <v>1</v>
          </cell>
          <cell r="AC221">
            <v>67</v>
          </cell>
          <cell r="AD221">
            <v>37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489</v>
          </cell>
          <cell r="AJ221">
            <v>75</v>
          </cell>
          <cell r="AK221">
            <v>18</v>
          </cell>
        </row>
        <row r="222">
          <cell r="C222">
            <v>350601013</v>
          </cell>
          <cell r="D222">
            <v>22</v>
          </cell>
          <cell r="E222">
            <v>44</v>
          </cell>
          <cell r="F222">
            <v>44</v>
          </cell>
          <cell r="G222">
            <v>48</v>
          </cell>
          <cell r="H222">
            <v>0</v>
          </cell>
          <cell r="I222">
            <v>3</v>
          </cell>
          <cell r="J222">
            <v>3</v>
          </cell>
          <cell r="K222">
            <v>39</v>
          </cell>
          <cell r="L222">
            <v>0</v>
          </cell>
          <cell r="M222">
            <v>3</v>
          </cell>
          <cell r="N222">
            <v>1</v>
          </cell>
          <cell r="O222">
            <v>0</v>
          </cell>
          <cell r="P222">
            <v>2</v>
          </cell>
          <cell r="Q222">
            <v>8</v>
          </cell>
          <cell r="R222">
            <v>4</v>
          </cell>
          <cell r="S222">
            <v>0</v>
          </cell>
          <cell r="T222">
            <v>28</v>
          </cell>
          <cell r="U222">
            <v>45</v>
          </cell>
          <cell r="V222">
            <v>4</v>
          </cell>
          <cell r="W222">
            <v>51</v>
          </cell>
          <cell r="X222">
            <v>14</v>
          </cell>
          <cell r="Y222">
            <v>64</v>
          </cell>
          <cell r="Z222">
            <v>20</v>
          </cell>
          <cell r="AA222">
            <v>4</v>
          </cell>
          <cell r="AB222">
            <v>9</v>
          </cell>
          <cell r="AC222">
            <v>69</v>
          </cell>
          <cell r="AD222">
            <v>59</v>
          </cell>
          <cell r="AE222">
            <v>0</v>
          </cell>
          <cell r="AF222">
            <v>0</v>
          </cell>
          <cell r="AG222">
            <v>2</v>
          </cell>
          <cell r="AH222">
            <v>0</v>
          </cell>
          <cell r="AI222">
            <v>590</v>
          </cell>
          <cell r="AJ222">
            <v>69</v>
          </cell>
          <cell r="AK222">
            <v>24</v>
          </cell>
        </row>
        <row r="223">
          <cell r="C223">
            <v>350601014</v>
          </cell>
          <cell r="D223">
            <v>27</v>
          </cell>
          <cell r="E223">
            <v>24</v>
          </cell>
          <cell r="F223">
            <v>2</v>
          </cell>
          <cell r="G223">
            <v>10</v>
          </cell>
          <cell r="H223">
            <v>0</v>
          </cell>
          <cell r="I223">
            <v>0</v>
          </cell>
          <cell r="J223">
            <v>3</v>
          </cell>
          <cell r="K223">
            <v>27</v>
          </cell>
          <cell r="L223">
            <v>3</v>
          </cell>
          <cell r="M223">
            <v>0</v>
          </cell>
          <cell r="N223">
            <v>9</v>
          </cell>
          <cell r="O223">
            <v>0</v>
          </cell>
          <cell r="P223">
            <v>1</v>
          </cell>
          <cell r="Q223">
            <v>13</v>
          </cell>
          <cell r="R223">
            <v>7</v>
          </cell>
          <cell r="S223">
            <v>1</v>
          </cell>
          <cell r="T223">
            <v>50</v>
          </cell>
          <cell r="U223">
            <v>42</v>
          </cell>
          <cell r="V223">
            <v>11</v>
          </cell>
          <cell r="W223">
            <v>7</v>
          </cell>
          <cell r="X223">
            <v>21</v>
          </cell>
          <cell r="Y223">
            <v>35</v>
          </cell>
          <cell r="Z223">
            <v>1</v>
          </cell>
          <cell r="AA223">
            <v>0</v>
          </cell>
          <cell r="AB223">
            <v>6</v>
          </cell>
          <cell r="AC223">
            <v>38</v>
          </cell>
          <cell r="AD223">
            <v>51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389</v>
          </cell>
          <cell r="AJ223">
            <v>51</v>
          </cell>
          <cell r="AK223">
            <v>22</v>
          </cell>
        </row>
        <row r="224">
          <cell r="C224">
            <v>350601015</v>
          </cell>
          <cell r="D224">
            <v>4</v>
          </cell>
          <cell r="E224">
            <v>3</v>
          </cell>
          <cell r="F224">
            <v>57</v>
          </cell>
          <cell r="G224">
            <v>7</v>
          </cell>
          <cell r="H224">
            <v>0</v>
          </cell>
          <cell r="I224">
            <v>0</v>
          </cell>
          <cell r="J224">
            <v>10</v>
          </cell>
          <cell r="K224">
            <v>83</v>
          </cell>
          <cell r="L224">
            <v>11</v>
          </cell>
          <cell r="M224">
            <v>0</v>
          </cell>
          <cell r="N224">
            <v>2</v>
          </cell>
          <cell r="O224">
            <v>5</v>
          </cell>
          <cell r="P224">
            <v>48</v>
          </cell>
          <cell r="Q224">
            <v>66</v>
          </cell>
          <cell r="R224">
            <v>4</v>
          </cell>
          <cell r="S224">
            <v>0</v>
          </cell>
          <cell r="T224">
            <v>28</v>
          </cell>
          <cell r="U224">
            <v>68</v>
          </cell>
          <cell r="V224">
            <v>10</v>
          </cell>
          <cell r="W224">
            <v>4</v>
          </cell>
          <cell r="X224">
            <v>12</v>
          </cell>
          <cell r="Y224">
            <v>26</v>
          </cell>
          <cell r="Z224">
            <v>0</v>
          </cell>
          <cell r="AA224">
            <v>6</v>
          </cell>
          <cell r="AB224">
            <v>4</v>
          </cell>
          <cell r="AC224">
            <v>20</v>
          </cell>
          <cell r="AD224">
            <v>24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502</v>
          </cell>
          <cell r="AJ224">
            <v>83</v>
          </cell>
          <cell r="AK224">
            <v>22</v>
          </cell>
        </row>
        <row r="225">
          <cell r="C225">
            <v>350125006</v>
          </cell>
          <cell r="D225">
            <v>0</v>
          </cell>
          <cell r="E225">
            <v>0</v>
          </cell>
          <cell r="F225">
            <v>0</v>
          </cell>
          <cell r="G225">
            <v>80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13</v>
          </cell>
          <cell r="N225">
            <v>0</v>
          </cell>
          <cell r="O225">
            <v>52</v>
          </cell>
          <cell r="P225">
            <v>0</v>
          </cell>
          <cell r="Q225">
            <v>19</v>
          </cell>
          <cell r="R225">
            <v>66</v>
          </cell>
          <cell r="S225">
            <v>4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10</v>
          </cell>
          <cell r="AB225">
            <v>52</v>
          </cell>
          <cell r="AC225">
            <v>62</v>
          </cell>
          <cell r="AD225">
            <v>2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360</v>
          </cell>
          <cell r="AJ225">
            <v>80</v>
          </cell>
          <cell r="AK225">
            <v>10</v>
          </cell>
        </row>
        <row r="226">
          <cell r="C226">
            <v>350125007</v>
          </cell>
          <cell r="D226">
            <v>5</v>
          </cell>
          <cell r="E226">
            <v>0</v>
          </cell>
          <cell r="F226">
            <v>85</v>
          </cell>
          <cell r="G226">
            <v>80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</v>
          </cell>
          <cell r="O226">
            <v>0</v>
          </cell>
          <cell r="P226">
            <v>0</v>
          </cell>
          <cell r="Q226">
            <v>5</v>
          </cell>
          <cell r="R226">
            <v>10</v>
          </cell>
          <cell r="S226">
            <v>0</v>
          </cell>
          <cell r="T226">
            <v>0</v>
          </cell>
          <cell r="U226">
            <v>55</v>
          </cell>
          <cell r="V226">
            <v>15</v>
          </cell>
          <cell r="W226">
            <v>0</v>
          </cell>
          <cell r="X226">
            <v>0</v>
          </cell>
          <cell r="Y226">
            <v>10</v>
          </cell>
          <cell r="Z226">
            <v>0</v>
          </cell>
          <cell r="AA226">
            <v>35</v>
          </cell>
          <cell r="AB226">
            <v>0</v>
          </cell>
          <cell r="AC226">
            <v>5</v>
          </cell>
          <cell r="AD226">
            <v>47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355</v>
          </cell>
          <cell r="AJ226">
            <v>85</v>
          </cell>
          <cell r="AK226">
            <v>12</v>
          </cell>
        </row>
        <row r="227">
          <cell r="C227">
            <v>350125008</v>
          </cell>
          <cell r="D227">
            <v>0</v>
          </cell>
          <cell r="E227">
            <v>0</v>
          </cell>
          <cell r="F227">
            <v>0</v>
          </cell>
          <cell r="G227">
            <v>11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7</v>
          </cell>
          <cell r="N227">
            <v>0</v>
          </cell>
          <cell r="O227">
            <v>5</v>
          </cell>
          <cell r="P227">
            <v>0</v>
          </cell>
          <cell r="Q227">
            <v>15</v>
          </cell>
          <cell r="R227">
            <v>24</v>
          </cell>
          <cell r="S227">
            <v>1</v>
          </cell>
          <cell r="T227">
            <v>0</v>
          </cell>
          <cell r="U227">
            <v>24</v>
          </cell>
          <cell r="V227">
            <v>1</v>
          </cell>
          <cell r="W227">
            <v>0</v>
          </cell>
          <cell r="X227">
            <v>2</v>
          </cell>
          <cell r="Y227">
            <v>0</v>
          </cell>
          <cell r="Z227">
            <v>0</v>
          </cell>
          <cell r="AA227">
            <v>5</v>
          </cell>
          <cell r="AB227">
            <v>18</v>
          </cell>
          <cell r="AC227">
            <v>61</v>
          </cell>
          <cell r="AD227">
            <v>17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191</v>
          </cell>
          <cell r="AJ227">
            <v>61</v>
          </cell>
          <cell r="AK227">
            <v>13</v>
          </cell>
        </row>
        <row r="228">
          <cell r="C228">
            <v>350125009</v>
          </cell>
          <cell r="D228">
            <v>6</v>
          </cell>
          <cell r="E228">
            <v>15</v>
          </cell>
          <cell r="F228">
            <v>0</v>
          </cell>
          <cell r="G228">
            <v>0</v>
          </cell>
          <cell r="H228">
            <v>9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23</v>
          </cell>
          <cell r="N228">
            <v>0</v>
          </cell>
          <cell r="O228">
            <v>18</v>
          </cell>
          <cell r="P228">
            <v>0</v>
          </cell>
          <cell r="Q228">
            <v>3</v>
          </cell>
          <cell r="R228">
            <v>25</v>
          </cell>
          <cell r="S228">
            <v>0</v>
          </cell>
          <cell r="T228">
            <v>0</v>
          </cell>
          <cell r="U228">
            <v>42</v>
          </cell>
          <cell r="V228">
            <v>22</v>
          </cell>
          <cell r="W228">
            <v>0</v>
          </cell>
          <cell r="X228">
            <v>0</v>
          </cell>
          <cell r="Y228">
            <v>27</v>
          </cell>
          <cell r="Z228">
            <v>0</v>
          </cell>
          <cell r="AA228">
            <v>11</v>
          </cell>
          <cell r="AB228">
            <v>47</v>
          </cell>
          <cell r="AC228">
            <v>9</v>
          </cell>
          <cell r="AD228">
            <v>33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290</v>
          </cell>
          <cell r="AJ228">
            <v>47</v>
          </cell>
          <cell r="AK228">
            <v>14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51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3</v>
          </cell>
          <cell r="N229">
            <v>0</v>
          </cell>
          <cell r="O229">
            <v>5</v>
          </cell>
          <cell r="P229">
            <v>0</v>
          </cell>
          <cell r="Q229">
            <v>1</v>
          </cell>
          <cell r="R229">
            <v>47</v>
          </cell>
          <cell r="S229">
            <v>0</v>
          </cell>
          <cell r="T229">
            <v>0</v>
          </cell>
          <cell r="U229">
            <v>1</v>
          </cell>
          <cell r="V229">
            <v>1</v>
          </cell>
          <cell r="W229">
            <v>0</v>
          </cell>
          <cell r="X229">
            <v>3</v>
          </cell>
          <cell r="Y229">
            <v>4</v>
          </cell>
          <cell r="Z229">
            <v>0</v>
          </cell>
          <cell r="AA229">
            <v>0</v>
          </cell>
          <cell r="AB229">
            <v>13</v>
          </cell>
          <cell r="AC229">
            <v>48</v>
          </cell>
          <cell r="AD229">
            <v>83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260</v>
          </cell>
          <cell r="AJ229">
            <v>83</v>
          </cell>
          <cell r="AK229">
            <v>12</v>
          </cell>
        </row>
        <row r="230">
          <cell r="C230">
            <v>350125011</v>
          </cell>
          <cell r="D230">
            <v>4</v>
          </cell>
          <cell r="E230">
            <v>0</v>
          </cell>
          <cell r="F230">
            <v>1</v>
          </cell>
          <cell r="G230">
            <v>8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2</v>
          </cell>
          <cell r="N230">
            <v>0</v>
          </cell>
          <cell r="O230">
            <v>6</v>
          </cell>
          <cell r="P230">
            <v>0</v>
          </cell>
          <cell r="Q230">
            <v>0</v>
          </cell>
          <cell r="R230">
            <v>28</v>
          </cell>
          <cell r="S230">
            <v>1</v>
          </cell>
          <cell r="T230">
            <v>0</v>
          </cell>
          <cell r="U230">
            <v>2</v>
          </cell>
          <cell r="V230">
            <v>42</v>
          </cell>
          <cell r="W230">
            <v>0</v>
          </cell>
          <cell r="X230">
            <v>7</v>
          </cell>
          <cell r="Y230">
            <v>7</v>
          </cell>
          <cell r="Z230">
            <v>0</v>
          </cell>
          <cell r="AA230">
            <v>10</v>
          </cell>
          <cell r="AB230">
            <v>4</v>
          </cell>
          <cell r="AC230">
            <v>25</v>
          </cell>
          <cell r="AD230">
            <v>35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182</v>
          </cell>
          <cell r="AJ230">
            <v>42</v>
          </cell>
          <cell r="AK230">
            <v>15</v>
          </cell>
        </row>
        <row r="231">
          <cell r="C231">
            <v>350125012</v>
          </cell>
          <cell r="D231">
            <v>0</v>
          </cell>
          <cell r="E231">
            <v>0</v>
          </cell>
          <cell r="F231">
            <v>0</v>
          </cell>
          <cell r="G231">
            <v>5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2</v>
          </cell>
          <cell r="N231">
            <v>0</v>
          </cell>
          <cell r="O231">
            <v>19</v>
          </cell>
          <cell r="P231">
            <v>0</v>
          </cell>
          <cell r="Q231">
            <v>22</v>
          </cell>
          <cell r="R231">
            <v>48</v>
          </cell>
          <cell r="S231">
            <v>0</v>
          </cell>
          <cell r="T231">
            <v>0</v>
          </cell>
          <cell r="U231">
            <v>22</v>
          </cell>
          <cell r="V231">
            <v>2</v>
          </cell>
          <cell r="W231">
            <v>0</v>
          </cell>
          <cell r="X231">
            <v>2</v>
          </cell>
          <cell r="Y231">
            <v>19</v>
          </cell>
          <cell r="Z231">
            <v>0</v>
          </cell>
          <cell r="AA231">
            <v>32</v>
          </cell>
          <cell r="AB231">
            <v>36</v>
          </cell>
          <cell r="AC231">
            <v>58</v>
          </cell>
          <cell r="AD231">
            <v>15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282</v>
          </cell>
          <cell r="AJ231">
            <v>58</v>
          </cell>
          <cell r="AK231">
            <v>13</v>
          </cell>
        </row>
        <row r="232">
          <cell r="C232">
            <v>350125013</v>
          </cell>
          <cell r="D232">
            <v>0</v>
          </cell>
          <cell r="E232">
            <v>0</v>
          </cell>
          <cell r="F232">
            <v>0</v>
          </cell>
          <cell r="G232">
            <v>2</v>
          </cell>
          <cell r="H232">
            <v>20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2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30</v>
          </cell>
          <cell r="S232">
            <v>0</v>
          </cell>
          <cell r="T232">
            <v>0</v>
          </cell>
          <cell r="U232">
            <v>0</v>
          </cell>
          <cell r="V232">
            <v>15</v>
          </cell>
          <cell r="W232">
            <v>0</v>
          </cell>
          <cell r="X232">
            <v>0</v>
          </cell>
          <cell r="Y232">
            <v>15</v>
          </cell>
          <cell r="Z232">
            <v>0</v>
          </cell>
          <cell r="AA232">
            <v>5</v>
          </cell>
          <cell r="AB232">
            <v>30</v>
          </cell>
          <cell r="AC232">
            <v>15</v>
          </cell>
          <cell r="AD232">
            <v>40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174</v>
          </cell>
          <cell r="AJ232">
            <v>40</v>
          </cell>
          <cell r="AK232">
            <v>10</v>
          </cell>
        </row>
        <row r="233">
          <cell r="C233">
            <v>350125014</v>
          </cell>
          <cell r="D233">
            <v>0</v>
          </cell>
          <cell r="E233">
            <v>16</v>
          </cell>
          <cell r="F233">
            <v>23</v>
          </cell>
          <cell r="G233">
            <v>9</v>
          </cell>
          <cell r="H233">
            <v>0</v>
          </cell>
          <cell r="I233">
            <v>4</v>
          </cell>
          <cell r="J233">
            <v>0</v>
          </cell>
          <cell r="K233">
            <v>32</v>
          </cell>
          <cell r="L233">
            <v>0</v>
          </cell>
          <cell r="M233">
            <v>3</v>
          </cell>
          <cell r="N233">
            <v>0</v>
          </cell>
          <cell r="O233">
            <v>6</v>
          </cell>
          <cell r="P233">
            <v>0</v>
          </cell>
          <cell r="Q233">
            <v>9</v>
          </cell>
          <cell r="R233">
            <v>3</v>
          </cell>
          <cell r="S233">
            <v>6</v>
          </cell>
          <cell r="T233">
            <v>2</v>
          </cell>
          <cell r="U233">
            <v>3</v>
          </cell>
          <cell r="V233">
            <v>12</v>
          </cell>
          <cell r="W233">
            <v>21</v>
          </cell>
          <cell r="X233">
            <v>4</v>
          </cell>
          <cell r="Y233">
            <v>8</v>
          </cell>
          <cell r="Z233">
            <v>0</v>
          </cell>
          <cell r="AA233">
            <v>16</v>
          </cell>
          <cell r="AB233">
            <v>2</v>
          </cell>
          <cell r="AC233">
            <v>0</v>
          </cell>
          <cell r="AD233">
            <v>18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197</v>
          </cell>
          <cell r="AJ233">
            <v>32</v>
          </cell>
          <cell r="AK233">
            <v>19</v>
          </cell>
        </row>
        <row r="234">
          <cell r="C234">
            <v>350125015</v>
          </cell>
          <cell r="D234">
            <v>7</v>
          </cell>
          <cell r="E234">
            <v>0</v>
          </cell>
          <cell r="F234">
            <v>35</v>
          </cell>
          <cell r="G234">
            <v>38</v>
          </cell>
          <cell r="H234">
            <v>0</v>
          </cell>
          <cell r="I234">
            <v>0</v>
          </cell>
          <cell r="J234">
            <v>24</v>
          </cell>
          <cell r="K234">
            <v>8</v>
          </cell>
          <cell r="L234">
            <v>4</v>
          </cell>
          <cell r="M234">
            <v>5</v>
          </cell>
          <cell r="N234">
            <v>0</v>
          </cell>
          <cell r="O234">
            <v>0</v>
          </cell>
          <cell r="P234">
            <v>0</v>
          </cell>
          <cell r="Q234">
            <v>10</v>
          </cell>
          <cell r="R234">
            <v>7</v>
          </cell>
          <cell r="S234">
            <v>7</v>
          </cell>
          <cell r="T234">
            <v>0</v>
          </cell>
          <cell r="U234">
            <v>3</v>
          </cell>
          <cell r="V234">
            <v>8</v>
          </cell>
          <cell r="W234">
            <v>13</v>
          </cell>
          <cell r="X234">
            <v>0</v>
          </cell>
          <cell r="Y234">
            <v>2</v>
          </cell>
          <cell r="Z234">
            <v>0</v>
          </cell>
          <cell r="AA234">
            <v>15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186</v>
          </cell>
          <cell r="AJ234">
            <v>38</v>
          </cell>
          <cell r="AK234">
            <v>15</v>
          </cell>
        </row>
        <row r="235">
          <cell r="C235">
            <v>350122032</v>
          </cell>
          <cell r="D235">
            <v>0</v>
          </cell>
          <cell r="E235">
            <v>29</v>
          </cell>
          <cell r="F235">
            <v>47</v>
          </cell>
          <cell r="G235">
            <v>0</v>
          </cell>
          <cell r="H235">
            <v>0</v>
          </cell>
          <cell r="I235">
            <v>0</v>
          </cell>
          <cell r="J235">
            <v>20</v>
          </cell>
          <cell r="K235">
            <v>5</v>
          </cell>
          <cell r="L235">
            <v>2</v>
          </cell>
          <cell r="M235">
            <v>0</v>
          </cell>
          <cell r="N235">
            <v>4</v>
          </cell>
          <cell r="O235">
            <v>0</v>
          </cell>
          <cell r="P235">
            <v>1</v>
          </cell>
          <cell r="Q235">
            <v>37</v>
          </cell>
          <cell r="R235">
            <v>77</v>
          </cell>
          <cell r="S235">
            <v>8</v>
          </cell>
          <cell r="T235">
            <v>0</v>
          </cell>
          <cell r="U235">
            <v>12</v>
          </cell>
          <cell r="V235">
            <v>3</v>
          </cell>
          <cell r="W235">
            <v>2</v>
          </cell>
          <cell r="X235">
            <v>0</v>
          </cell>
          <cell r="Y235">
            <v>9</v>
          </cell>
          <cell r="Z235">
            <v>0</v>
          </cell>
          <cell r="AA235">
            <v>58</v>
          </cell>
          <cell r="AB235">
            <v>0</v>
          </cell>
          <cell r="AC235">
            <v>18</v>
          </cell>
          <cell r="AD235">
            <v>10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342</v>
          </cell>
          <cell r="AJ235">
            <v>77</v>
          </cell>
          <cell r="AK235">
            <v>17</v>
          </cell>
        </row>
      </sheetData>
      <sheetData sheetId="12">
        <row r="8">
          <cell r="C8">
            <v>350125005</v>
          </cell>
          <cell r="D8">
            <v>0</v>
          </cell>
          <cell r="E8">
            <v>34</v>
          </cell>
          <cell r="F8">
            <v>45</v>
          </cell>
          <cell r="G8">
            <v>37</v>
          </cell>
          <cell r="H8">
            <v>14</v>
          </cell>
          <cell r="I8">
            <v>0</v>
          </cell>
          <cell r="J8">
            <v>0</v>
          </cell>
          <cell r="K8">
            <v>25</v>
          </cell>
          <cell r="L8">
            <v>46</v>
          </cell>
          <cell r="M8">
            <v>9</v>
          </cell>
          <cell r="N8">
            <v>23</v>
          </cell>
          <cell r="O8">
            <v>49</v>
          </cell>
          <cell r="P8">
            <v>0</v>
          </cell>
          <cell r="Q8">
            <v>5</v>
          </cell>
          <cell r="R8">
            <v>29</v>
          </cell>
          <cell r="S8">
            <v>0</v>
          </cell>
          <cell r="T8">
            <v>0</v>
          </cell>
          <cell r="U8">
            <v>12</v>
          </cell>
          <cell r="V8">
            <v>38</v>
          </cell>
          <cell r="W8">
            <v>0</v>
          </cell>
          <cell r="X8">
            <v>25</v>
          </cell>
          <cell r="Y8">
            <v>49</v>
          </cell>
          <cell r="Z8">
            <v>0</v>
          </cell>
          <cell r="AA8">
            <v>8</v>
          </cell>
          <cell r="AB8">
            <v>73</v>
          </cell>
          <cell r="AC8">
            <v>7</v>
          </cell>
          <cell r="AD8">
            <v>13</v>
          </cell>
          <cell r="AE8">
            <v>6</v>
          </cell>
          <cell r="AF8">
            <v>0</v>
          </cell>
          <cell r="AG8">
            <v>43</v>
          </cell>
          <cell r="AH8"/>
          <cell r="AI8">
            <v>590</v>
          </cell>
          <cell r="AJ8">
            <v>73</v>
          </cell>
          <cell r="AK8">
            <v>21</v>
          </cell>
        </row>
        <row r="9">
          <cell r="C9">
            <v>350125004</v>
          </cell>
          <cell r="D9">
            <v>0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0</v>
          </cell>
          <cell r="L9">
            <v>0</v>
          </cell>
          <cell r="M9">
            <v>0</v>
          </cell>
          <cell r="N9">
            <v>10</v>
          </cell>
          <cell r="O9">
            <v>6</v>
          </cell>
          <cell r="P9">
            <v>3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3</v>
          </cell>
          <cell r="V9">
            <v>68</v>
          </cell>
          <cell r="W9">
            <v>0</v>
          </cell>
          <cell r="X9">
            <v>23</v>
          </cell>
          <cell r="Y9">
            <v>0</v>
          </cell>
          <cell r="Z9">
            <v>10</v>
          </cell>
          <cell r="AA9">
            <v>0</v>
          </cell>
          <cell r="AB9">
            <v>69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16</v>
          </cell>
          <cell r="AH9"/>
          <cell r="AI9">
            <v>218</v>
          </cell>
          <cell r="AJ9">
            <v>69</v>
          </cell>
          <cell r="AK9">
            <v>12</v>
          </cell>
        </row>
        <row r="10">
          <cell r="C10">
            <v>350125003</v>
          </cell>
          <cell r="D10">
            <v>1</v>
          </cell>
          <cell r="E10">
            <v>0</v>
          </cell>
          <cell r="F10">
            <v>3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1</v>
          </cell>
          <cell r="N10">
            <v>0</v>
          </cell>
          <cell r="O10">
            <v>9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14</v>
          </cell>
          <cell r="V10">
            <v>49</v>
          </cell>
          <cell r="W10">
            <v>2</v>
          </cell>
          <cell r="X10">
            <v>41</v>
          </cell>
          <cell r="Y10">
            <v>0</v>
          </cell>
          <cell r="Z10">
            <v>13</v>
          </cell>
          <cell r="AA10">
            <v>0</v>
          </cell>
          <cell r="AB10">
            <v>46</v>
          </cell>
          <cell r="AC10">
            <v>0</v>
          </cell>
          <cell r="AD10">
            <v>2</v>
          </cell>
          <cell r="AE10">
            <v>1</v>
          </cell>
          <cell r="AF10">
            <v>0</v>
          </cell>
          <cell r="AG10">
            <v>57</v>
          </cell>
          <cell r="AH10"/>
          <cell r="AI10">
            <v>242</v>
          </cell>
          <cell r="AJ10">
            <v>57</v>
          </cell>
          <cell r="AK10">
            <v>16</v>
          </cell>
        </row>
        <row r="11">
          <cell r="C11">
            <v>350125002</v>
          </cell>
          <cell r="D11">
            <v>2</v>
          </cell>
          <cell r="E11">
            <v>0</v>
          </cell>
          <cell r="F11">
            <v>13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</v>
          </cell>
          <cell r="P11">
            <v>5</v>
          </cell>
          <cell r="Q11">
            <v>6</v>
          </cell>
          <cell r="R11">
            <v>16</v>
          </cell>
          <cell r="S11">
            <v>0</v>
          </cell>
          <cell r="T11">
            <v>0</v>
          </cell>
          <cell r="U11">
            <v>13</v>
          </cell>
          <cell r="V11">
            <v>0</v>
          </cell>
          <cell r="W11">
            <v>28</v>
          </cell>
          <cell r="X11">
            <v>56</v>
          </cell>
          <cell r="Y11">
            <v>0</v>
          </cell>
          <cell r="Z11">
            <v>96</v>
          </cell>
          <cell r="AA11">
            <v>0</v>
          </cell>
          <cell r="AB11">
            <v>46</v>
          </cell>
          <cell r="AC11">
            <v>5</v>
          </cell>
          <cell r="AD11">
            <v>0</v>
          </cell>
          <cell r="AE11">
            <v>0</v>
          </cell>
          <cell r="AF11">
            <v>0</v>
          </cell>
          <cell r="AG11">
            <v>7</v>
          </cell>
          <cell r="AH11"/>
          <cell r="AI11">
            <v>300</v>
          </cell>
          <cell r="AJ11">
            <v>96</v>
          </cell>
          <cell r="AK11">
            <v>14</v>
          </cell>
        </row>
        <row r="12">
          <cell r="C12">
            <v>350125001</v>
          </cell>
          <cell r="D12">
            <v>0</v>
          </cell>
          <cell r="E12">
            <v>0</v>
          </cell>
          <cell r="F12">
            <v>19</v>
          </cell>
          <cell r="G12">
            <v>0</v>
          </cell>
          <cell r="H12">
            <v>20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9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47</v>
          </cell>
          <cell r="W12">
            <v>0</v>
          </cell>
          <cell r="X12">
            <v>39</v>
          </cell>
          <cell r="Y12">
            <v>0</v>
          </cell>
          <cell r="Z12">
            <v>0</v>
          </cell>
          <cell r="AA12">
            <v>0</v>
          </cell>
          <cell r="AB12">
            <v>55</v>
          </cell>
          <cell r="AC12">
            <v>6</v>
          </cell>
          <cell r="AD12">
            <v>0</v>
          </cell>
          <cell r="AE12">
            <v>0</v>
          </cell>
          <cell r="AF12">
            <v>0</v>
          </cell>
          <cell r="AG12">
            <v>5</v>
          </cell>
          <cell r="AH12"/>
          <cell r="AI12">
            <v>200</v>
          </cell>
          <cell r="AJ12">
            <v>55</v>
          </cell>
          <cell r="AK12">
            <v>8</v>
          </cell>
        </row>
        <row r="13">
          <cell r="C13">
            <v>350124024</v>
          </cell>
          <cell r="D13">
            <v>0</v>
          </cell>
          <cell r="E13">
            <v>0</v>
          </cell>
          <cell r="F13">
            <v>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</v>
          </cell>
          <cell r="M13">
            <v>0</v>
          </cell>
          <cell r="N13">
            <v>13</v>
          </cell>
          <cell r="O13">
            <v>2</v>
          </cell>
          <cell r="P13">
            <v>9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2</v>
          </cell>
          <cell r="V13">
            <v>87</v>
          </cell>
          <cell r="W13">
            <v>4</v>
          </cell>
          <cell r="X13">
            <v>43</v>
          </cell>
          <cell r="Y13">
            <v>3</v>
          </cell>
          <cell r="Z13">
            <v>7</v>
          </cell>
          <cell r="AA13">
            <v>1</v>
          </cell>
          <cell r="AB13">
            <v>48</v>
          </cell>
          <cell r="AC13">
            <v>60</v>
          </cell>
          <cell r="AD13">
            <v>0</v>
          </cell>
          <cell r="AE13">
            <v>4</v>
          </cell>
          <cell r="AF13">
            <v>0</v>
          </cell>
          <cell r="AG13">
            <v>7</v>
          </cell>
          <cell r="AH13"/>
          <cell r="AI13">
            <v>306</v>
          </cell>
          <cell r="AJ13">
            <v>87</v>
          </cell>
          <cell r="AK13">
            <v>17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6</v>
          </cell>
          <cell r="L14">
            <v>0</v>
          </cell>
          <cell r="M14">
            <v>2</v>
          </cell>
          <cell r="N14">
            <v>8</v>
          </cell>
          <cell r="O14">
            <v>0</v>
          </cell>
          <cell r="P14">
            <v>1</v>
          </cell>
          <cell r="Q14">
            <v>0</v>
          </cell>
          <cell r="R14">
            <v>3</v>
          </cell>
          <cell r="S14">
            <v>1</v>
          </cell>
          <cell r="T14">
            <v>0</v>
          </cell>
          <cell r="U14">
            <v>5</v>
          </cell>
          <cell r="V14">
            <v>44</v>
          </cell>
          <cell r="W14">
            <v>0</v>
          </cell>
          <cell r="X14">
            <v>11</v>
          </cell>
          <cell r="Y14">
            <v>0</v>
          </cell>
          <cell r="Z14">
            <v>0</v>
          </cell>
          <cell r="AA14">
            <v>0</v>
          </cell>
          <cell r="AB14">
            <v>23</v>
          </cell>
          <cell r="AC14">
            <v>9</v>
          </cell>
          <cell r="AD14">
            <v>0</v>
          </cell>
          <cell r="AE14">
            <v>0</v>
          </cell>
          <cell r="AF14">
            <v>0</v>
          </cell>
          <cell r="AG14">
            <v>21</v>
          </cell>
          <cell r="AH14"/>
          <cell r="AI14">
            <v>134</v>
          </cell>
          <cell r="AJ14">
            <v>44</v>
          </cell>
          <cell r="AK14">
            <v>12</v>
          </cell>
        </row>
        <row r="15">
          <cell r="C15">
            <v>350124022</v>
          </cell>
          <cell r="D15">
            <v>0</v>
          </cell>
          <cell r="E15">
            <v>0</v>
          </cell>
          <cell r="F15">
            <v>43.5</v>
          </cell>
          <cell r="G15">
            <v>0</v>
          </cell>
          <cell r="H15">
            <v>8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62</v>
          </cell>
          <cell r="O15">
            <v>4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6.5</v>
          </cell>
          <cell r="V15">
            <v>122.5</v>
          </cell>
          <cell r="W15">
            <v>0</v>
          </cell>
          <cell r="X15">
            <v>31.5</v>
          </cell>
          <cell r="Y15">
            <v>0</v>
          </cell>
          <cell r="Z15">
            <v>0</v>
          </cell>
          <cell r="AA15">
            <v>18</v>
          </cell>
          <cell r="AB15">
            <v>43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22</v>
          </cell>
          <cell r="AH15"/>
          <cell r="AI15">
            <v>363</v>
          </cell>
          <cell r="AJ15">
            <v>122.5</v>
          </cell>
          <cell r="AK15">
            <v>11</v>
          </cell>
        </row>
        <row r="16">
          <cell r="C16">
            <v>350124021</v>
          </cell>
          <cell r="D16">
            <v>0</v>
          </cell>
          <cell r="E16">
            <v>5</v>
          </cell>
          <cell r="F16">
            <v>2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10</v>
          </cell>
          <cell r="L16">
            <v>0</v>
          </cell>
          <cell r="M16">
            <v>0</v>
          </cell>
          <cell r="N16">
            <v>54</v>
          </cell>
          <cell r="O16">
            <v>0</v>
          </cell>
          <cell r="P16">
            <v>0</v>
          </cell>
          <cell r="Q16">
            <v>0</v>
          </cell>
          <cell r="R16">
            <v>2</v>
          </cell>
          <cell r="S16">
            <v>0</v>
          </cell>
          <cell r="T16">
            <v>0</v>
          </cell>
          <cell r="U16">
            <v>3</v>
          </cell>
          <cell r="V16">
            <v>50</v>
          </cell>
          <cell r="W16">
            <v>0</v>
          </cell>
          <cell r="X16">
            <v>20</v>
          </cell>
          <cell r="Y16">
            <v>0</v>
          </cell>
          <cell r="Z16">
            <v>13</v>
          </cell>
          <cell r="AA16">
            <v>24</v>
          </cell>
          <cell r="AB16">
            <v>53</v>
          </cell>
          <cell r="AC16">
            <v>19</v>
          </cell>
          <cell r="AD16">
            <v>0</v>
          </cell>
          <cell r="AE16">
            <v>0</v>
          </cell>
          <cell r="AF16">
            <v>1</v>
          </cell>
          <cell r="AG16">
            <v>15</v>
          </cell>
          <cell r="AH16"/>
          <cell r="AI16">
            <v>271</v>
          </cell>
          <cell r="AJ16">
            <v>54</v>
          </cell>
          <cell r="AK16">
            <v>14</v>
          </cell>
        </row>
        <row r="17">
          <cell r="C17">
            <v>350124020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14</v>
          </cell>
          <cell r="L17">
            <v>0</v>
          </cell>
          <cell r="M17">
            <v>39</v>
          </cell>
          <cell r="N17">
            <v>40</v>
          </cell>
          <cell r="O17">
            <v>0</v>
          </cell>
          <cell r="P17">
            <v>3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9</v>
          </cell>
          <cell r="V17">
            <v>45</v>
          </cell>
          <cell r="W17">
            <v>3</v>
          </cell>
          <cell r="X17">
            <v>9</v>
          </cell>
          <cell r="Y17">
            <v>0</v>
          </cell>
          <cell r="Z17">
            <v>0</v>
          </cell>
          <cell r="AA17">
            <v>0</v>
          </cell>
          <cell r="AB17">
            <v>21</v>
          </cell>
          <cell r="AC17">
            <v>0</v>
          </cell>
          <cell r="AD17">
            <v>2</v>
          </cell>
          <cell r="AE17">
            <v>0</v>
          </cell>
          <cell r="AF17">
            <v>0</v>
          </cell>
          <cell r="AG17">
            <v>25</v>
          </cell>
          <cell r="AH17"/>
          <cell r="AI17">
            <v>211</v>
          </cell>
          <cell r="AJ17">
            <v>45</v>
          </cell>
          <cell r="AK17">
            <v>12</v>
          </cell>
        </row>
        <row r="18">
          <cell r="C18">
            <v>350124019</v>
          </cell>
          <cell r="D18">
            <v>0</v>
          </cell>
          <cell r="E18">
            <v>2</v>
          </cell>
          <cell r="F18">
            <v>6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5</v>
          </cell>
          <cell r="L18">
            <v>0</v>
          </cell>
          <cell r="M18">
            <v>0</v>
          </cell>
          <cell r="N18">
            <v>44</v>
          </cell>
          <cell r="O18">
            <v>0</v>
          </cell>
          <cell r="P18">
            <v>2</v>
          </cell>
          <cell r="Q18">
            <v>0</v>
          </cell>
          <cell r="R18">
            <v>12</v>
          </cell>
          <cell r="S18">
            <v>0</v>
          </cell>
          <cell r="T18">
            <v>0</v>
          </cell>
          <cell r="U18">
            <v>10</v>
          </cell>
          <cell r="V18">
            <v>52</v>
          </cell>
          <cell r="W18">
            <v>10</v>
          </cell>
          <cell r="X18">
            <v>24</v>
          </cell>
          <cell r="Y18">
            <v>0</v>
          </cell>
          <cell r="Z18">
            <v>0</v>
          </cell>
          <cell r="AA18">
            <v>0</v>
          </cell>
          <cell r="AB18">
            <v>60</v>
          </cell>
          <cell r="AC18">
            <v>0</v>
          </cell>
          <cell r="AD18">
            <v>6</v>
          </cell>
          <cell r="AE18">
            <v>2</v>
          </cell>
          <cell r="AF18">
            <v>0</v>
          </cell>
          <cell r="AG18">
            <v>5</v>
          </cell>
          <cell r="AH18"/>
          <cell r="AI18">
            <v>240</v>
          </cell>
          <cell r="AJ18">
            <v>60</v>
          </cell>
          <cell r="AK18">
            <v>14</v>
          </cell>
        </row>
        <row r="19">
          <cell r="C19">
            <v>350124018</v>
          </cell>
          <cell r="D19">
            <v>0</v>
          </cell>
          <cell r="E19">
            <v>0</v>
          </cell>
          <cell r="F19">
            <v>19</v>
          </cell>
          <cell r="G19">
            <v>0</v>
          </cell>
          <cell r="H19">
            <v>5</v>
          </cell>
          <cell r="I19">
            <v>0</v>
          </cell>
          <cell r="J19">
            <v>0</v>
          </cell>
          <cell r="K19">
            <v>13</v>
          </cell>
          <cell r="L19">
            <v>0</v>
          </cell>
          <cell r="M19">
            <v>0</v>
          </cell>
          <cell r="N19">
            <v>15</v>
          </cell>
          <cell r="O19">
            <v>6</v>
          </cell>
          <cell r="P19">
            <v>0</v>
          </cell>
          <cell r="Q19">
            <v>0</v>
          </cell>
          <cell r="R19">
            <v>4</v>
          </cell>
          <cell r="S19">
            <v>0</v>
          </cell>
          <cell r="T19">
            <v>0</v>
          </cell>
          <cell r="U19">
            <v>21</v>
          </cell>
          <cell r="V19">
            <v>40</v>
          </cell>
          <cell r="W19">
            <v>2</v>
          </cell>
          <cell r="X19">
            <v>32</v>
          </cell>
          <cell r="Y19">
            <v>0</v>
          </cell>
          <cell r="Z19">
            <v>3</v>
          </cell>
          <cell r="AA19">
            <v>1</v>
          </cell>
          <cell r="AB19">
            <v>45</v>
          </cell>
          <cell r="AC19">
            <v>0</v>
          </cell>
          <cell r="AD19">
            <v>0</v>
          </cell>
          <cell r="AE19">
            <v>0</v>
          </cell>
          <cell r="AF19">
            <v>2</v>
          </cell>
          <cell r="AG19">
            <v>4</v>
          </cell>
          <cell r="AH19"/>
          <cell r="AI19">
            <v>212</v>
          </cell>
          <cell r="AJ19">
            <v>45</v>
          </cell>
          <cell r="AK19">
            <v>15</v>
          </cell>
        </row>
        <row r="20">
          <cell r="C20">
            <v>350124017</v>
          </cell>
          <cell r="D20">
            <v>0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26</v>
          </cell>
          <cell r="N20">
            <v>24</v>
          </cell>
          <cell r="O20">
            <v>2</v>
          </cell>
          <cell r="P20">
            <v>0</v>
          </cell>
          <cell r="Q20">
            <v>10</v>
          </cell>
          <cell r="R20">
            <v>9</v>
          </cell>
          <cell r="S20">
            <v>22</v>
          </cell>
          <cell r="T20">
            <v>0</v>
          </cell>
          <cell r="U20">
            <v>0</v>
          </cell>
          <cell r="V20">
            <v>53</v>
          </cell>
          <cell r="W20">
            <v>0</v>
          </cell>
          <cell r="X20">
            <v>15</v>
          </cell>
          <cell r="Y20">
            <v>0</v>
          </cell>
          <cell r="Z20">
            <v>0</v>
          </cell>
          <cell r="AA20">
            <v>0</v>
          </cell>
          <cell r="AB20">
            <v>12</v>
          </cell>
          <cell r="AC20">
            <v>0</v>
          </cell>
          <cell r="AD20">
            <v>5</v>
          </cell>
          <cell r="AE20">
            <v>7</v>
          </cell>
          <cell r="AF20">
            <v>0</v>
          </cell>
          <cell r="AG20">
            <v>51</v>
          </cell>
          <cell r="AH20"/>
          <cell r="AI20">
            <v>244</v>
          </cell>
          <cell r="AJ20">
            <v>53</v>
          </cell>
          <cell r="AK20">
            <v>13</v>
          </cell>
        </row>
        <row r="21">
          <cell r="C21">
            <v>350124016</v>
          </cell>
          <cell r="D21">
            <v>0</v>
          </cell>
          <cell r="E21">
            <v>56</v>
          </cell>
          <cell r="F21">
            <v>26</v>
          </cell>
          <cell r="G21">
            <v>0</v>
          </cell>
          <cell r="H21">
            <v>0</v>
          </cell>
          <cell r="I21">
            <v>10</v>
          </cell>
          <cell r="J21">
            <v>39</v>
          </cell>
          <cell r="K21">
            <v>4</v>
          </cell>
          <cell r="L21">
            <v>0</v>
          </cell>
          <cell r="M21">
            <v>0</v>
          </cell>
          <cell r="N21">
            <v>55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27</v>
          </cell>
          <cell r="V21">
            <v>41</v>
          </cell>
          <cell r="W21">
            <v>0</v>
          </cell>
          <cell r="X21">
            <v>4</v>
          </cell>
          <cell r="Y21">
            <v>0</v>
          </cell>
          <cell r="Z21">
            <v>0</v>
          </cell>
          <cell r="AA21">
            <v>7</v>
          </cell>
          <cell r="AB21">
            <v>56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/>
          <cell r="AI21">
            <v>325</v>
          </cell>
          <cell r="AJ21">
            <v>56</v>
          </cell>
          <cell r="AK21">
            <v>11</v>
          </cell>
        </row>
        <row r="22">
          <cell r="C22">
            <v>350124015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3</v>
          </cell>
          <cell r="K22">
            <v>24</v>
          </cell>
          <cell r="L22">
            <v>0</v>
          </cell>
          <cell r="M22">
            <v>0</v>
          </cell>
          <cell r="N22">
            <v>32</v>
          </cell>
          <cell r="O22">
            <v>1</v>
          </cell>
          <cell r="P22">
            <v>2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12</v>
          </cell>
          <cell r="V22">
            <v>35</v>
          </cell>
          <cell r="W22">
            <v>4</v>
          </cell>
          <cell r="X22">
            <v>11</v>
          </cell>
          <cell r="Y22">
            <v>0</v>
          </cell>
          <cell r="Z22">
            <v>0</v>
          </cell>
          <cell r="AA22">
            <v>6</v>
          </cell>
          <cell r="AB22">
            <v>55</v>
          </cell>
          <cell r="AC22">
            <v>5</v>
          </cell>
          <cell r="AD22">
            <v>0</v>
          </cell>
          <cell r="AE22">
            <v>1</v>
          </cell>
          <cell r="AF22">
            <v>24</v>
          </cell>
          <cell r="AG22">
            <v>25</v>
          </cell>
          <cell r="AH22"/>
          <cell r="AI22">
            <v>240</v>
          </cell>
          <cell r="AJ22">
            <v>55</v>
          </cell>
          <cell r="AK22">
            <v>15</v>
          </cell>
        </row>
        <row r="23">
          <cell r="C23">
            <v>350124014</v>
          </cell>
          <cell r="D23">
            <v>0</v>
          </cell>
          <cell r="E23">
            <v>4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8</v>
          </cell>
          <cell r="L23">
            <v>0</v>
          </cell>
          <cell r="M23">
            <v>0</v>
          </cell>
          <cell r="N23">
            <v>4</v>
          </cell>
          <cell r="O23">
            <v>0</v>
          </cell>
          <cell r="P23">
            <v>2</v>
          </cell>
          <cell r="Q23">
            <v>13</v>
          </cell>
          <cell r="R23">
            <v>9</v>
          </cell>
          <cell r="S23">
            <v>0</v>
          </cell>
          <cell r="T23">
            <v>0</v>
          </cell>
          <cell r="U23">
            <v>2</v>
          </cell>
          <cell r="V23">
            <v>43</v>
          </cell>
          <cell r="W23">
            <v>4</v>
          </cell>
          <cell r="X23">
            <v>3</v>
          </cell>
          <cell r="Y23">
            <v>0</v>
          </cell>
          <cell r="Z23">
            <v>0</v>
          </cell>
          <cell r="AA23">
            <v>5</v>
          </cell>
          <cell r="AB23">
            <v>3</v>
          </cell>
          <cell r="AC23">
            <v>0</v>
          </cell>
          <cell r="AD23">
            <v>0</v>
          </cell>
          <cell r="AE23">
            <v>10</v>
          </cell>
          <cell r="AF23">
            <v>2</v>
          </cell>
          <cell r="AG23">
            <v>3</v>
          </cell>
          <cell r="AH23"/>
          <cell r="AI23">
            <v>115</v>
          </cell>
          <cell r="AJ23">
            <v>43</v>
          </cell>
          <cell r="AK23">
            <v>15</v>
          </cell>
        </row>
        <row r="24">
          <cell r="C24">
            <v>350124013</v>
          </cell>
          <cell r="D24">
            <v>0</v>
          </cell>
          <cell r="E24">
            <v>1</v>
          </cell>
          <cell r="F24">
            <v>0</v>
          </cell>
          <cell r="G24">
            <v>0</v>
          </cell>
          <cell r="H24">
            <v>2</v>
          </cell>
          <cell r="I24">
            <v>0</v>
          </cell>
          <cell r="J24">
            <v>0</v>
          </cell>
          <cell r="K24">
            <v>25</v>
          </cell>
          <cell r="L24">
            <v>0</v>
          </cell>
          <cell r="M24">
            <v>0</v>
          </cell>
          <cell r="N24">
            <v>0</v>
          </cell>
          <cell r="O24">
            <v>21</v>
          </cell>
          <cell r="P24">
            <v>2</v>
          </cell>
          <cell r="Q24">
            <v>3</v>
          </cell>
          <cell r="R24">
            <v>0</v>
          </cell>
          <cell r="S24">
            <v>0</v>
          </cell>
          <cell r="T24">
            <v>0</v>
          </cell>
          <cell r="U24">
            <v>4</v>
          </cell>
          <cell r="V24">
            <v>42</v>
          </cell>
          <cell r="W24">
            <v>1</v>
          </cell>
          <cell r="X24">
            <v>5</v>
          </cell>
          <cell r="Y24">
            <v>0</v>
          </cell>
          <cell r="Z24">
            <v>0</v>
          </cell>
          <cell r="AA24">
            <v>0</v>
          </cell>
          <cell r="AB24">
            <v>5</v>
          </cell>
          <cell r="AC24">
            <v>0</v>
          </cell>
          <cell r="AD24">
            <v>0</v>
          </cell>
          <cell r="AE24">
            <v>23</v>
          </cell>
          <cell r="AF24">
            <v>5</v>
          </cell>
          <cell r="AG24">
            <v>31</v>
          </cell>
          <cell r="AH24"/>
          <cell r="AI24">
            <v>170</v>
          </cell>
          <cell r="AJ24">
            <v>42</v>
          </cell>
          <cell r="AK24">
            <v>14</v>
          </cell>
        </row>
        <row r="25">
          <cell r="C25">
            <v>350124012</v>
          </cell>
          <cell r="D25">
            <v>0</v>
          </cell>
          <cell r="E25">
            <v>0</v>
          </cell>
          <cell r="F25">
            <v>7</v>
          </cell>
          <cell r="G25">
            <v>0</v>
          </cell>
          <cell r="H25">
            <v>2</v>
          </cell>
          <cell r="I25">
            <v>0</v>
          </cell>
          <cell r="J25">
            <v>0</v>
          </cell>
          <cell r="K25">
            <v>3</v>
          </cell>
          <cell r="L25">
            <v>0</v>
          </cell>
          <cell r="M25">
            <v>0</v>
          </cell>
          <cell r="N25">
            <v>25</v>
          </cell>
          <cell r="O25">
            <v>9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8</v>
          </cell>
          <cell r="V25">
            <v>53</v>
          </cell>
          <cell r="W25">
            <v>2</v>
          </cell>
          <cell r="X25">
            <v>43</v>
          </cell>
          <cell r="Y25">
            <v>0</v>
          </cell>
          <cell r="Z25">
            <v>16</v>
          </cell>
          <cell r="AA25">
            <v>48</v>
          </cell>
          <cell r="AB25">
            <v>29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</v>
          </cell>
          <cell r="AH25"/>
          <cell r="AI25">
            <v>265</v>
          </cell>
          <cell r="AJ25">
            <v>53</v>
          </cell>
          <cell r="AK25">
            <v>13</v>
          </cell>
        </row>
        <row r="26">
          <cell r="C26">
            <v>350124011</v>
          </cell>
          <cell r="D26">
            <v>0</v>
          </cell>
          <cell r="E26">
            <v>0</v>
          </cell>
          <cell r="F26">
            <v>18</v>
          </cell>
          <cell r="G26">
            <v>0</v>
          </cell>
          <cell r="H26">
            <v>8</v>
          </cell>
          <cell r="I26">
            <v>0</v>
          </cell>
          <cell r="J26">
            <v>0</v>
          </cell>
          <cell r="K26">
            <v>13</v>
          </cell>
          <cell r="L26">
            <v>0</v>
          </cell>
          <cell r="M26">
            <v>0</v>
          </cell>
          <cell r="N26">
            <v>16</v>
          </cell>
          <cell r="O26">
            <v>4</v>
          </cell>
          <cell r="P26">
            <v>1</v>
          </cell>
          <cell r="Q26">
            <v>0</v>
          </cell>
          <cell r="R26">
            <v>2</v>
          </cell>
          <cell r="S26">
            <v>0</v>
          </cell>
          <cell r="T26">
            <v>0</v>
          </cell>
          <cell r="U26">
            <v>18</v>
          </cell>
          <cell r="V26">
            <v>33</v>
          </cell>
          <cell r="W26">
            <v>0</v>
          </cell>
          <cell r="X26">
            <v>28</v>
          </cell>
          <cell r="Y26">
            <v>0</v>
          </cell>
          <cell r="Z26">
            <v>4</v>
          </cell>
          <cell r="AA26">
            <v>0</v>
          </cell>
          <cell r="AB26">
            <v>59</v>
          </cell>
          <cell r="AC26">
            <v>0</v>
          </cell>
          <cell r="AD26">
            <v>2</v>
          </cell>
          <cell r="AE26">
            <v>0</v>
          </cell>
          <cell r="AF26">
            <v>1</v>
          </cell>
          <cell r="AG26">
            <v>3</v>
          </cell>
          <cell r="AH26"/>
          <cell r="AI26">
            <v>210</v>
          </cell>
          <cell r="AJ26">
            <v>59</v>
          </cell>
          <cell r="AK26">
            <v>15</v>
          </cell>
        </row>
        <row r="27">
          <cell r="C27">
            <v>350124010</v>
          </cell>
          <cell r="D27">
            <v>0</v>
          </cell>
          <cell r="E27">
            <v>11</v>
          </cell>
          <cell r="F27">
            <v>0</v>
          </cell>
          <cell r="G27">
            <v>0</v>
          </cell>
          <cell r="H27">
            <v>0</v>
          </cell>
          <cell r="I27">
            <v>4</v>
          </cell>
          <cell r="J27">
            <v>1</v>
          </cell>
          <cell r="K27">
            <v>4</v>
          </cell>
          <cell r="L27">
            <v>0</v>
          </cell>
          <cell r="M27">
            <v>1</v>
          </cell>
          <cell r="N27">
            <v>4</v>
          </cell>
          <cell r="O27">
            <v>15</v>
          </cell>
          <cell r="P27">
            <v>3</v>
          </cell>
          <cell r="Q27">
            <v>3</v>
          </cell>
          <cell r="R27">
            <v>14</v>
          </cell>
          <cell r="S27">
            <v>3</v>
          </cell>
          <cell r="T27">
            <v>0</v>
          </cell>
          <cell r="U27">
            <v>2</v>
          </cell>
          <cell r="V27">
            <v>37</v>
          </cell>
          <cell r="W27">
            <v>5</v>
          </cell>
          <cell r="X27">
            <v>7</v>
          </cell>
          <cell r="Y27">
            <v>0</v>
          </cell>
          <cell r="Z27">
            <v>0</v>
          </cell>
          <cell r="AA27">
            <v>0</v>
          </cell>
          <cell r="AB27">
            <v>7</v>
          </cell>
          <cell r="AC27">
            <v>0</v>
          </cell>
          <cell r="AD27">
            <v>0</v>
          </cell>
          <cell r="AE27">
            <v>15</v>
          </cell>
          <cell r="AF27">
            <v>23</v>
          </cell>
          <cell r="AG27">
            <v>65</v>
          </cell>
          <cell r="AH27"/>
          <cell r="AI27">
            <v>224</v>
          </cell>
          <cell r="AJ27">
            <v>65</v>
          </cell>
          <cell r="AK27">
            <v>19</v>
          </cell>
        </row>
        <row r="28">
          <cell r="C28">
            <v>350124009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</v>
          </cell>
          <cell r="L28">
            <v>0</v>
          </cell>
          <cell r="M28">
            <v>24</v>
          </cell>
          <cell r="N28">
            <v>5</v>
          </cell>
          <cell r="O28">
            <v>0</v>
          </cell>
          <cell r="P28">
            <v>3</v>
          </cell>
          <cell r="Q28">
            <v>9</v>
          </cell>
          <cell r="R28">
            <v>12</v>
          </cell>
          <cell r="S28">
            <v>2</v>
          </cell>
          <cell r="T28">
            <v>0</v>
          </cell>
          <cell r="U28">
            <v>13</v>
          </cell>
          <cell r="V28">
            <v>46</v>
          </cell>
          <cell r="W28">
            <v>2</v>
          </cell>
          <cell r="X28">
            <v>2</v>
          </cell>
          <cell r="Y28">
            <v>0</v>
          </cell>
          <cell r="Z28">
            <v>0</v>
          </cell>
          <cell r="AA28">
            <v>0</v>
          </cell>
          <cell r="AB28">
            <v>6</v>
          </cell>
          <cell r="AC28">
            <v>0</v>
          </cell>
          <cell r="AD28">
            <v>0</v>
          </cell>
          <cell r="AE28">
            <v>0</v>
          </cell>
          <cell r="AF28">
            <v>2</v>
          </cell>
          <cell r="AG28">
            <v>49</v>
          </cell>
          <cell r="AH28"/>
          <cell r="AI28">
            <v>182</v>
          </cell>
          <cell r="AJ28">
            <v>49</v>
          </cell>
          <cell r="AK28">
            <v>15</v>
          </cell>
        </row>
        <row r="29">
          <cell r="C29">
            <v>350124008</v>
          </cell>
          <cell r="D29">
            <v>0</v>
          </cell>
          <cell r="E29">
            <v>1</v>
          </cell>
          <cell r="F29">
            <v>31</v>
          </cell>
          <cell r="G29">
            <v>0</v>
          </cell>
          <cell r="H29">
            <v>2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22</v>
          </cell>
          <cell r="O29">
            <v>2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83</v>
          </cell>
          <cell r="W29">
            <v>0</v>
          </cell>
          <cell r="X29">
            <v>35</v>
          </cell>
          <cell r="Y29">
            <v>0</v>
          </cell>
          <cell r="Z29">
            <v>0</v>
          </cell>
          <cell r="AA29">
            <v>36</v>
          </cell>
          <cell r="AB29">
            <v>32</v>
          </cell>
          <cell r="AC29">
            <v>0</v>
          </cell>
          <cell r="AD29">
            <v>1</v>
          </cell>
          <cell r="AE29">
            <v>0</v>
          </cell>
          <cell r="AF29">
            <v>0</v>
          </cell>
          <cell r="AG29">
            <v>12</v>
          </cell>
          <cell r="AH29"/>
          <cell r="AI29">
            <v>257</v>
          </cell>
          <cell r="AJ29">
            <v>83</v>
          </cell>
          <cell r="AK29">
            <v>11</v>
          </cell>
        </row>
        <row r="30">
          <cell r="C30">
            <v>350124007</v>
          </cell>
          <cell r="D30">
            <v>0</v>
          </cell>
          <cell r="E30">
            <v>4</v>
          </cell>
          <cell r="F30">
            <v>19</v>
          </cell>
          <cell r="G30">
            <v>0</v>
          </cell>
          <cell r="H30">
            <v>0</v>
          </cell>
          <cell r="I30">
            <v>0</v>
          </cell>
          <cell r="J30">
            <v>6</v>
          </cell>
          <cell r="K30">
            <v>11</v>
          </cell>
          <cell r="L30">
            <v>0</v>
          </cell>
          <cell r="M30">
            <v>0</v>
          </cell>
          <cell r="N30">
            <v>6</v>
          </cell>
          <cell r="O30">
            <v>4</v>
          </cell>
          <cell r="P30">
            <v>4</v>
          </cell>
          <cell r="Q30">
            <v>0</v>
          </cell>
          <cell r="R30">
            <v>5</v>
          </cell>
          <cell r="S30">
            <v>0</v>
          </cell>
          <cell r="T30">
            <v>0</v>
          </cell>
          <cell r="U30">
            <v>17</v>
          </cell>
          <cell r="V30">
            <v>40</v>
          </cell>
          <cell r="W30">
            <v>0</v>
          </cell>
          <cell r="X30">
            <v>17</v>
          </cell>
          <cell r="Y30">
            <v>0</v>
          </cell>
          <cell r="Z30">
            <v>0</v>
          </cell>
          <cell r="AA30">
            <v>0</v>
          </cell>
          <cell r="AB30">
            <v>72</v>
          </cell>
          <cell r="AC30">
            <v>0</v>
          </cell>
          <cell r="AD30">
            <v>15</v>
          </cell>
          <cell r="AE30">
            <v>0</v>
          </cell>
          <cell r="AF30">
            <v>0</v>
          </cell>
          <cell r="AG30">
            <v>3</v>
          </cell>
          <cell r="AH30"/>
          <cell r="AI30">
            <v>223</v>
          </cell>
          <cell r="AJ30">
            <v>72</v>
          </cell>
          <cell r="AK30">
            <v>14</v>
          </cell>
        </row>
        <row r="31">
          <cell r="C31">
            <v>350124006</v>
          </cell>
          <cell r="D31">
            <v>0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4</v>
          </cell>
          <cell r="L31">
            <v>0</v>
          </cell>
          <cell r="M31">
            <v>14</v>
          </cell>
          <cell r="N31">
            <v>23</v>
          </cell>
          <cell r="O31">
            <v>1</v>
          </cell>
          <cell r="P31">
            <v>7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13</v>
          </cell>
          <cell r="V31">
            <v>43</v>
          </cell>
          <cell r="W31">
            <v>3</v>
          </cell>
          <cell r="X31">
            <v>10</v>
          </cell>
          <cell r="Y31">
            <v>0</v>
          </cell>
          <cell r="Z31">
            <v>0</v>
          </cell>
          <cell r="AA31">
            <v>0</v>
          </cell>
          <cell r="AB31">
            <v>6</v>
          </cell>
          <cell r="AC31">
            <v>0</v>
          </cell>
          <cell r="AD31">
            <v>1</v>
          </cell>
          <cell r="AE31">
            <v>0</v>
          </cell>
          <cell r="AF31">
            <v>1</v>
          </cell>
          <cell r="AG31">
            <v>45</v>
          </cell>
          <cell r="AH31"/>
          <cell r="AI31">
            <v>173</v>
          </cell>
          <cell r="AJ31">
            <v>45</v>
          </cell>
          <cell r="AK31">
            <v>14</v>
          </cell>
        </row>
        <row r="32">
          <cell r="C32">
            <v>350124005</v>
          </cell>
          <cell r="D32">
            <v>0</v>
          </cell>
          <cell r="E32">
            <v>2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4</v>
          </cell>
          <cell r="L32">
            <v>0</v>
          </cell>
          <cell r="M32">
            <v>18</v>
          </cell>
          <cell r="N32">
            <v>8</v>
          </cell>
          <cell r="O32">
            <v>0</v>
          </cell>
          <cell r="P32">
            <v>0</v>
          </cell>
          <cell r="Q32">
            <v>5</v>
          </cell>
          <cell r="R32">
            <v>0</v>
          </cell>
          <cell r="S32">
            <v>0</v>
          </cell>
          <cell r="T32">
            <v>4</v>
          </cell>
          <cell r="U32">
            <v>0</v>
          </cell>
          <cell r="V32">
            <v>34</v>
          </cell>
          <cell r="W32">
            <v>0</v>
          </cell>
          <cell r="X32">
            <v>6</v>
          </cell>
          <cell r="Y32">
            <v>0</v>
          </cell>
          <cell r="Z32">
            <v>0</v>
          </cell>
          <cell r="AA32">
            <v>0</v>
          </cell>
          <cell r="AB32">
            <v>18</v>
          </cell>
          <cell r="AC32">
            <v>0</v>
          </cell>
          <cell r="AD32">
            <v>4</v>
          </cell>
          <cell r="AE32">
            <v>12</v>
          </cell>
          <cell r="AF32">
            <v>0</v>
          </cell>
          <cell r="AG32">
            <v>10</v>
          </cell>
          <cell r="AH32"/>
          <cell r="AI32">
            <v>125</v>
          </cell>
          <cell r="AJ32">
            <v>34</v>
          </cell>
          <cell r="AK32">
            <v>12</v>
          </cell>
        </row>
        <row r="33">
          <cell r="C33">
            <v>350124004</v>
          </cell>
          <cell r="D33">
            <v>0</v>
          </cell>
          <cell r="E33">
            <v>2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2</v>
          </cell>
          <cell r="K33">
            <v>10</v>
          </cell>
          <cell r="L33">
            <v>0</v>
          </cell>
          <cell r="M33">
            <v>0</v>
          </cell>
          <cell r="N33">
            <v>0</v>
          </cell>
          <cell r="O33">
            <v>6</v>
          </cell>
          <cell r="P33">
            <v>4</v>
          </cell>
          <cell r="Q33">
            <v>3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48</v>
          </cell>
          <cell r="W33">
            <v>0</v>
          </cell>
          <cell r="X33">
            <v>5</v>
          </cell>
          <cell r="Y33">
            <v>0</v>
          </cell>
          <cell r="Z33">
            <v>0</v>
          </cell>
          <cell r="AA33">
            <v>0</v>
          </cell>
          <cell r="AB33">
            <v>12</v>
          </cell>
          <cell r="AC33">
            <v>14</v>
          </cell>
          <cell r="AD33">
            <v>11</v>
          </cell>
          <cell r="AE33">
            <v>0</v>
          </cell>
          <cell r="AF33">
            <v>0</v>
          </cell>
          <cell r="AG33">
            <v>1</v>
          </cell>
          <cell r="AH33"/>
          <cell r="AI33">
            <v>120</v>
          </cell>
          <cell r="AJ33">
            <v>48</v>
          </cell>
          <cell r="AK33">
            <v>13</v>
          </cell>
        </row>
        <row r="34">
          <cell r="C34">
            <v>350124003</v>
          </cell>
          <cell r="D34">
            <v>0</v>
          </cell>
          <cell r="E34">
            <v>63</v>
          </cell>
          <cell r="F34">
            <v>19</v>
          </cell>
          <cell r="G34">
            <v>2</v>
          </cell>
          <cell r="H34">
            <v>0</v>
          </cell>
          <cell r="I34">
            <v>0</v>
          </cell>
          <cell r="J34">
            <v>39</v>
          </cell>
          <cell r="K34">
            <v>15</v>
          </cell>
          <cell r="L34">
            <v>0</v>
          </cell>
          <cell r="M34">
            <v>14</v>
          </cell>
          <cell r="N34">
            <v>24</v>
          </cell>
          <cell r="O34">
            <v>11</v>
          </cell>
          <cell r="P34">
            <v>7</v>
          </cell>
          <cell r="Q34">
            <v>5</v>
          </cell>
          <cell r="R34">
            <v>0</v>
          </cell>
          <cell r="S34">
            <v>0</v>
          </cell>
          <cell r="T34">
            <v>0</v>
          </cell>
          <cell r="U34">
            <v>22</v>
          </cell>
          <cell r="V34">
            <v>43</v>
          </cell>
          <cell r="W34">
            <v>3</v>
          </cell>
          <cell r="X34">
            <v>12</v>
          </cell>
          <cell r="Y34">
            <v>0</v>
          </cell>
          <cell r="Z34">
            <v>0</v>
          </cell>
          <cell r="AA34">
            <v>7</v>
          </cell>
          <cell r="AB34">
            <v>49</v>
          </cell>
          <cell r="AC34">
            <v>0</v>
          </cell>
          <cell r="AD34">
            <v>4</v>
          </cell>
          <cell r="AE34">
            <v>0</v>
          </cell>
          <cell r="AF34">
            <v>7</v>
          </cell>
          <cell r="AG34">
            <v>11</v>
          </cell>
          <cell r="AH34"/>
          <cell r="AI34">
            <v>357</v>
          </cell>
          <cell r="AJ34">
            <v>63</v>
          </cell>
          <cell r="AK34">
            <v>19</v>
          </cell>
        </row>
        <row r="35">
          <cell r="C35">
            <v>350124002</v>
          </cell>
          <cell r="D35">
            <v>0</v>
          </cell>
          <cell r="E35">
            <v>2</v>
          </cell>
          <cell r="F35">
            <v>0</v>
          </cell>
          <cell r="G35">
            <v>0</v>
          </cell>
          <cell r="H35">
            <v>0</v>
          </cell>
          <cell r="I35">
            <v>59</v>
          </cell>
          <cell r="J35">
            <v>0</v>
          </cell>
          <cell r="K35">
            <v>22</v>
          </cell>
          <cell r="L35">
            <v>0</v>
          </cell>
          <cell r="M35">
            <v>0</v>
          </cell>
          <cell r="N35">
            <v>10</v>
          </cell>
          <cell r="O35">
            <v>1</v>
          </cell>
          <cell r="P35">
            <v>8</v>
          </cell>
          <cell r="Q35">
            <v>3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45</v>
          </cell>
          <cell r="W35">
            <v>11</v>
          </cell>
          <cell r="X35">
            <v>5</v>
          </cell>
          <cell r="Y35">
            <v>0</v>
          </cell>
          <cell r="Z35">
            <v>0</v>
          </cell>
          <cell r="AA35">
            <v>0</v>
          </cell>
          <cell r="AB35">
            <v>9</v>
          </cell>
          <cell r="AC35">
            <v>0</v>
          </cell>
          <cell r="AD35">
            <v>0</v>
          </cell>
          <cell r="AE35">
            <v>24</v>
          </cell>
          <cell r="AF35">
            <v>10</v>
          </cell>
          <cell r="AG35">
            <v>43</v>
          </cell>
          <cell r="AH35"/>
          <cell r="AI35">
            <v>252</v>
          </cell>
          <cell r="AJ35">
            <v>59</v>
          </cell>
          <cell r="AK35">
            <v>14</v>
          </cell>
        </row>
        <row r="36">
          <cell r="C36">
            <v>350124001</v>
          </cell>
          <cell r="D36">
            <v>0</v>
          </cell>
          <cell r="E36">
            <v>13</v>
          </cell>
          <cell r="F36">
            <v>2</v>
          </cell>
          <cell r="G36">
            <v>0</v>
          </cell>
          <cell r="H36">
            <v>2</v>
          </cell>
          <cell r="I36">
            <v>0</v>
          </cell>
          <cell r="J36">
            <v>0</v>
          </cell>
          <cell r="K36">
            <v>5</v>
          </cell>
          <cell r="L36">
            <v>0</v>
          </cell>
          <cell r="M36">
            <v>0</v>
          </cell>
          <cell r="N36">
            <v>7</v>
          </cell>
          <cell r="O36">
            <v>16</v>
          </cell>
          <cell r="P36">
            <v>12</v>
          </cell>
          <cell r="Q36">
            <v>21</v>
          </cell>
          <cell r="R36">
            <v>5</v>
          </cell>
          <cell r="S36">
            <v>0</v>
          </cell>
          <cell r="T36">
            <v>0</v>
          </cell>
          <cell r="U36">
            <v>15</v>
          </cell>
          <cell r="V36">
            <v>17</v>
          </cell>
          <cell r="W36">
            <v>0</v>
          </cell>
          <cell r="X36">
            <v>15</v>
          </cell>
          <cell r="Y36">
            <v>0</v>
          </cell>
          <cell r="Z36">
            <v>10</v>
          </cell>
          <cell r="AA36">
            <v>0</v>
          </cell>
          <cell r="AB36">
            <v>35</v>
          </cell>
          <cell r="AC36">
            <v>0</v>
          </cell>
          <cell r="AD36">
            <v>0</v>
          </cell>
          <cell r="AE36">
            <v>0</v>
          </cell>
          <cell r="AF36">
            <v>5</v>
          </cell>
          <cell r="AG36">
            <v>10</v>
          </cell>
          <cell r="AH36"/>
          <cell r="AI36">
            <v>190</v>
          </cell>
          <cell r="AJ36">
            <v>35</v>
          </cell>
          <cell r="AK36">
            <v>16</v>
          </cell>
        </row>
        <row r="37">
          <cell r="C37">
            <v>350123037</v>
          </cell>
          <cell r="D37">
            <v>0</v>
          </cell>
          <cell r="E37">
            <v>12</v>
          </cell>
          <cell r="F37">
            <v>3</v>
          </cell>
          <cell r="G37">
            <v>0</v>
          </cell>
          <cell r="H37">
            <v>1</v>
          </cell>
          <cell r="I37">
            <v>0</v>
          </cell>
          <cell r="J37">
            <v>0</v>
          </cell>
          <cell r="K37">
            <v>5</v>
          </cell>
          <cell r="L37">
            <v>0</v>
          </cell>
          <cell r="M37">
            <v>24</v>
          </cell>
          <cell r="N37">
            <v>1</v>
          </cell>
          <cell r="O37">
            <v>16</v>
          </cell>
          <cell r="P37">
            <v>10</v>
          </cell>
          <cell r="Q37">
            <v>0</v>
          </cell>
          <cell r="R37">
            <v>8</v>
          </cell>
          <cell r="S37">
            <v>0</v>
          </cell>
          <cell r="T37">
            <v>0</v>
          </cell>
          <cell r="U37">
            <v>12</v>
          </cell>
          <cell r="V37">
            <v>18</v>
          </cell>
          <cell r="W37">
            <v>0</v>
          </cell>
          <cell r="X37">
            <v>4</v>
          </cell>
          <cell r="Y37">
            <v>4</v>
          </cell>
          <cell r="Z37">
            <v>43</v>
          </cell>
          <cell r="AA37">
            <v>0</v>
          </cell>
          <cell r="AB37">
            <v>40</v>
          </cell>
          <cell r="AC37">
            <v>0</v>
          </cell>
          <cell r="AD37">
            <v>0</v>
          </cell>
          <cell r="AE37">
            <v>0</v>
          </cell>
          <cell r="AF37">
            <v>22</v>
          </cell>
          <cell r="AG37">
            <v>43</v>
          </cell>
          <cell r="AH37"/>
          <cell r="AI37">
            <v>266</v>
          </cell>
          <cell r="AJ37">
            <v>43</v>
          </cell>
          <cell r="AK37">
            <v>17</v>
          </cell>
        </row>
        <row r="38">
          <cell r="C38">
            <v>350123036</v>
          </cell>
          <cell r="D38">
            <v>0</v>
          </cell>
          <cell r="E38">
            <v>12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2</v>
          </cell>
          <cell r="P38">
            <v>5</v>
          </cell>
          <cell r="Q38">
            <v>18</v>
          </cell>
          <cell r="R38">
            <v>20</v>
          </cell>
          <cell r="S38">
            <v>3</v>
          </cell>
          <cell r="T38">
            <v>0</v>
          </cell>
          <cell r="U38">
            <v>19</v>
          </cell>
          <cell r="V38">
            <v>13</v>
          </cell>
          <cell r="W38">
            <v>0</v>
          </cell>
          <cell r="X38">
            <v>30</v>
          </cell>
          <cell r="Y38">
            <v>0</v>
          </cell>
          <cell r="Z38">
            <v>0</v>
          </cell>
          <cell r="AA38">
            <v>8</v>
          </cell>
          <cell r="AB38">
            <v>5</v>
          </cell>
          <cell r="AC38">
            <v>0</v>
          </cell>
          <cell r="AD38">
            <v>0</v>
          </cell>
          <cell r="AE38">
            <v>0</v>
          </cell>
          <cell r="AF38">
            <v>30</v>
          </cell>
          <cell r="AG38">
            <v>62</v>
          </cell>
          <cell r="AH38"/>
          <cell r="AI38">
            <v>227</v>
          </cell>
          <cell r="AJ38">
            <v>62</v>
          </cell>
          <cell r="AK38">
            <v>13</v>
          </cell>
        </row>
        <row r="39">
          <cell r="C39">
            <v>350123035</v>
          </cell>
          <cell r="D39">
            <v>0</v>
          </cell>
          <cell r="E39">
            <v>71</v>
          </cell>
          <cell r="F39" t="str">
            <v>0,5</v>
          </cell>
          <cell r="G39">
            <v>0</v>
          </cell>
          <cell r="H39">
            <v>13</v>
          </cell>
          <cell r="I39">
            <v>0</v>
          </cell>
          <cell r="J39">
            <v>1</v>
          </cell>
          <cell r="K39" t="str">
            <v>0,5</v>
          </cell>
          <cell r="L39">
            <v>0</v>
          </cell>
          <cell r="M39">
            <v>0</v>
          </cell>
          <cell r="N39">
            <v>0</v>
          </cell>
          <cell r="O39">
            <v>3</v>
          </cell>
          <cell r="P39">
            <v>0</v>
          </cell>
          <cell r="Q39">
            <v>0</v>
          </cell>
          <cell r="R39">
            <v>1</v>
          </cell>
          <cell r="S39">
            <v>0</v>
          </cell>
          <cell r="T39">
            <v>0</v>
          </cell>
          <cell r="U39">
            <v>11</v>
          </cell>
          <cell r="V39">
            <v>3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26</v>
          </cell>
          <cell r="AC39">
            <v>0</v>
          </cell>
          <cell r="AD39">
            <v>0</v>
          </cell>
          <cell r="AE39">
            <v>0</v>
          </cell>
          <cell r="AF39">
            <v>27</v>
          </cell>
          <cell r="AG39">
            <v>53</v>
          </cell>
          <cell r="AH39"/>
          <cell r="AI39">
            <v>209</v>
          </cell>
          <cell r="AJ39">
            <v>71</v>
          </cell>
          <cell r="AK39">
            <v>10</v>
          </cell>
        </row>
        <row r="40">
          <cell r="C40">
            <v>350123034</v>
          </cell>
          <cell r="D40">
            <v>0</v>
          </cell>
          <cell r="E40">
            <v>20</v>
          </cell>
          <cell r="F40">
            <v>0</v>
          </cell>
          <cell r="G40">
            <v>0</v>
          </cell>
          <cell r="H40">
            <v>0</v>
          </cell>
          <cell r="I40">
            <v>5</v>
          </cell>
          <cell r="J40">
            <v>0</v>
          </cell>
          <cell r="K40">
            <v>5</v>
          </cell>
          <cell r="L40">
            <v>0</v>
          </cell>
          <cell r="M40">
            <v>0</v>
          </cell>
          <cell r="N40">
            <v>3</v>
          </cell>
          <cell r="O40">
            <v>7</v>
          </cell>
          <cell r="P40">
            <v>0</v>
          </cell>
          <cell r="Q40">
            <v>0</v>
          </cell>
          <cell r="R40">
            <v>29</v>
          </cell>
          <cell r="S40">
            <v>0</v>
          </cell>
          <cell r="T40">
            <v>0</v>
          </cell>
          <cell r="U40">
            <v>0</v>
          </cell>
          <cell r="V40">
            <v>80</v>
          </cell>
          <cell r="W40">
            <v>2</v>
          </cell>
          <cell r="X40">
            <v>1</v>
          </cell>
          <cell r="Y40">
            <v>2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5</v>
          </cell>
          <cell r="AF40">
            <v>17</v>
          </cell>
          <cell r="AG40">
            <v>28</v>
          </cell>
          <cell r="AH40"/>
          <cell r="AI40">
            <v>204</v>
          </cell>
          <cell r="AJ40">
            <v>80</v>
          </cell>
          <cell r="AK40">
            <v>13</v>
          </cell>
        </row>
        <row r="41">
          <cell r="C41">
            <v>350123033</v>
          </cell>
          <cell r="D41">
            <v>0</v>
          </cell>
          <cell r="E41">
            <v>2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55</v>
          </cell>
          <cell r="P41">
            <v>19</v>
          </cell>
          <cell r="Q41">
            <v>0</v>
          </cell>
          <cell r="R41">
            <v>20</v>
          </cell>
          <cell r="S41">
            <v>0</v>
          </cell>
          <cell r="T41">
            <v>0</v>
          </cell>
          <cell r="U41">
            <v>15</v>
          </cell>
          <cell r="V41">
            <v>22</v>
          </cell>
          <cell r="W41">
            <v>0</v>
          </cell>
          <cell r="X41">
            <v>0</v>
          </cell>
          <cell r="Y41">
            <v>14.5</v>
          </cell>
          <cell r="Z41">
            <v>19</v>
          </cell>
          <cell r="AA41">
            <v>47</v>
          </cell>
          <cell r="AB41">
            <v>41</v>
          </cell>
          <cell r="AC41">
            <v>0</v>
          </cell>
          <cell r="AD41">
            <v>0</v>
          </cell>
          <cell r="AE41">
            <v>0</v>
          </cell>
          <cell r="AF41">
            <v>15</v>
          </cell>
          <cell r="AG41">
            <v>38</v>
          </cell>
          <cell r="AH41"/>
          <cell r="AI41">
            <v>307.5</v>
          </cell>
          <cell r="AJ41">
            <v>55</v>
          </cell>
          <cell r="AK41">
            <v>12</v>
          </cell>
        </row>
        <row r="42">
          <cell r="C42">
            <v>350123032</v>
          </cell>
          <cell r="D42">
            <v>0</v>
          </cell>
          <cell r="E42">
            <v>111</v>
          </cell>
          <cell r="F42">
            <v>0</v>
          </cell>
          <cell r="G42">
            <v>0</v>
          </cell>
          <cell r="H42">
            <v>20</v>
          </cell>
          <cell r="I42">
            <v>0</v>
          </cell>
          <cell r="J42">
            <v>0</v>
          </cell>
          <cell r="K42">
            <v>47</v>
          </cell>
          <cell r="L42">
            <v>0</v>
          </cell>
          <cell r="M42">
            <v>0</v>
          </cell>
          <cell r="N42">
            <v>69</v>
          </cell>
          <cell r="O42">
            <v>33</v>
          </cell>
          <cell r="P42">
            <v>0</v>
          </cell>
          <cell r="Q42">
            <v>0</v>
          </cell>
          <cell r="R42">
            <v>63</v>
          </cell>
          <cell r="S42">
            <v>0</v>
          </cell>
          <cell r="T42">
            <v>0</v>
          </cell>
          <cell r="U42">
            <v>15</v>
          </cell>
          <cell r="V42">
            <v>15</v>
          </cell>
          <cell r="W42">
            <v>0</v>
          </cell>
          <cell r="X42">
            <v>17</v>
          </cell>
          <cell r="Y42">
            <v>0</v>
          </cell>
          <cell r="Z42">
            <v>0</v>
          </cell>
          <cell r="AA42">
            <v>0</v>
          </cell>
          <cell r="AB42">
            <v>35</v>
          </cell>
          <cell r="AC42">
            <v>0</v>
          </cell>
          <cell r="AD42">
            <v>6</v>
          </cell>
          <cell r="AE42">
            <v>0</v>
          </cell>
          <cell r="AF42">
            <v>63</v>
          </cell>
          <cell r="AG42">
            <v>19</v>
          </cell>
          <cell r="AH42"/>
          <cell r="AI42">
            <v>513</v>
          </cell>
          <cell r="AJ42">
            <v>111</v>
          </cell>
          <cell r="AK42">
            <v>13</v>
          </cell>
        </row>
        <row r="43">
          <cell r="C43">
            <v>350123031</v>
          </cell>
          <cell r="D43">
            <v>0</v>
          </cell>
          <cell r="E43">
            <v>14</v>
          </cell>
          <cell r="F43">
            <v>2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4</v>
          </cell>
          <cell r="L43">
            <v>0</v>
          </cell>
          <cell r="M43">
            <v>0</v>
          </cell>
          <cell r="N43">
            <v>3</v>
          </cell>
          <cell r="O43">
            <v>16</v>
          </cell>
          <cell r="P43">
            <v>14</v>
          </cell>
          <cell r="Q43">
            <v>38</v>
          </cell>
          <cell r="R43">
            <v>5</v>
          </cell>
          <cell r="S43">
            <v>0</v>
          </cell>
          <cell r="T43">
            <v>0</v>
          </cell>
          <cell r="U43">
            <v>17</v>
          </cell>
          <cell r="V43">
            <v>15</v>
          </cell>
          <cell r="W43">
            <v>2</v>
          </cell>
          <cell r="X43">
            <v>8</v>
          </cell>
          <cell r="Y43">
            <v>0</v>
          </cell>
          <cell r="Z43">
            <v>43</v>
          </cell>
          <cell r="AA43">
            <v>0</v>
          </cell>
          <cell r="AB43">
            <v>23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20</v>
          </cell>
          <cell r="AH43"/>
          <cell r="AI43">
            <v>224</v>
          </cell>
          <cell r="AJ43">
            <v>43</v>
          </cell>
          <cell r="AK43">
            <v>15</v>
          </cell>
        </row>
        <row r="44">
          <cell r="C44">
            <v>350123030</v>
          </cell>
          <cell r="D44">
            <v>0</v>
          </cell>
          <cell r="E44">
            <v>29</v>
          </cell>
          <cell r="F44">
            <v>11</v>
          </cell>
          <cell r="G44">
            <v>0</v>
          </cell>
          <cell r="H44">
            <v>7</v>
          </cell>
          <cell r="I44">
            <v>53</v>
          </cell>
          <cell r="J44">
            <v>23</v>
          </cell>
          <cell r="K44">
            <v>7</v>
          </cell>
          <cell r="L44">
            <v>0</v>
          </cell>
          <cell r="M44">
            <v>24</v>
          </cell>
          <cell r="N44">
            <v>0</v>
          </cell>
          <cell r="O44">
            <v>3</v>
          </cell>
          <cell r="P44">
            <v>0</v>
          </cell>
          <cell r="Q44">
            <v>0</v>
          </cell>
          <cell r="R44">
            <v>14</v>
          </cell>
          <cell r="S44">
            <v>0</v>
          </cell>
          <cell r="T44">
            <v>0</v>
          </cell>
          <cell r="U44">
            <v>12</v>
          </cell>
          <cell r="V44">
            <v>0</v>
          </cell>
          <cell r="W44">
            <v>0</v>
          </cell>
          <cell r="X44">
            <v>17</v>
          </cell>
          <cell r="Y44">
            <v>23</v>
          </cell>
          <cell r="Z44">
            <v>25</v>
          </cell>
          <cell r="AA44">
            <v>0</v>
          </cell>
          <cell r="AB44">
            <v>31</v>
          </cell>
          <cell r="AC44">
            <v>0</v>
          </cell>
          <cell r="AD44">
            <v>0</v>
          </cell>
          <cell r="AE44">
            <v>3</v>
          </cell>
          <cell r="AF44">
            <v>2</v>
          </cell>
          <cell r="AG44">
            <v>54</v>
          </cell>
          <cell r="AH44"/>
          <cell r="AI44">
            <v>338</v>
          </cell>
          <cell r="AJ44">
            <v>54</v>
          </cell>
          <cell r="AK44">
            <v>17</v>
          </cell>
        </row>
        <row r="45">
          <cell r="C45">
            <v>350123029</v>
          </cell>
          <cell r="D45">
            <v>0</v>
          </cell>
          <cell r="E45">
            <v>3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9</v>
          </cell>
          <cell r="L45">
            <v>0</v>
          </cell>
          <cell r="M45">
            <v>0</v>
          </cell>
          <cell r="N45">
            <v>0</v>
          </cell>
          <cell r="O45">
            <v>2</v>
          </cell>
          <cell r="P45">
            <v>1</v>
          </cell>
          <cell r="Q45">
            <v>3</v>
          </cell>
          <cell r="R45">
            <v>3</v>
          </cell>
          <cell r="S45">
            <v>0</v>
          </cell>
          <cell r="T45">
            <v>0</v>
          </cell>
          <cell r="U45">
            <v>3</v>
          </cell>
          <cell r="V45">
            <v>46</v>
          </cell>
          <cell r="W45">
            <v>0</v>
          </cell>
          <cell r="X45">
            <v>7</v>
          </cell>
          <cell r="Y45">
            <v>0</v>
          </cell>
          <cell r="Z45">
            <v>0</v>
          </cell>
          <cell r="AA45">
            <v>0</v>
          </cell>
          <cell r="AB45">
            <v>5</v>
          </cell>
          <cell r="AC45">
            <v>0</v>
          </cell>
          <cell r="AD45">
            <v>5</v>
          </cell>
          <cell r="AE45">
            <v>0</v>
          </cell>
          <cell r="AF45">
            <v>32</v>
          </cell>
          <cell r="AG45">
            <v>34</v>
          </cell>
          <cell r="AH45"/>
          <cell r="AI45">
            <v>153</v>
          </cell>
          <cell r="AJ45">
            <v>46</v>
          </cell>
          <cell r="AK45">
            <v>13</v>
          </cell>
        </row>
        <row r="46">
          <cell r="C46">
            <v>350123028</v>
          </cell>
          <cell r="D46">
            <v>0</v>
          </cell>
          <cell r="E46">
            <v>21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4</v>
          </cell>
          <cell r="K46">
            <v>0</v>
          </cell>
          <cell r="L46">
            <v>0</v>
          </cell>
          <cell r="M46">
            <v>0</v>
          </cell>
          <cell r="N46">
            <v>1</v>
          </cell>
          <cell r="O46">
            <v>4</v>
          </cell>
          <cell r="P46">
            <v>0</v>
          </cell>
          <cell r="Q46">
            <v>1</v>
          </cell>
          <cell r="R46">
            <v>19</v>
          </cell>
          <cell r="S46">
            <v>5</v>
          </cell>
          <cell r="T46">
            <v>1</v>
          </cell>
          <cell r="U46">
            <v>26</v>
          </cell>
          <cell r="V46">
            <v>24</v>
          </cell>
          <cell r="W46">
            <v>1</v>
          </cell>
          <cell r="X46">
            <v>3</v>
          </cell>
          <cell r="Y46">
            <v>1</v>
          </cell>
          <cell r="Z46">
            <v>0</v>
          </cell>
          <cell r="AA46">
            <v>1</v>
          </cell>
          <cell r="AB46">
            <v>2</v>
          </cell>
          <cell r="AC46">
            <v>0</v>
          </cell>
          <cell r="AD46">
            <v>1</v>
          </cell>
          <cell r="AE46">
            <v>0</v>
          </cell>
          <cell r="AF46">
            <v>3</v>
          </cell>
          <cell r="AG46">
            <v>38</v>
          </cell>
          <cell r="AH46"/>
          <cell r="AI46">
            <v>156</v>
          </cell>
          <cell r="AJ46">
            <v>38</v>
          </cell>
          <cell r="AK46">
            <v>18</v>
          </cell>
        </row>
        <row r="47">
          <cell r="C47">
            <v>350123027</v>
          </cell>
          <cell r="D47">
            <v>0</v>
          </cell>
          <cell r="E47">
            <v>36</v>
          </cell>
          <cell r="F47">
            <v>0</v>
          </cell>
          <cell r="G47">
            <v>0</v>
          </cell>
          <cell r="H47">
            <v>21</v>
          </cell>
          <cell r="I47">
            <v>0</v>
          </cell>
          <cell r="J47">
            <v>43</v>
          </cell>
          <cell r="K47">
            <v>0</v>
          </cell>
          <cell r="L47">
            <v>0</v>
          </cell>
          <cell r="M47">
            <v>26</v>
          </cell>
          <cell r="N47">
            <v>54</v>
          </cell>
          <cell r="O47">
            <v>67</v>
          </cell>
          <cell r="P47">
            <v>3</v>
          </cell>
          <cell r="Q47">
            <v>4</v>
          </cell>
          <cell r="R47">
            <v>9</v>
          </cell>
          <cell r="S47">
            <v>0</v>
          </cell>
          <cell r="T47">
            <v>0</v>
          </cell>
          <cell r="U47">
            <v>6</v>
          </cell>
          <cell r="V47">
            <v>11</v>
          </cell>
          <cell r="W47">
            <v>2</v>
          </cell>
          <cell r="X47">
            <v>38</v>
          </cell>
          <cell r="Y47">
            <v>0</v>
          </cell>
          <cell r="Z47">
            <v>13</v>
          </cell>
          <cell r="AA47">
            <v>0</v>
          </cell>
          <cell r="AB47">
            <v>38</v>
          </cell>
          <cell r="AC47">
            <v>0</v>
          </cell>
          <cell r="AD47">
            <v>18</v>
          </cell>
          <cell r="AE47">
            <v>2</v>
          </cell>
          <cell r="AF47">
            <v>12</v>
          </cell>
          <cell r="AG47">
            <v>211</v>
          </cell>
          <cell r="AH47"/>
          <cell r="AI47">
            <v>614</v>
          </cell>
          <cell r="AJ47">
            <v>211</v>
          </cell>
          <cell r="AK47">
            <v>19</v>
          </cell>
        </row>
        <row r="48">
          <cell r="C48">
            <v>350123026</v>
          </cell>
          <cell r="D48">
            <v>0</v>
          </cell>
          <cell r="E48">
            <v>79</v>
          </cell>
          <cell r="F48">
            <v>0</v>
          </cell>
          <cell r="G48">
            <v>0</v>
          </cell>
          <cell r="H48">
            <v>11</v>
          </cell>
          <cell r="I48">
            <v>0</v>
          </cell>
          <cell r="J48">
            <v>0</v>
          </cell>
          <cell r="K48">
            <v>15</v>
          </cell>
          <cell r="L48">
            <v>0</v>
          </cell>
          <cell r="M48">
            <v>0</v>
          </cell>
          <cell r="N48">
            <v>28</v>
          </cell>
          <cell r="O48">
            <v>3</v>
          </cell>
          <cell r="P48">
            <v>0</v>
          </cell>
          <cell r="Q48">
            <v>0</v>
          </cell>
          <cell r="R48">
            <v>2</v>
          </cell>
          <cell r="S48">
            <v>0</v>
          </cell>
          <cell r="T48">
            <v>0</v>
          </cell>
          <cell r="U48">
            <v>26</v>
          </cell>
          <cell r="V48">
            <v>13</v>
          </cell>
          <cell r="W48">
            <v>0</v>
          </cell>
          <cell r="X48">
            <v>73</v>
          </cell>
          <cell r="Y48">
            <v>0</v>
          </cell>
          <cell r="Z48">
            <v>1</v>
          </cell>
          <cell r="AA48">
            <v>0</v>
          </cell>
          <cell r="AB48">
            <v>25</v>
          </cell>
          <cell r="AC48">
            <v>25</v>
          </cell>
          <cell r="AD48">
            <v>2</v>
          </cell>
          <cell r="AE48">
            <v>0</v>
          </cell>
          <cell r="AF48">
            <v>8</v>
          </cell>
          <cell r="AG48">
            <v>13</v>
          </cell>
          <cell r="AH48"/>
          <cell r="AI48">
            <v>324</v>
          </cell>
          <cell r="AJ48">
            <v>79</v>
          </cell>
          <cell r="AK48">
            <v>15</v>
          </cell>
        </row>
        <row r="49">
          <cell r="C49">
            <v>350123025</v>
          </cell>
          <cell r="D49">
            <v>0</v>
          </cell>
          <cell r="E49">
            <v>5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38</v>
          </cell>
          <cell r="K49">
            <v>0</v>
          </cell>
          <cell r="L49">
            <v>0</v>
          </cell>
          <cell r="M49">
            <v>0</v>
          </cell>
          <cell r="N49">
            <v>5</v>
          </cell>
          <cell r="O49">
            <v>36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52</v>
          </cell>
          <cell r="V49">
            <v>46</v>
          </cell>
          <cell r="W49">
            <v>0</v>
          </cell>
          <cell r="X49">
            <v>0</v>
          </cell>
          <cell r="Y49">
            <v>32</v>
          </cell>
          <cell r="Z49">
            <v>25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58</v>
          </cell>
          <cell r="AH49"/>
          <cell r="AI49">
            <v>297</v>
          </cell>
          <cell r="AJ49">
            <v>58</v>
          </cell>
          <cell r="AK49">
            <v>9</v>
          </cell>
        </row>
        <row r="50">
          <cell r="C50">
            <v>350123024</v>
          </cell>
          <cell r="D50">
            <v>0</v>
          </cell>
          <cell r="E50">
            <v>102</v>
          </cell>
          <cell r="F50">
            <v>0</v>
          </cell>
          <cell r="G50">
            <v>0</v>
          </cell>
          <cell r="H50">
            <v>24</v>
          </cell>
          <cell r="I50">
            <v>0</v>
          </cell>
          <cell r="J50">
            <v>2</v>
          </cell>
          <cell r="K50">
            <v>0</v>
          </cell>
          <cell r="L50">
            <v>0</v>
          </cell>
          <cell r="M50">
            <v>3</v>
          </cell>
          <cell r="N50">
            <v>38</v>
          </cell>
          <cell r="O50">
            <v>27</v>
          </cell>
          <cell r="P50">
            <v>17</v>
          </cell>
          <cell r="Q50">
            <v>0</v>
          </cell>
          <cell r="R50">
            <v>50</v>
          </cell>
          <cell r="S50">
            <v>0</v>
          </cell>
          <cell r="T50">
            <v>0</v>
          </cell>
          <cell r="U50">
            <v>26</v>
          </cell>
          <cell r="V50">
            <v>7</v>
          </cell>
          <cell r="W50">
            <v>0</v>
          </cell>
          <cell r="X50">
            <v>6</v>
          </cell>
          <cell r="Y50">
            <v>0</v>
          </cell>
          <cell r="Z50">
            <v>0</v>
          </cell>
          <cell r="AA50">
            <v>0</v>
          </cell>
          <cell r="AB50">
            <v>42</v>
          </cell>
          <cell r="AC50">
            <v>3</v>
          </cell>
          <cell r="AD50">
            <v>1</v>
          </cell>
          <cell r="AE50">
            <v>21</v>
          </cell>
          <cell r="AF50">
            <v>30</v>
          </cell>
          <cell r="AG50">
            <v>20</v>
          </cell>
          <cell r="AH50"/>
          <cell r="AI50">
            <v>419</v>
          </cell>
          <cell r="AJ50">
            <v>102</v>
          </cell>
          <cell r="AK50">
            <v>17</v>
          </cell>
        </row>
        <row r="51">
          <cell r="C51">
            <v>350123023</v>
          </cell>
          <cell r="D51">
            <v>0</v>
          </cell>
          <cell r="E51">
            <v>0</v>
          </cell>
          <cell r="F51">
            <v>9</v>
          </cell>
          <cell r="G51">
            <v>0</v>
          </cell>
          <cell r="H51">
            <v>42</v>
          </cell>
          <cell r="I51">
            <v>0</v>
          </cell>
          <cell r="J51">
            <v>15</v>
          </cell>
          <cell r="K51">
            <v>4</v>
          </cell>
          <cell r="L51">
            <v>0</v>
          </cell>
          <cell r="M51">
            <v>0</v>
          </cell>
          <cell r="N51">
            <v>0</v>
          </cell>
          <cell r="O51">
            <v>32</v>
          </cell>
          <cell r="P51">
            <v>0</v>
          </cell>
          <cell r="Q51">
            <v>4</v>
          </cell>
          <cell r="R51">
            <v>3</v>
          </cell>
          <cell r="S51">
            <v>0</v>
          </cell>
          <cell r="T51">
            <v>0</v>
          </cell>
          <cell r="U51">
            <v>0</v>
          </cell>
          <cell r="V51">
            <v>10</v>
          </cell>
          <cell r="W51">
            <v>0</v>
          </cell>
          <cell r="X51">
            <v>0</v>
          </cell>
          <cell r="Y51">
            <v>23</v>
          </cell>
          <cell r="Z51">
            <v>9</v>
          </cell>
          <cell r="AA51">
            <v>0</v>
          </cell>
          <cell r="AB51">
            <v>3</v>
          </cell>
          <cell r="AC51">
            <v>0</v>
          </cell>
          <cell r="AD51">
            <v>5</v>
          </cell>
          <cell r="AE51">
            <v>8</v>
          </cell>
          <cell r="AF51">
            <v>2</v>
          </cell>
          <cell r="AG51">
            <v>76</v>
          </cell>
          <cell r="AH51"/>
          <cell r="AI51">
            <v>245</v>
          </cell>
          <cell r="AJ51">
            <v>76</v>
          </cell>
          <cell r="AK51">
            <v>15</v>
          </cell>
        </row>
        <row r="52">
          <cell r="C52">
            <v>350123022</v>
          </cell>
          <cell r="D52">
            <v>0</v>
          </cell>
          <cell r="E52">
            <v>20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3</v>
          </cell>
          <cell r="L52">
            <v>0</v>
          </cell>
          <cell r="M52">
            <v>0</v>
          </cell>
          <cell r="N52">
            <v>1</v>
          </cell>
          <cell r="O52">
            <v>0</v>
          </cell>
          <cell r="P52">
            <v>3</v>
          </cell>
          <cell r="Q52">
            <v>0</v>
          </cell>
          <cell r="R52">
            <v>5</v>
          </cell>
          <cell r="S52">
            <v>5</v>
          </cell>
          <cell r="T52">
            <v>0</v>
          </cell>
          <cell r="U52">
            <v>3</v>
          </cell>
          <cell r="V52">
            <v>3</v>
          </cell>
          <cell r="W52">
            <v>0</v>
          </cell>
          <cell r="X52">
            <v>3</v>
          </cell>
          <cell r="Y52">
            <v>0</v>
          </cell>
          <cell r="Z52">
            <v>2</v>
          </cell>
          <cell r="AA52">
            <v>3</v>
          </cell>
          <cell r="AB52">
            <v>45</v>
          </cell>
          <cell r="AC52">
            <v>0</v>
          </cell>
          <cell r="AD52">
            <v>0</v>
          </cell>
          <cell r="AE52">
            <v>0</v>
          </cell>
          <cell r="AF52">
            <v>20</v>
          </cell>
          <cell r="AG52">
            <v>12</v>
          </cell>
          <cell r="AH52"/>
          <cell r="AI52">
            <v>128</v>
          </cell>
          <cell r="AJ52">
            <v>45</v>
          </cell>
          <cell r="AK52">
            <v>14</v>
          </cell>
        </row>
        <row r="53">
          <cell r="C53">
            <v>350123021</v>
          </cell>
          <cell r="D53">
            <v>0</v>
          </cell>
          <cell r="E53">
            <v>93</v>
          </cell>
          <cell r="F53">
            <v>0</v>
          </cell>
          <cell r="G53">
            <v>0</v>
          </cell>
          <cell r="H53">
            <v>42</v>
          </cell>
          <cell r="I53">
            <v>0</v>
          </cell>
          <cell r="J53">
            <v>23</v>
          </cell>
          <cell r="K53">
            <v>5</v>
          </cell>
          <cell r="L53">
            <v>0</v>
          </cell>
          <cell r="M53">
            <v>0</v>
          </cell>
          <cell r="N53">
            <v>35</v>
          </cell>
          <cell r="O53">
            <v>76</v>
          </cell>
          <cell r="P53">
            <v>28</v>
          </cell>
          <cell r="Q53">
            <v>0</v>
          </cell>
          <cell r="R53">
            <v>8</v>
          </cell>
          <cell r="S53">
            <v>3</v>
          </cell>
          <cell r="T53">
            <v>0</v>
          </cell>
          <cell r="U53">
            <v>14</v>
          </cell>
          <cell r="V53">
            <v>2</v>
          </cell>
          <cell r="W53">
            <v>0</v>
          </cell>
          <cell r="X53">
            <v>8</v>
          </cell>
          <cell r="Y53">
            <v>0</v>
          </cell>
          <cell r="Z53">
            <v>4</v>
          </cell>
          <cell r="AA53">
            <v>0</v>
          </cell>
          <cell r="AB53">
            <v>31</v>
          </cell>
          <cell r="AC53">
            <v>0</v>
          </cell>
          <cell r="AD53">
            <v>0</v>
          </cell>
          <cell r="AE53">
            <v>0</v>
          </cell>
          <cell r="AF53">
            <v>42</v>
          </cell>
          <cell r="AG53">
            <v>46</v>
          </cell>
          <cell r="AH53"/>
          <cell r="AI53">
            <v>460</v>
          </cell>
          <cell r="AJ53">
            <v>93</v>
          </cell>
          <cell r="AK53">
            <v>16</v>
          </cell>
        </row>
        <row r="54">
          <cell r="C54">
            <v>350123020</v>
          </cell>
          <cell r="D54">
            <v>0</v>
          </cell>
          <cell r="E54">
            <v>13</v>
          </cell>
          <cell r="F54">
            <v>13</v>
          </cell>
          <cell r="G54">
            <v>0</v>
          </cell>
          <cell r="H54">
            <v>8</v>
          </cell>
          <cell r="I54">
            <v>0</v>
          </cell>
          <cell r="J54">
            <v>33</v>
          </cell>
          <cell r="K54">
            <v>2</v>
          </cell>
          <cell r="L54">
            <v>0</v>
          </cell>
          <cell r="M54">
            <v>13</v>
          </cell>
          <cell r="N54">
            <v>4</v>
          </cell>
          <cell r="O54">
            <v>2</v>
          </cell>
          <cell r="P54">
            <v>0</v>
          </cell>
          <cell r="Q54">
            <v>1</v>
          </cell>
          <cell r="R54">
            <v>10</v>
          </cell>
          <cell r="S54">
            <v>0</v>
          </cell>
          <cell r="T54">
            <v>0</v>
          </cell>
          <cell r="U54">
            <v>12</v>
          </cell>
          <cell r="V54">
            <v>14</v>
          </cell>
          <cell r="W54">
            <v>0</v>
          </cell>
          <cell r="X54">
            <v>3</v>
          </cell>
          <cell r="Y54">
            <v>4</v>
          </cell>
          <cell r="Z54">
            <v>4</v>
          </cell>
          <cell r="AA54">
            <v>0</v>
          </cell>
          <cell r="AB54">
            <v>2</v>
          </cell>
          <cell r="AC54">
            <v>0</v>
          </cell>
          <cell r="AD54">
            <v>0</v>
          </cell>
          <cell r="AE54">
            <v>1</v>
          </cell>
          <cell r="AF54">
            <v>1</v>
          </cell>
          <cell r="AG54">
            <v>34</v>
          </cell>
          <cell r="AH54"/>
          <cell r="AI54">
            <v>174</v>
          </cell>
          <cell r="AJ54">
            <v>34</v>
          </cell>
          <cell r="AK54">
            <v>19</v>
          </cell>
        </row>
        <row r="55">
          <cell r="C55">
            <v>350123019</v>
          </cell>
          <cell r="D55">
            <v>0</v>
          </cell>
          <cell r="E55">
            <v>83</v>
          </cell>
          <cell r="F55">
            <v>37</v>
          </cell>
          <cell r="G55">
            <v>0</v>
          </cell>
          <cell r="H55">
            <v>39</v>
          </cell>
          <cell r="I55">
            <v>0</v>
          </cell>
          <cell r="J55">
            <v>5</v>
          </cell>
          <cell r="K55">
            <v>19</v>
          </cell>
          <cell r="L55">
            <v>0</v>
          </cell>
          <cell r="M55">
            <v>6</v>
          </cell>
          <cell r="N55">
            <v>37</v>
          </cell>
          <cell r="O55">
            <v>34</v>
          </cell>
          <cell r="P55">
            <v>0</v>
          </cell>
          <cell r="Q55">
            <v>0</v>
          </cell>
          <cell r="R55">
            <v>5</v>
          </cell>
          <cell r="S55">
            <v>0</v>
          </cell>
          <cell r="T55">
            <v>0</v>
          </cell>
          <cell r="U55">
            <v>20</v>
          </cell>
          <cell r="V55">
            <v>6</v>
          </cell>
          <cell r="W55">
            <v>0</v>
          </cell>
          <cell r="X55">
            <v>8</v>
          </cell>
          <cell r="Y55">
            <v>0</v>
          </cell>
          <cell r="Z55">
            <v>0</v>
          </cell>
          <cell r="AA55">
            <v>0</v>
          </cell>
          <cell r="AB55">
            <v>14</v>
          </cell>
          <cell r="AC55">
            <v>0</v>
          </cell>
          <cell r="AD55">
            <v>14</v>
          </cell>
          <cell r="AE55">
            <v>6</v>
          </cell>
          <cell r="AF55">
            <v>19</v>
          </cell>
          <cell r="AG55">
            <v>48</v>
          </cell>
          <cell r="AH55"/>
          <cell r="AI55">
            <v>400</v>
          </cell>
          <cell r="AJ55">
            <v>83</v>
          </cell>
          <cell r="AK55">
            <v>17</v>
          </cell>
        </row>
        <row r="56">
          <cell r="C56">
            <v>350123018</v>
          </cell>
          <cell r="D56">
            <v>0</v>
          </cell>
          <cell r="E56">
            <v>44</v>
          </cell>
          <cell r="F56">
            <v>7</v>
          </cell>
          <cell r="G56">
            <v>0</v>
          </cell>
          <cell r="H56">
            <v>11</v>
          </cell>
          <cell r="I56">
            <v>13</v>
          </cell>
          <cell r="J56">
            <v>83</v>
          </cell>
          <cell r="K56">
            <v>0</v>
          </cell>
          <cell r="L56">
            <v>0</v>
          </cell>
          <cell r="M56">
            <v>12</v>
          </cell>
          <cell r="N56">
            <v>61</v>
          </cell>
          <cell r="O56">
            <v>28</v>
          </cell>
          <cell r="P56">
            <v>1</v>
          </cell>
          <cell r="Q56">
            <v>0</v>
          </cell>
          <cell r="R56">
            <v>1</v>
          </cell>
          <cell r="S56">
            <v>0</v>
          </cell>
          <cell r="T56">
            <v>0</v>
          </cell>
          <cell r="U56">
            <v>5</v>
          </cell>
          <cell r="V56">
            <v>3</v>
          </cell>
          <cell r="W56">
            <v>0</v>
          </cell>
          <cell r="X56">
            <v>8</v>
          </cell>
          <cell r="Y56">
            <v>0</v>
          </cell>
          <cell r="Z56">
            <v>34</v>
          </cell>
          <cell r="AA56">
            <v>0</v>
          </cell>
          <cell r="AB56">
            <v>77</v>
          </cell>
          <cell r="AC56">
            <v>0</v>
          </cell>
          <cell r="AD56">
            <v>0</v>
          </cell>
          <cell r="AE56">
            <v>1</v>
          </cell>
          <cell r="AF56">
            <v>15</v>
          </cell>
          <cell r="AG56">
            <v>96</v>
          </cell>
          <cell r="AH56"/>
          <cell r="AI56">
            <v>500</v>
          </cell>
          <cell r="AJ56">
            <v>96</v>
          </cell>
          <cell r="AK56">
            <v>18</v>
          </cell>
        </row>
        <row r="57">
          <cell r="C57">
            <v>350123017</v>
          </cell>
          <cell r="D57">
            <v>0</v>
          </cell>
          <cell r="E57">
            <v>3</v>
          </cell>
          <cell r="F57">
            <v>0</v>
          </cell>
          <cell r="G57">
            <v>0</v>
          </cell>
          <cell r="H57">
            <v>8</v>
          </cell>
          <cell r="I57">
            <v>0</v>
          </cell>
          <cell r="J57">
            <v>4</v>
          </cell>
          <cell r="K57">
            <v>7</v>
          </cell>
          <cell r="L57">
            <v>0</v>
          </cell>
          <cell r="M57">
            <v>0</v>
          </cell>
          <cell r="N57">
            <v>16</v>
          </cell>
          <cell r="O57">
            <v>3</v>
          </cell>
          <cell r="P57">
            <v>0</v>
          </cell>
          <cell r="Q57">
            <v>13</v>
          </cell>
          <cell r="R57">
            <v>2</v>
          </cell>
          <cell r="S57">
            <v>0</v>
          </cell>
          <cell r="T57">
            <v>0</v>
          </cell>
          <cell r="U57">
            <v>15</v>
          </cell>
          <cell r="V57">
            <v>17</v>
          </cell>
          <cell r="W57">
            <v>8</v>
          </cell>
          <cell r="X57">
            <v>4</v>
          </cell>
          <cell r="Y57">
            <v>11</v>
          </cell>
          <cell r="Z57">
            <v>0</v>
          </cell>
          <cell r="AA57">
            <v>0</v>
          </cell>
          <cell r="AB57">
            <v>5</v>
          </cell>
          <cell r="AC57">
            <v>0</v>
          </cell>
          <cell r="AD57">
            <v>0</v>
          </cell>
          <cell r="AE57">
            <v>0</v>
          </cell>
          <cell r="AF57">
            <v>2</v>
          </cell>
          <cell r="AG57">
            <v>43</v>
          </cell>
          <cell r="AH57"/>
          <cell r="AI57">
            <v>161</v>
          </cell>
          <cell r="AJ57">
            <v>43</v>
          </cell>
          <cell r="AK57">
            <v>16</v>
          </cell>
        </row>
        <row r="58">
          <cell r="C58">
            <v>350123016</v>
          </cell>
          <cell r="D58">
            <v>0</v>
          </cell>
          <cell r="E58">
            <v>55</v>
          </cell>
          <cell r="F58">
            <v>0</v>
          </cell>
          <cell r="G58">
            <v>0</v>
          </cell>
          <cell r="H58">
            <v>11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6</v>
          </cell>
          <cell r="N58">
            <v>19</v>
          </cell>
          <cell r="O58">
            <v>2</v>
          </cell>
          <cell r="P58">
            <v>7</v>
          </cell>
          <cell r="Q58">
            <v>0</v>
          </cell>
          <cell r="R58">
            <v>1</v>
          </cell>
          <cell r="S58">
            <v>0</v>
          </cell>
          <cell r="T58">
            <v>0</v>
          </cell>
          <cell r="U58">
            <v>14</v>
          </cell>
          <cell r="V58">
            <v>2</v>
          </cell>
          <cell r="W58">
            <v>1</v>
          </cell>
          <cell r="X58">
            <v>10</v>
          </cell>
          <cell r="Y58">
            <v>0</v>
          </cell>
          <cell r="Z58">
            <v>0</v>
          </cell>
          <cell r="AA58">
            <v>0</v>
          </cell>
          <cell r="AB58">
            <v>26</v>
          </cell>
          <cell r="AC58">
            <v>0</v>
          </cell>
          <cell r="AD58">
            <v>0</v>
          </cell>
          <cell r="AE58">
            <v>1</v>
          </cell>
          <cell r="AF58">
            <v>23</v>
          </cell>
          <cell r="AG58">
            <v>34</v>
          </cell>
          <cell r="AH58"/>
          <cell r="AI58">
            <v>212</v>
          </cell>
          <cell r="AJ58">
            <v>55</v>
          </cell>
          <cell r="AK58">
            <v>15</v>
          </cell>
        </row>
        <row r="59">
          <cell r="C59">
            <v>350123015</v>
          </cell>
          <cell r="D59">
            <v>0</v>
          </cell>
          <cell r="E59">
            <v>5</v>
          </cell>
          <cell r="F59">
            <v>3</v>
          </cell>
          <cell r="G59">
            <v>0</v>
          </cell>
          <cell r="H59">
            <v>2</v>
          </cell>
          <cell r="I59">
            <v>0</v>
          </cell>
          <cell r="J59">
            <v>33</v>
          </cell>
          <cell r="K59">
            <v>0</v>
          </cell>
          <cell r="L59">
            <v>0</v>
          </cell>
          <cell r="M59">
            <v>11</v>
          </cell>
          <cell r="N59">
            <v>57</v>
          </cell>
          <cell r="O59">
            <v>7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2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19</v>
          </cell>
          <cell r="AA59">
            <v>0</v>
          </cell>
          <cell r="AB59">
            <v>28</v>
          </cell>
          <cell r="AC59">
            <v>0</v>
          </cell>
          <cell r="AD59">
            <v>0</v>
          </cell>
          <cell r="AE59">
            <v>0</v>
          </cell>
          <cell r="AF59">
            <v>11</v>
          </cell>
          <cell r="AG59">
            <v>58</v>
          </cell>
          <cell r="AH59"/>
          <cell r="AI59">
            <v>236</v>
          </cell>
          <cell r="AJ59">
            <v>58</v>
          </cell>
          <cell r="AK59">
            <v>12</v>
          </cell>
        </row>
        <row r="60">
          <cell r="C60">
            <v>350123014</v>
          </cell>
          <cell r="D60">
            <v>1</v>
          </cell>
          <cell r="E60">
            <v>0</v>
          </cell>
          <cell r="F60">
            <v>0</v>
          </cell>
          <cell r="G60">
            <v>18</v>
          </cell>
          <cell r="H60">
            <v>28</v>
          </cell>
          <cell r="I60">
            <v>32</v>
          </cell>
          <cell r="J60">
            <v>48</v>
          </cell>
          <cell r="K60">
            <v>0</v>
          </cell>
          <cell r="L60">
            <v>0</v>
          </cell>
          <cell r="M60">
            <v>24</v>
          </cell>
          <cell r="N60">
            <v>36</v>
          </cell>
          <cell r="O60">
            <v>22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18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26</v>
          </cell>
          <cell r="AB60">
            <v>38</v>
          </cell>
          <cell r="AC60">
            <v>0</v>
          </cell>
          <cell r="AD60">
            <v>0</v>
          </cell>
          <cell r="AE60">
            <v>8</v>
          </cell>
          <cell r="AF60">
            <v>26</v>
          </cell>
          <cell r="AG60">
            <v>42</v>
          </cell>
          <cell r="AH60"/>
          <cell r="AI60">
            <v>367</v>
          </cell>
          <cell r="AJ60">
            <v>48</v>
          </cell>
          <cell r="AK60">
            <v>14</v>
          </cell>
        </row>
        <row r="61">
          <cell r="C61">
            <v>350123013</v>
          </cell>
          <cell r="D61">
            <v>0</v>
          </cell>
          <cell r="E61">
            <v>18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6</v>
          </cell>
          <cell r="L61">
            <v>0</v>
          </cell>
          <cell r="M61">
            <v>0</v>
          </cell>
          <cell r="N61">
            <v>10</v>
          </cell>
          <cell r="O61">
            <v>3</v>
          </cell>
          <cell r="P61">
            <v>14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7</v>
          </cell>
          <cell r="V61">
            <v>15</v>
          </cell>
          <cell r="W61">
            <v>0</v>
          </cell>
          <cell r="X61">
            <v>13</v>
          </cell>
          <cell r="Y61">
            <v>0</v>
          </cell>
          <cell r="Z61">
            <v>35</v>
          </cell>
          <cell r="AA61">
            <v>0</v>
          </cell>
          <cell r="AB61">
            <v>63</v>
          </cell>
          <cell r="AC61">
            <v>0</v>
          </cell>
          <cell r="AD61">
            <v>0</v>
          </cell>
          <cell r="AE61">
            <v>0</v>
          </cell>
          <cell r="AF61">
            <v>6</v>
          </cell>
          <cell r="AG61">
            <v>33</v>
          </cell>
          <cell r="AH61"/>
          <cell r="AI61">
            <v>223</v>
          </cell>
          <cell r="AJ61">
            <v>63</v>
          </cell>
          <cell r="AK61">
            <v>12</v>
          </cell>
        </row>
        <row r="62">
          <cell r="C62">
            <v>350123012</v>
          </cell>
          <cell r="D62">
            <v>0</v>
          </cell>
          <cell r="E62">
            <v>3</v>
          </cell>
          <cell r="F62">
            <v>29</v>
          </cell>
          <cell r="G62">
            <v>0</v>
          </cell>
          <cell r="H62">
            <v>6</v>
          </cell>
          <cell r="I62">
            <v>0</v>
          </cell>
          <cell r="J62">
            <v>32</v>
          </cell>
          <cell r="K62">
            <v>3</v>
          </cell>
          <cell r="L62">
            <v>0</v>
          </cell>
          <cell r="M62">
            <v>0</v>
          </cell>
          <cell r="N62">
            <v>30</v>
          </cell>
          <cell r="O62">
            <v>6</v>
          </cell>
          <cell r="P62">
            <v>0</v>
          </cell>
          <cell r="Q62">
            <v>0</v>
          </cell>
          <cell r="R62">
            <v>14</v>
          </cell>
          <cell r="S62">
            <v>0</v>
          </cell>
          <cell r="T62">
            <v>0</v>
          </cell>
          <cell r="U62">
            <v>16</v>
          </cell>
          <cell r="V62">
            <v>19</v>
          </cell>
          <cell r="W62">
            <v>0</v>
          </cell>
          <cell r="X62">
            <v>8</v>
          </cell>
          <cell r="Y62">
            <v>0</v>
          </cell>
          <cell r="Z62">
            <v>2</v>
          </cell>
          <cell r="AA62">
            <v>0</v>
          </cell>
          <cell r="AB62">
            <v>9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42</v>
          </cell>
          <cell r="AH62"/>
          <cell r="AI62">
            <v>219</v>
          </cell>
          <cell r="AJ62">
            <v>42</v>
          </cell>
          <cell r="AK62">
            <v>14</v>
          </cell>
        </row>
        <row r="63">
          <cell r="C63">
            <v>350123011</v>
          </cell>
          <cell r="D63">
            <v>0</v>
          </cell>
          <cell r="E63">
            <v>2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5</v>
          </cell>
          <cell r="K63">
            <v>0</v>
          </cell>
          <cell r="L63">
            <v>0</v>
          </cell>
          <cell r="M63">
            <v>0</v>
          </cell>
          <cell r="N63">
            <v>2</v>
          </cell>
          <cell r="O63">
            <v>14</v>
          </cell>
          <cell r="P63">
            <v>3</v>
          </cell>
          <cell r="Q63">
            <v>13</v>
          </cell>
          <cell r="R63">
            <v>37</v>
          </cell>
          <cell r="S63">
            <v>0</v>
          </cell>
          <cell r="T63">
            <v>0</v>
          </cell>
          <cell r="U63">
            <v>0</v>
          </cell>
          <cell r="V63">
            <v>25</v>
          </cell>
          <cell r="W63">
            <v>0</v>
          </cell>
          <cell r="X63">
            <v>7</v>
          </cell>
          <cell r="Y63">
            <v>6</v>
          </cell>
          <cell r="Z63">
            <v>0</v>
          </cell>
          <cell r="AA63">
            <v>0</v>
          </cell>
          <cell r="AB63">
            <v>18</v>
          </cell>
          <cell r="AC63">
            <v>0</v>
          </cell>
          <cell r="AD63">
            <v>5</v>
          </cell>
          <cell r="AE63">
            <v>0</v>
          </cell>
          <cell r="AF63">
            <v>5</v>
          </cell>
          <cell r="AG63">
            <v>25</v>
          </cell>
          <cell r="AH63"/>
          <cell r="AI63">
            <v>167</v>
          </cell>
          <cell r="AJ63">
            <v>37</v>
          </cell>
          <cell r="AK63">
            <v>14</v>
          </cell>
        </row>
        <row r="64">
          <cell r="C64">
            <v>350123010</v>
          </cell>
          <cell r="D64">
            <v>0</v>
          </cell>
          <cell r="E64">
            <v>31</v>
          </cell>
          <cell r="F64">
            <v>0</v>
          </cell>
          <cell r="G64">
            <v>0</v>
          </cell>
          <cell r="H64">
            <v>6</v>
          </cell>
          <cell r="I64">
            <v>14</v>
          </cell>
          <cell r="J64">
            <v>34</v>
          </cell>
          <cell r="K64">
            <v>0</v>
          </cell>
          <cell r="L64">
            <v>0</v>
          </cell>
          <cell r="M64">
            <v>13</v>
          </cell>
          <cell r="N64">
            <v>28</v>
          </cell>
          <cell r="O64">
            <v>19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2</v>
          </cell>
          <cell r="V64">
            <v>0</v>
          </cell>
          <cell r="W64">
            <v>2</v>
          </cell>
          <cell r="X64">
            <v>10</v>
          </cell>
          <cell r="Y64">
            <v>0</v>
          </cell>
          <cell r="Z64">
            <v>42</v>
          </cell>
          <cell r="AA64">
            <v>0</v>
          </cell>
          <cell r="AB64">
            <v>51</v>
          </cell>
          <cell r="AC64">
            <v>0</v>
          </cell>
          <cell r="AD64">
            <v>6</v>
          </cell>
          <cell r="AE64">
            <v>0</v>
          </cell>
          <cell r="AF64">
            <v>8</v>
          </cell>
          <cell r="AG64">
            <v>101</v>
          </cell>
          <cell r="AH64"/>
          <cell r="AI64">
            <v>367</v>
          </cell>
          <cell r="AJ64">
            <v>101</v>
          </cell>
          <cell r="AK64">
            <v>15</v>
          </cell>
        </row>
        <row r="65">
          <cell r="C65">
            <v>350123009</v>
          </cell>
          <cell r="D65">
            <v>17.5</v>
          </cell>
          <cell r="E65">
            <v>17</v>
          </cell>
          <cell r="F65">
            <v>27</v>
          </cell>
          <cell r="G65">
            <v>0</v>
          </cell>
          <cell r="H65">
            <v>18</v>
          </cell>
          <cell r="I65" t="str">
            <v>3,5</v>
          </cell>
          <cell r="J65">
            <v>16</v>
          </cell>
          <cell r="K65">
            <v>0</v>
          </cell>
          <cell r="L65">
            <v>0</v>
          </cell>
          <cell r="M65">
            <v>7</v>
          </cell>
          <cell r="N65">
            <v>42</v>
          </cell>
          <cell r="O65">
            <v>27</v>
          </cell>
          <cell r="P65">
            <v>17</v>
          </cell>
          <cell r="Q65">
            <v>37</v>
          </cell>
          <cell r="R65">
            <v>0</v>
          </cell>
          <cell r="S65">
            <v>2</v>
          </cell>
          <cell r="T65">
            <v>0</v>
          </cell>
          <cell r="U65">
            <v>5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15.5</v>
          </cell>
          <cell r="AB65">
            <v>25</v>
          </cell>
          <cell r="AC65">
            <v>0</v>
          </cell>
          <cell r="AD65">
            <v>0</v>
          </cell>
          <cell r="AE65">
            <v>2</v>
          </cell>
          <cell r="AF65">
            <v>3</v>
          </cell>
          <cell r="AG65">
            <v>82</v>
          </cell>
          <cell r="AH65"/>
          <cell r="AI65">
            <v>360</v>
          </cell>
          <cell r="AJ65">
            <v>82</v>
          </cell>
          <cell r="AK65">
            <v>17</v>
          </cell>
        </row>
        <row r="66">
          <cell r="C66">
            <v>350123008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19</v>
          </cell>
          <cell r="I66">
            <v>0</v>
          </cell>
          <cell r="J66">
            <v>12</v>
          </cell>
          <cell r="K66">
            <v>4</v>
          </cell>
          <cell r="L66">
            <v>0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13</v>
          </cell>
          <cell r="V66">
            <v>10</v>
          </cell>
          <cell r="W66">
            <v>0</v>
          </cell>
          <cell r="X66">
            <v>6</v>
          </cell>
          <cell r="Y66">
            <v>14</v>
          </cell>
          <cell r="Z66">
            <v>0</v>
          </cell>
          <cell r="AA66">
            <v>0</v>
          </cell>
          <cell r="AB66">
            <v>25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56</v>
          </cell>
          <cell r="AH66"/>
          <cell r="AI66">
            <v>161</v>
          </cell>
          <cell r="AJ66">
            <v>56</v>
          </cell>
          <cell r="AK66">
            <v>10</v>
          </cell>
        </row>
        <row r="67">
          <cell r="C67">
            <v>350123007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5</v>
          </cell>
          <cell r="K67">
            <v>0</v>
          </cell>
          <cell r="L67">
            <v>0</v>
          </cell>
          <cell r="M67">
            <v>0</v>
          </cell>
          <cell r="N67">
            <v>4</v>
          </cell>
          <cell r="O67">
            <v>44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</v>
          </cell>
          <cell r="V67">
            <v>7</v>
          </cell>
          <cell r="W67">
            <v>0</v>
          </cell>
          <cell r="X67">
            <v>0</v>
          </cell>
          <cell r="Y67">
            <v>22</v>
          </cell>
          <cell r="Z67">
            <v>17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34</v>
          </cell>
          <cell r="AH67"/>
          <cell r="AI67">
            <v>150</v>
          </cell>
          <cell r="AJ67">
            <v>44</v>
          </cell>
          <cell r="AK67">
            <v>8</v>
          </cell>
        </row>
        <row r="68">
          <cell r="C68">
            <v>350123006</v>
          </cell>
          <cell r="D68">
            <v>0</v>
          </cell>
          <cell r="E68">
            <v>59</v>
          </cell>
          <cell r="F68">
            <v>5</v>
          </cell>
          <cell r="G68">
            <v>0</v>
          </cell>
          <cell r="H68">
            <v>24</v>
          </cell>
          <cell r="I68">
            <v>0</v>
          </cell>
          <cell r="J68">
            <v>16</v>
          </cell>
          <cell r="K68">
            <v>7</v>
          </cell>
          <cell r="L68">
            <v>0</v>
          </cell>
          <cell r="M68">
            <v>7</v>
          </cell>
          <cell r="N68">
            <v>47</v>
          </cell>
          <cell r="O68">
            <v>16</v>
          </cell>
          <cell r="P68">
            <v>0</v>
          </cell>
          <cell r="Q68">
            <v>0</v>
          </cell>
          <cell r="R68">
            <v>18</v>
          </cell>
          <cell r="S68">
            <v>0</v>
          </cell>
          <cell r="T68">
            <v>0</v>
          </cell>
          <cell r="U68">
            <v>10</v>
          </cell>
          <cell r="V68">
            <v>3</v>
          </cell>
          <cell r="W68">
            <v>0</v>
          </cell>
          <cell r="X68">
            <v>13</v>
          </cell>
          <cell r="Y68">
            <v>9</v>
          </cell>
          <cell r="Z68">
            <v>1</v>
          </cell>
          <cell r="AA68">
            <v>0</v>
          </cell>
          <cell r="AB68">
            <v>22</v>
          </cell>
          <cell r="AC68">
            <v>0</v>
          </cell>
          <cell r="AD68">
            <v>1</v>
          </cell>
          <cell r="AE68">
            <v>3</v>
          </cell>
          <cell r="AF68">
            <v>3</v>
          </cell>
          <cell r="AG68">
            <v>44</v>
          </cell>
          <cell r="AH68"/>
          <cell r="AI68">
            <v>308</v>
          </cell>
          <cell r="AJ68">
            <v>59</v>
          </cell>
          <cell r="AK68">
            <v>19</v>
          </cell>
        </row>
        <row r="69">
          <cell r="C69">
            <v>350123005</v>
          </cell>
          <cell r="D69">
            <v>0</v>
          </cell>
          <cell r="E69">
            <v>40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2</v>
          </cell>
          <cell r="K69">
            <v>0</v>
          </cell>
          <cell r="L69">
            <v>0</v>
          </cell>
          <cell r="M69">
            <v>0</v>
          </cell>
          <cell r="N69">
            <v>15</v>
          </cell>
          <cell r="O69">
            <v>31</v>
          </cell>
          <cell r="P69">
            <v>9</v>
          </cell>
          <cell r="Q69">
            <v>6</v>
          </cell>
          <cell r="R69">
            <v>12</v>
          </cell>
          <cell r="S69">
            <v>4</v>
          </cell>
          <cell r="T69">
            <v>0</v>
          </cell>
          <cell r="U69">
            <v>11</v>
          </cell>
          <cell r="V69">
            <v>24</v>
          </cell>
          <cell r="W69">
            <v>0</v>
          </cell>
          <cell r="X69">
            <v>14</v>
          </cell>
          <cell r="Y69">
            <v>31</v>
          </cell>
          <cell r="Z69">
            <v>24</v>
          </cell>
          <cell r="AA69">
            <v>43</v>
          </cell>
          <cell r="AB69">
            <v>18</v>
          </cell>
          <cell r="AC69">
            <v>0</v>
          </cell>
          <cell r="AD69">
            <v>0</v>
          </cell>
          <cell r="AE69">
            <v>0</v>
          </cell>
          <cell r="AF69">
            <v>29</v>
          </cell>
          <cell r="AG69">
            <v>25</v>
          </cell>
          <cell r="AH69"/>
          <cell r="AI69">
            <v>338</v>
          </cell>
          <cell r="AJ69">
            <v>43</v>
          </cell>
          <cell r="AK69">
            <v>17</v>
          </cell>
        </row>
        <row r="70">
          <cell r="C70">
            <v>350123004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1</v>
          </cell>
          <cell r="I70">
            <v>0</v>
          </cell>
          <cell r="J70">
            <v>0</v>
          </cell>
          <cell r="K70">
            <v>2</v>
          </cell>
          <cell r="L70">
            <v>0</v>
          </cell>
          <cell r="M70">
            <v>0</v>
          </cell>
          <cell r="N70">
            <v>0</v>
          </cell>
          <cell r="O70">
            <v>4</v>
          </cell>
          <cell r="P70">
            <v>0</v>
          </cell>
          <cell r="Q70">
            <v>0</v>
          </cell>
          <cell r="R70">
            <v>14</v>
          </cell>
          <cell r="S70">
            <v>0</v>
          </cell>
          <cell r="T70">
            <v>0</v>
          </cell>
          <cell r="U70">
            <v>8</v>
          </cell>
          <cell r="V70">
            <v>16</v>
          </cell>
          <cell r="W70">
            <v>0</v>
          </cell>
          <cell r="X70">
            <v>7</v>
          </cell>
          <cell r="Y70">
            <v>0</v>
          </cell>
          <cell r="Z70">
            <v>22</v>
          </cell>
          <cell r="AA70">
            <v>0</v>
          </cell>
          <cell r="AB70">
            <v>3</v>
          </cell>
          <cell r="AC70">
            <v>0</v>
          </cell>
          <cell r="AD70">
            <v>0</v>
          </cell>
          <cell r="AE70">
            <v>0</v>
          </cell>
          <cell r="AF70">
            <v>4</v>
          </cell>
          <cell r="AG70">
            <v>32</v>
          </cell>
          <cell r="AH70"/>
          <cell r="AI70">
            <v>113</v>
          </cell>
          <cell r="AJ70">
            <v>32</v>
          </cell>
          <cell r="AK70">
            <v>11</v>
          </cell>
        </row>
        <row r="71">
          <cell r="C71">
            <v>350123003</v>
          </cell>
          <cell r="D71">
            <v>0</v>
          </cell>
          <cell r="E71">
            <v>18</v>
          </cell>
          <cell r="F71">
            <v>4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2</v>
          </cell>
          <cell r="O71">
            <v>10</v>
          </cell>
          <cell r="P71">
            <v>0</v>
          </cell>
          <cell r="Q71">
            <v>0</v>
          </cell>
          <cell r="R71">
            <v>8</v>
          </cell>
          <cell r="S71">
            <v>0</v>
          </cell>
          <cell r="T71">
            <v>0</v>
          </cell>
          <cell r="U71">
            <v>10</v>
          </cell>
          <cell r="V71">
            <v>8</v>
          </cell>
          <cell r="W71">
            <v>0</v>
          </cell>
          <cell r="X71">
            <v>14</v>
          </cell>
          <cell r="Y71">
            <v>2</v>
          </cell>
          <cell r="Z71">
            <v>38</v>
          </cell>
          <cell r="AA71">
            <v>0</v>
          </cell>
          <cell r="AB71">
            <v>5</v>
          </cell>
          <cell r="AC71">
            <v>0</v>
          </cell>
          <cell r="AD71">
            <v>0</v>
          </cell>
          <cell r="AE71">
            <v>0</v>
          </cell>
          <cell r="AF71">
            <v>4</v>
          </cell>
          <cell r="AG71">
            <v>31</v>
          </cell>
          <cell r="AH71"/>
          <cell r="AI71">
            <v>155</v>
          </cell>
          <cell r="AJ71">
            <v>38</v>
          </cell>
          <cell r="AK71">
            <v>14</v>
          </cell>
        </row>
        <row r="72">
          <cell r="C72">
            <v>350123002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37</v>
          </cell>
          <cell r="K72">
            <v>0</v>
          </cell>
          <cell r="L72">
            <v>0</v>
          </cell>
          <cell r="M72">
            <v>0</v>
          </cell>
          <cell r="N72">
            <v>5</v>
          </cell>
          <cell r="O72">
            <v>23</v>
          </cell>
          <cell r="P72">
            <v>0</v>
          </cell>
          <cell r="Q72">
            <v>0</v>
          </cell>
          <cell r="R72">
            <v>6</v>
          </cell>
          <cell r="S72">
            <v>0</v>
          </cell>
          <cell r="T72">
            <v>0</v>
          </cell>
          <cell r="U72">
            <v>22</v>
          </cell>
          <cell r="V72">
            <v>17</v>
          </cell>
          <cell r="W72">
            <v>0</v>
          </cell>
          <cell r="X72">
            <v>0</v>
          </cell>
          <cell r="Y72">
            <v>17</v>
          </cell>
          <cell r="Z72">
            <v>3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</v>
          </cell>
          <cell r="AG72">
            <v>46</v>
          </cell>
          <cell r="AH72"/>
          <cell r="AI72">
            <v>179</v>
          </cell>
          <cell r="AJ72">
            <v>46</v>
          </cell>
          <cell r="AK72">
            <v>10</v>
          </cell>
        </row>
        <row r="73">
          <cell r="C73">
            <v>350123001</v>
          </cell>
          <cell r="D73">
            <v>13</v>
          </cell>
          <cell r="E73">
            <v>51</v>
          </cell>
          <cell r="F73">
            <v>0</v>
          </cell>
          <cell r="G73">
            <v>0</v>
          </cell>
          <cell r="H73">
            <v>0</v>
          </cell>
          <cell r="I73">
            <v>4</v>
          </cell>
          <cell r="J73">
            <v>37</v>
          </cell>
          <cell r="K73">
            <v>0</v>
          </cell>
          <cell r="L73">
            <v>0</v>
          </cell>
          <cell r="M73">
            <v>0</v>
          </cell>
          <cell r="N73">
            <v>68</v>
          </cell>
          <cell r="O73">
            <v>7</v>
          </cell>
          <cell r="P73">
            <v>17</v>
          </cell>
          <cell r="Q73">
            <v>3</v>
          </cell>
          <cell r="R73">
            <v>0</v>
          </cell>
          <cell r="S73">
            <v>35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26</v>
          </cell>
          <cell r="AA73">
            <v>2</v>
          </cell>
          <cell r="AB73">
            <v>39</v>
          </cell>
          <cell r="AC73">
            <v>0</v>
          </cell>
          <cell r="AD73">
            <v>0</v>
          </cell>
          <cell r="AE73">
            <v>8</v>
          </cell>
          <cell r="AF73">
            <v>33</v>
          </cell>
          <cell r="AG73">
            <v>91</v>
          </cell>
          <cell r="AH73"/>
          <cell r="AI73">
            <v>434</v>
          </cell>
          <cell r="AJ73">
            <v>91</v>
          </cell>
          <cell r="AK73">
            <v>15</v>
          </cell>
        </row>
        <row r="74">
          <cell r="C74">
            <v>350122031</v>
          </cell>
          <cell r="D74">
            <v>0</v>
          </cell>
          <cell r="E74">
            <v>115</v>
          </cell>
          <cell r="F74">
            <v>0</v>
          </cell>
          <cell r="G74">
            <v>0</v>
          </cell>
          <cell r="H74">
            <v>9</v>
          </cell>
          <cell r="I74">
            <v>0</v>
          </cell>
          <cell r="J74">
            <v>15</v>
          </cell>
          <cell r="K74">
            <v>0</v>
          </cell>
          <cell r="L74">
            <v>0</v>
          </cell>
          <cell r="M74">
            <v>3</v>
          </cell>
          <cell r="N74">
            <v>45</v>
          </cell>
          <cell r="O74">
            <v>38</v>
          </cell>
          <cell r="P74">
            <v>37</v>
          </cell>
          <cell r="Q74">
            <v>63</v>
          </cell>
          <cell r="R74">
            <v>5</v>
          </cell>
          <cell r="S74">
            <v>13</v>
          </cell>
          <cell r="T74">
            <v>0</v>
          </cell>
          <cell r="U74">
            <v>0</v>
          </cell>
          <cell r="V74">
            <v>16</v>
          </cell>
          <cell r="W74">
            <v>0</v>
          </cell>
          <cell r="X74">
            <v>15</v>
          </cell>
          <cell r="Y74">
            <v>0</v>
          </cell>
          <cell r="Z74">
            <v>0</v>
          </cell>
          <cell r="AA74">
            <v>11</v>
          </cell>
          <cell r="AB74">
            <v>37</v>
          </cell>
          <cell r="AC74">
            <v>0</v>
          </cell>
          <cell r="AD74">
            <v>5</v>
          </cell>
          <cell r="AE74">
            <v>0</v>
          </cell>
          <cell r="AF74">
            <v>47</v>
          </cell>
          <cell r="AG74">
            <v>49</v>
          </cell>
          <cell r="AH74"/>
          <cell r="AI74">
            <v>523</v>
          </cell>
          <cell r="AJ74">
            <v>115</v>
          </cell>
          <cell r="AK74">
            <v>17</v>
          </cell>
        </row>
        <row r="75">
          <cell r="C75">
            <v>350122030</v>
          </cell>
          <cell r="D75">
            <v>0</v>
          </cell>
          <cell r="E75">
            <v>69</v>
          </cell>
          <cell r="F75">
            <v>16</v>
          </cell>
          <cell r="G75">
            <v>0</v>
          </cell>
          <cell r="H75">
            <v>36</v>
          </cell>
          <cell r="I75">
            <v>10</v>
          </cell>
          <cell r="J75">
            <v>21</v>
          </cell>
          <cell r="K75">
            <v>21</v>
          </cell>
          <cell r="L75">
            <v>0</v>
          </cell>
          <cell r="M75">
            <v>0</v>
          </cell>
          <cell r="N75">
            <v>0</v>
          </cell>
          <cell r="O75">
            <v>63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35</v>
          </cell>
          <cell r="V75">
            <v>34</v>
          </cell>
          <cell r="W75">
            <v>0</v>
          </cell>
          <cell r="X75">
            <v>3</v>
          </cell>
          <cell r="Y75">
            <v>0</v>
          </cell>
          <cell r="Z75">
            <v>0</v>
          </cell>
          <cell r="AA75">
            <v>30</v>
          </cell>
          <cell r="AB75">
            <v>62</v>
          </cell>
          <cell r="AC75">
            <v>46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/>
          <cell r="AI75">
            <v>446</v>
          </cell>
          <cell r="AJ75">
            <v>69</v>
          </cell>
          <cell r="AK75">
            <v>13</v>
          </cell>
        </row>
        <row r="76">
          <cell r="C76">
            <v>350122029</v>
          </cell>
          <cell r="D76">
            <v>0</v>
          </cell>
          <cell r="E76">
            <v>50</v>
          </cell>
          <cell r="F76">
            <v>2</v>
          </cell>
          <cell r="G76">
            <v>0</v>
          </cell>
          <cell r="H76">
            <v>38</v>
          </cell>
          <cell r="I76">
            <v>0</v>
          </cell>
          <cell r="J76">
            <v>8</v>
          </cell>
          <cell r="K76">
            <v>40</v>
          </cell>
          <cell r="L76">
            <v>0</v>
          </cell>
          <cell r="M76">
            <v>25</v>
          </cell>
          <cell r="N76">
            <v>27</v>
          </cell>
          <cell r="O76">
            <v>27</v>
          </cell>
          <cell r="P76">
            <v>0</v>
          </cell>
          <cell r="Q76">
            <v>2</v>
          </cell>
          <cell r="R76">
            <v>2</v>
          </cell>
          <cell r="S76">
            <v>0</v>
          </cell>
          <cell r="T76">
            <v>3</v>
          </cell>
          <cell r="U76">
            <v>4</v>
          </cell>
          <cell r="V76">
            <v>37</v>
          </cell>
          <cell r="W76">
            <v>2</v>
          </cell>
          <cell r="X76">
            <v>8</v>
          </cell>
          <cell r="Y76">
            <v>0</v>
          </cell>
          <cell r="Z76">
            <v>0</v>
          </cell>
          <cell r="AA76">
            <v>2</v>
          </cell>
          <cell r="AB76">
            <v>32</v>
          </cell>
          <cell r="AC76">
            <v>48</v>
          </cell>
          <cell r="AD76">
            <v>7</v>
          </cell>
          <cell r="AE76">
            <v>8</v>
          </cell>
          <cell r="AF76">
            <v>5</v>
          </cell>
          <cell r="AG76">
            <v>6</v>
          </cell>
          <cell r="AH76"/>
          <cell r="AI76">
            <v>383</v>
          </cell>
          <cell r="AJ76">
            <v>50</v>
          </cell>
          <cell r="AK76">
            <v>22</v>
          </cell>
        </row>
        <row r="77">
          <cell r="C77">
            <v>350122028</v>
          </cell>
          <cell r="D77">
            <v>15</v>
          </cell>
          <cell r="E77">
            <v>30</v>
          </cell>
          <cell r="F77">
            <v>9</v>
          </cell>
          <cell r="G77">
            <v>0</v>
          </cell>
          <cell r="H77">
            <v>50</v>
          </cell>
          <cell r="I77">
            <v>0</v>
          </cell>
          <cell r="J77">
            <v>50</v>
          </cell>
          <cell r="K77">
            <v>25</v>
          </cell>
          <cell r="L77">
            <v>0</v>
          </cell>
          <cell r="M77">
            <v>77</v>
          </cell>
          <cell r="N77">
            <v>24</v>
          </cell>
          <cell r="O77">
            <v>60</v>
          </cell>
          <cell r="P77">
            <v>0</v>
          </cell>
          <cell r="Q77">
            <v>0</v>
          </cell>
          <cell r="R77">
            <v>0</v>
          </cell>
          <cell r="S77">
            <v>29</v>
          </cell>
          <cell r="T77">
            <v>0</v>
          </cell>
          <cell r="U77">
            <v>107</v>
          </cell>
          <cell r="V77">
            <v>53</v>
          </cell>
          <cell r="W77">
            <v>0</v>
          </cell>
          <cell r="X77">
            <v>7</v>
          </cell>
          <cell r="Y77">
            <v>0</v>
          </cell>
          <cell r="Z77">
            <v>0</v>
          </cell>
          <cell r="AA77">
            <v>0</v>
          </cell>
          <cell r="AB77">
            <v>115</v>
          </cell>
          <cell r="AC77">
            <v>9</v>
          </cell>
          <cell r="AD77">
            <v>0</v>
          </cell>
          <cell r="AE77">
            <v>0</v>
          </cell>
          <cell r="AF77">
            <v>8</v>
          </cell>
          <cell r="AG77">
            <v>3</v>
          </cell>
          <cell r="AH77"/>
          <cell r="AI77">
            <v>671</v>
          </cell>
          <cell r="AJ77">
            <v>115</v>
          </cell>
          <cell r="AK77">
            <v>17</v>
          </cell>
        </row>
        <row r="78">
          <cell r="C78">
            <v>350122027</v>
          </cell>
          <cell r="D78">
            <v>0</v>
          </cell>
          <cell r="E78">
            <v>99</v>
          </cell>
          <cell r="F78">
            <v>1</v>
          </cell>
          <cell r="G78">
            <v>0</v>
          </cell>
          <cell r="H78">
            <v>27</v>
          </cell>
          <cell r="I78">
            <v>0</v>
          </cell>
          <cell r="J78">
            <v>20</v>
          </cell>
          <cell r="K78">
            <v>13</v>
          </cell>
          <cell r="L78">
            <v>0</v>
          </cell>
          <cell r="M78">
            <v>4</v>
          </cell>
          <cell r="N78">
            <v>4.5</v>
          </cell>
          <cell r="O78">
            <v>78</v>
          </cell>
          <cell r="P78">
            <v>33.5</v>
          </cell>
          <cell r="Q78">
            <v>0</v>
          </cell>
          <cell r="R78">
            <v>20</v>
          </cell>
          <cell r="S78">
            <v>8</v>
          </cell>
          <cell r="T78">
            <v>0</v>
          </cell>
          <cell r="U78">
            <v>31</v>
          </cell>
          <cell r="V78">
            <v>0</v>
          </cell>
          <cell r="W78">
            <v>5</v>
          </cell>
          <cell r="X78">
            <v>31</v>
          </cell>
          <cell r="Y78">
            <v>0</v>
          </cell>
          <cell r="Z78">
            <v>1</v>
          </cell>
          <cell r="AA78">
            <v>0</v>
          </cell>
          <cell r="AB78">
            <v>81</v>
          </cell>
          <cell r="AC78">
            <v>0</v>
          </cell>
          <cell r="AD78">
            <v>14</v>
          </cell>
          <cell r="AE78">
            <v>0</v>
          </cell>
          <cell r="AF78">
            <v>11</v>
          </cell>
          <cell r="AG78">
            <v>49</v>
          </cell>
          <cell r="AH78"/>
          <cell r="AI78">
            <v>531</v>
          </cell>
          <cell r="AJ78">
            <v>99</v>
          </cell>
          <cell r="AK78">
            <v>19</v>
          </cell>
        </row>
        <row r="79">
          <cell r="C79">
            <v>350122026</v>
          </cell>
          <cell r="D79">
            <v>0</v>
          </cell>
          <cell r="E79">
            <v>17.5</v>
          </cell>
          <cell r="F79">
            <v>8</v>
          </cell>
          <cell r="G79">
            <v>0</v>
          </cell>
          <cell r="H79">
            <v>11</v>
          </cell>
          <cell r="I79">
            <v>0.5</v>
          </cell>
          <cell r="J79">
            <v>60</v>
          </cell>
          <cell r="K79">
            <v>3</v>
          </cell>
          <cell r="L79">
            <v>0</v>
          </cell>
          <cell r="M79">
            <v>34</v>
          </cell>
          <cell r="N79">
            <v>9</v>
          </cell>
          <cell r="O79">
            <v>34</v>
          </cell>
          <cell r="P79">
            <v>17.5</v>
          </cell>
          <cell r="Q79">
            <v>12</v>
          </cell>
          <cell r="R79">
            <v>24</v>
          </cell>
          <cell r="S79">
            <v>0</v>
          </cell>
          <cell r="T79">
            <v>0</v>
          </cell>
          <cell r="U79">
            <v>36</v>
          </cell>
          <cell r="V79">
            <v>34.5</v>
          </cell>
          <cell r="W79">
            <v>0</v>
          </cell>
          <cell r="X79">
            <v>46</v>
          </cell>
          <cell r="Y79">
            <v>0</v>
          </cell>
          <cell r="Z79">
            <v>0</v>
          </cell>
          <cell r="AA79">
            <v>16</v>
          </cell>
          <cell r="AB79">
            <v>73.5</v>
          </cell>
          <cell r="AC79">
            <v>40</v>
          </cell>
          <cell r="AD79">
            <v>57</v>
          </cell>
          <cell r="AE79">
            <v>0</v>
          </cell>
          <cell r="AF79">
            <v>0</v>
          </cell>
          <cell r="AG79">
            <v>1</v>
          </cell>
          <cell r="AH79"/>
          <cell r="AI79">
            <v>534.5</v>
          </cell>
          <cell r="AJ79">
            <v>73.5</v>
          </cell>
          <cell r="AK79">
            <v>20</v>
          </cell>
        </row>
        <row r="80">
          <cell r="C80">
            <v>350122025</v>
          </cell>
          <cell r="D80">
            <v>0</v>
          </cell>
          <cell r="E80">
            <v>112</v>
          </cell>
          <cell r="F80">
            <v>0</v>
          </cell>
          <cell r="G80">
            <v>0</v>
          </cell>
          <cell r="H80">
            <v>43</v>
          </cell>
          <cell r="I80">
            <v>0</v>
          </cell>
          <cell r="J80">
            <v>52</v>
          </cell>
          <cell r="K80">
            <v>49</v>
          </cell>
          <cell r="L80">
            <v>2</v>
          </cell>
          <cell r="M80">
            <v>0</v>
          </cell>
          <cell r="N80">
            <v>17</v>
          </cell>
          <cell r="O80">
            <v>7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12</v>
          </cell>
          <cell r="V80">
            <v>24</v>
          </cell>
          <cell r="W80">
            <v>10</v>
          </cell>
          <cell r="X80">
            <v>0</v>
          </cell>
          <cell r="Y80">
            <v>0</v>
          </cell>
          <cell r="Z80">
            <v>0</v>
          </cell>
          <cell r="AA80">
            <v>2</v>
          </cell>
          <cell r="AB80">
            <v>15</v>
          </cell>
          <cell r="AC80">
            <v>21</v>
          </cell>
          <cell r="AD80">
            <v>10</v>
          </cell>
          <cell r="AE80">
            <v>2</v>
          </cell>
          <cell r="AF80">
            <v>4</v>
          </cell>
          <cell r="AG80">
            <v>18</v>
          </cell>
          <cell r="AH80"/>
          <cell r="AI80">
            <v>400</v>
          </cell>
          <cell r="AJ80">
            <v>112</v>
          </cell>
          <cell r="AK80">
            <v>17</v>
          </cell>
        </row>
        <row r="81">
          <cell r="C81">
            <v>350122024</v>
          </cell>
          <cell r="D81">
            <v>0</v>
          </cell>
          <cell r="E81">
            <v>53</v>
          </cell>
          <cell r="F81">
            <v>1</v>
          </cell>
          <cell r="G81">
            <v>0</v>
          </cell>
          <cell r="H81">
            <v>16</v>
          </cell>
          <cell r="I81">
            <v>1</v>
          </cell>
          <cell r="J81">
            <v>50</v>
          </cell>
          <cell r="K81">
            <v>0</v>
          </cell>
          <cell r="L81">
            <v>0</v>
          </cell>
          <cell r="M81">
            <v>0</v>
          </cell>
          <cell r="N81">
            <v>47</v>
          </cell>
          <cell r="O81">
            <v>18</v>
          </cell>
          <cell r="P81">
            <v>1</v>
          </cell>
          <cell r="Q81">
            <v>2</v>
          </cell>
          <cell r="R81">
            <v>5</v>
          </cell>
          <cell r="S81">
            <v>8</v>
          </cell>
          <cell r="T81">
            <v>0</v>
          </cell>
          <cell r="U81">
            <v>29</v>
          </cell>
          <cell r="V81">
            <v>3</v>
          </cell>
          <cell r="W81">
            <v>1</v>
          </cell>
          <cell r="X81">
            <v>7</v>
          </cell>
          <cell r="Y81">
            <v>0</v>
          </cell>
          <cell r="Z81">
            <v>0</v>
          </cell>
          <cell r="AA81">
            <v>15</v>
          </cell>
          <cell r="AB81">
            <v>43</v>
          </cell>
          <cell r="AC81">
            <v>0</v>
          </cell>
          <cell r="AD81">
            <v>15</v>
          </cell>
          <cell r="AE81">
            <v>5</v>
          </cell>
          <cell r="AF81">
            <v>31</v>
          </cell>
          <cell r="AG81">
            <v>144</v>
          </cell>
          <cell r="AH81"/>
          <cell r="AI81">
            <v>495</v>
          </cell>
          <cell r="AJ81">
            <v>144</v>
          </cell>
          <cell r="AK81">
            <v>21</v>
          </cell>
        </row>
        <row r="82">
          <cell r="C82">
            <v>350122023</v>
          </cell>
          <cell r="D82">
            <v>0</v>
          </cell>
          <cell r="E82">
            <v>37.4</v>
          </cell>
          <cell r="F82">
            <v>54</v>
          </cell>
          <cell r="G82">
            <v>0</v>
          </cell>
          <cell r="H82">
            <v>2.8</v>
          </cell>
          <cell r="I82">
            <v>10.8</v>
          </cell>
          <cell r="J82">
            <v>4.2</v>
          </cell>
          <cell r="K82">
            <v>6</v>
          </cell>
          <cell r="L82">
            <v>0</v>
          </cell>
          <cell r="M82">
            <v>8.5</v>
          </cell>
          <cell r="N82">
            <v>5</v>
          </cell>
          <cell r="O82">
            <v>66</v>
          </cell>
          <cell r="P82">
            <v>0</v>
          </cell>
          <cell r="Q82">
            <v>8</v>
          </cell>
          <cell r="R82">
            <v>40.200000000000003</v>
          </cell>
          <cell r="S82">
            <v>0</v>
          </cell>
          <cell r="T82">
            <v>0</v>
          </cell>
          <cell r="U82">
            <v>23</v>
          </cell>
          <cell r="V82">
            <v>38</v>
          </cell>
          <cell r="W82">
            <v>0</v>
          </cell>
          <cell r="X82">
            <v>28</v>
          </cell>
          <cell r="Y82">
            <v>0</v>
          </cell>
          <cell r="Z82">
            <v>3</v>
          </cell>
          <cell r="AA82">
            <v>39.6</v>
          </cell>
          <cell r="AB82">
            <v>95</v>
          </cell>
          <cell r="AC82">
            <v>24</v>
          </cell>
          <cell r="AD82">
            <v>1</v>
          </cell>
          <cell r="AE82">
            <v>0</v>
          </cell>
          <cell r="AF82">
            <v>1.2</v>
          </cell>
          <cell r="AG82">
            <v>2</v>
          </cell>
          <cell r="AH82"/>
          <cell r="AI82">
            <v>497.7</v>
          </cell>
          <cell r="AJ82">
            <v>95</v>
          </cell>
          <cell r="AK82">
            <v>21</v>
          </cell>
        </row>
        <row r="83">
          <cell r="C83">
            <v>350122022</v>
          </cell>
          <cell r="D83">
            <v>0</v>
          </cell>
          <cell r="E83">
            <v>0</v>
          </cell>
          <cell r="F83">
            <v>10</v>
          </cell>
          <cell r="G83">
            <v>0</v>
          </cell>
          <cell r="H83">
            <v>14</v>
          </cell>
          <cell r="I83">
            <v>3</v>
          </cell>
          <cell r="J83">
            <v>41</v>
          </cell>
          <cell r="K83">
            <v>5</v>
          </cell>
          <cell r="L83">
            <v>0</v>
          </cell>
          <cell r="M83">
            <v>0</v>
          </cell>
          <cell r="N83">
            <v>2</v>
          </cell>
          <cell r="O83">
            <v>0</v>
          </cell>
          <cell r="P83">
            <v>1.5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40.5</v>
          </cell>
          <cell r="V83">
            <v>35</v>
          </cell>
          <cell r="W83">
            <v>0</v>
          </cell>
          <cell r="X83">
            <v>20</v>
          </cell>
          <cell r="Y83">
            <v>0</v>
          </cell>
          <cell r="Z83">
            <v>4</v>
          </cell>
          <cell r="AA83">
            <v>9</v>
          </cell>
          <cell r="AB83">
            <v>67</v>
          </cell>
          <cell r="AC83">
            <v>3</v>
          </cell>
          <cell r="AD83">
            <v>4</v>
          </cell>
          <cell r="AE83">
            <v>0</v>
          </cell>
          <cell r="AF83">
            <v>4</v>
          </cell>
          <cell r="AG83">
            <v>0</v>
          </cell>
          <cell r="AH83"/>
          <cell r="AI83">
            <v>263</v>
          </cell>
          <cell r="AJ83">
            <v>67</v>
          </cell>
          <cell r="AK83">
            <v>16</v>
          </cell>
        </row>
        <row r="84">
          <cell r="C84">
            <v>350122021</v>
          </cell>
          <cell r="D84">
            <v>0</v>
          </cell>
          <cell r="E84">
            <v>44</v>
          </cell>
          <cell r="F84">
            <v>2</v>
          </cell>
          <cell r="G84">
            <v>0</v>
          </cell>
          <cell r="H84">
            <v>6</v>
          </cell>
          <cell r="I84">
            <v>0</v>
          </cell>
          <cell r="J84">
            <v>64</v>
          </cell>
          <cell r="K84">
            <v>3</v>
          </cell>
          <cell r="L84">
            <v>0</v>
          </cell>
          <cell r="M84">
            <v>0</v>
          </cell>
          <cell r="N84">
            <v>63</v>
          </cell>
          <cell r="O84">
            <v>40.5</v>
          </cell>
          <cell r="P84">
            <v>3</v>
          </cell>
          <cell r="Q84">
            <v>3.5</v>
          </cell>
          <cell r="R84">
            <v>43</v>
          </cell>
          <cell r="S84">
            <v>0</v>
          </cell>
          <cell r="T84">
            <v>3.5</v>
          </cell>
          <cell r="U84">
            <v>21</v>
          </cell>
          <cell r="V84">
            <v>61</v>
          </cell>
          <cell r="W84">
            <v>0</v>
          </cell>
          <cell r="X84">
            <v>41</v>
          </cell>
          <cell r="Y84">
            <v>0</v>
          </cell>
          <cell r="Z84">
            <v>0</v>
          </cell>
          <cell r="AA84">
            <v>0</v>
          </cell>
          <cell r="AB84">
            <v>111</v>
          </cell>
          <cell r="AC84">
            <v>10</v>
          </cell>
          <cell r="AD84">
            <v>24.5</v>
          </cell>
          <cell r="AE84">
            <v>0</v>
          </cell>
          <cell r="AF84">
            <v>0</v>
          </cell>
          <cell r="AG84">
            <v>0</v>
          </cell>
          <cell r="AH84"/>
          <cell r="AI84">
            <v>544</v>
          </cell>
          <cell r="AJ84">
            <v>111</v>
          </cell>
          <cell r="AK84">
            <v>17</v>
          </cell>
        </row>
        <row r="85">
          <cell r="C85">
            <v>350122020</v>
          </cell>
          <cell r="D85">
            <v>0</v>
          </cell>
          <cell r="E85">
            <v>27</v>
          </cell>
          <cell r="F85">
            <v>41</v>
          </cell>
          <cell r="G85">
            <v>0</v>
          </cell>
          <cell r="H85">
            <v>11</v>
          </cell>
          <cell r="I85">
            <v>9</v>
          </cell>
          <cell r="J85">
            <v>11</v>
          </cell>
          <cell r="K85">
            <v>4</v>
          </cell>
          <cell r="L85">
            <v>0</v>
          </cell>
          <cell r="M85">
            <v>7</v>
          </cell>
          <cell r="N85">
            <v>6</v>
          </cell>
          <cell r="O85">
            <v>42</v>
          </cell>
          <cell r="P85">
            <v>0</v>
          </cell>
          <cell r="Q85">
            <v>6</v>
          </cell>
          <cell r="R85">
            <v>11</v>
          </cell>
          <cell r="S85">
            <v>0</v>
          </cell>
          <cell r="T85">
            <v>0</v>
          </cell>
          <cell r="U85">
            <v>9</v>
          </cell>
          <cell r="V85">
            <v>51</v>
          </cell>
          <cell r="W85">
            <v>0</v>
          </cell>
          <cell r="X85">
            <v>15</v>
          </cell>
          <cell r="Y85">
            <v>0</v>
          </cell>
          <cell r="Z85">
            <v>11</v>
          </cell>
          <cell r="AA85">
            <v>15</v>
          </cell>
          <cell r="AB85">
            <v>81</v>
          </cell>
          <cell r="AC85">
            <v>13</v>
          </cell>
          <cell r="AD85">
            <v>19</v>
          </cell>
          <cell r="AE85">
            <v>3</v>
          </cell>
          <cell r="AF85">
            <v>2</v>
          </cell>
          <cell r="AG85">
            <v>2</v>
          </cell>
          <cell r="AH85"/>
          <cell r="AI85">
            <v>396</v>
          </cell>
          <cell r="AJ85">
            <v>81</v>
          </cell>
          <cell r="AK85">
            <v>22</v>
          </cell>
        </row>
        <row r="86">
          <cell r="C86">
            <v>350122019</v>
          </cell>
          <cell r="D86">
            <v>0</v>
          </cell>
          <cell r="E86">
            <v>32</v>
          </cell>
          <cell r="F86">
            <v>1.5</v>
          </cell>
          <cell r="G86">
            <v>0</v>
          </cell>
          <cell r="H86">
            <v>46</v>
          </cell>
          <cell r="I86">
            <v>1</v>
          </cell>
          <cell r="J86">
            <v>5</v>
          </cell>
          <cell r="K86">
            <v>36</v>
          </cell>
          <cell r="L86">
            <v>0</v>
          </cell>
          <cell r="M86">
            <v>25</v>
          </cell>
          <cell r="N86">
            <v>39</v>
          </cell>
          <cell r="O86">
            <v>22</v>
          </cell>
          <cell r="P86">
            <v>0</v>
          </cell>
          <cell r="Q86">
            <v>0</v>
          </cell>
          <cell r="R86">
            <v>2</v>
          </cell>
          <cell r="S86">
            <v>6</v>
          </cell>
          <cell r="T86">
            <v>0</v>
          </cell>
          <cell r="U86">
            <v>54</v>
          </cell>
          <cell r="V86">
            <v>67</v>
          </cell>
          <cell r="W86">
            <v>0</v>
          </cell>
          <cell r="X86">
            <v>3.5</v>
          </cell>
          <cell r="Y86">
            <v>0</v>
          </cell>
          <cell r="Z86">
            <v>0</v>
          </cell>
          <cell r="AA86">
            <v>0</v>
          </cell>
          <cell r="AB86">
            <v>60</v>
          </cell>
          <cell r="AC86">
            <v>35</v>
          </cell>
          <cell r="AD86">
            <v>5</v>
          </cell>
          <cell r="AE86">
            <v>1</v>
          </cell>
          <cell r="AF86">
            <v>6</v>
          </cell>
          <cell r="AG86">
            <v>4</v>
          </cell>
          <cell r="AH86"/>
          <cell r="AI86">
            <v>451</v>
          </cell>
          <cell r="AJ86">
            <v>67</v>
          </cell>
          <cell r="AK86">
            <v>20</v>
          </cell>
        </row>
        <row r="87">
          <cell r="C87">
            <v>350122018</v>
          </cell>
          <cell r="D87">
            <v>0</v>
          </cell>
          <cell r="E87">
            <v>44</v>
          </cell>
          <cell r="F87">
            <v>48</v>
          </cell>
          <cell r="G87">
            <v>0</v>
          </cell>
          <cell r="H87">
            <v>0</v>
          </cell>
          <cell r="I87">
            <v>6</v>
          </cell>
          <cell r="J87">
            <v>69</v>
          </cell>
          <cell r="K87">
            <v>34</v>
          </cell>
          <cell r="L87">
            <v>0</v>
          </cell>
          <cell r="M87">
            <v>27</v>
          </cell>
          <cell r="N87">
            <v>9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11</v>
          </cell>
          <cell r="V87">
            <v>26</v>
          </cell>
          <cell r="W87">
            <v>0</v>
          </cell>
          <cell r="X87">
            <v>5</v>
          </cell>
          <cell r="Y87">
            <v>0</v>
          </cell>
          <cell r="Z87">
            <v>0</v>
          </cell>
          <cell r="AA87">
            <v>18</v>
          </cell>
          <cell r="AB87">
            <v>30</v>
          </cell>
          <cell r="AC87">
            <v>26</v>
          </cell>
          <cell r="AD87">
            <v>20</v>
          </cell>
          <cell r="AE87">
            <v>0</v>
          </cell>
          <cell r="AF87">
            <v>0</v>
          </cell>
          <cell r="AG87">
            <v>0</v>
          </cell>
          <cell r="AH87"/>
          <cell r="AI87">
            <v>373</v>
          </cell>
          <cell r="AJ87">
            <v>69</v>
          </cell>
          <cell r="AK87">
            <v>14</v>
          </cell>
        </row>
        <row r="88">
          <cell r="C88">
            <v>350122017</v>
          </cell>
          <cell r="D88">
            <v>0</v>
          </cell>
          <cell r="E88">
            <v>94</v>
          </cell>
          <cell r="F88">
            <v>39</v>
          </cell>
          <cell r="G88">
            <v>0</v>
          </cell>
          <cell r="H88">
            <v>37</v>
          </cell>
          <cell r="I88">
            <v>20</v>
          </cell>
          <cell r="J88">
            <v>41</v>
          </cell>
          <cell r="K88">
            <v>56</v>
          </cell>
          <cell r="L88">
            <v>0</v>
          </cell>
          <cell r="M88">
            <v>0</v>
          </cell>
          <cell r="N88">
            <v>41</v>
          </cell>
          <cell r="O88">
            <v>75</v>
          </cell>
          <cell r="P88">
            <v>0</v>
          </cell>
          <cell r="Q88">
            <v>0</v>
          </cell>
          <cell r="R88">
            <v>15</v>
          </cell>
          <cell r="S88">
            <v>3</v>
          </cell>
          <cell r="T88">
            <v>2</v>
          </cell>
          <cell r="U88">
            <v>95</v>
          </cell>
          <cell r="V88">
            <v>137</v>
          </cell>
          <cell r="W88">
            <v>0</v>
          </cell>
          <cell r="X88">
            <v>13</v>
          </cell>
          <cell r="Y88">
            <v>0</v>
          </cell>
          <cell r="Z88">
            <v>0</v>
          </cell>
          <cell r="AA88">
            <v>61</v>
          </cell>
          <cell r="AB88">
            <v>112</v>
          </cell>
          <cell r="AC88">
            <v>111</v>
          </cell>
          <cell r="AD88">
            <v>39</v>
          </cell>
          <cell r="AE88">
            <v>6</v>
          </cell>
          <cell r="AF88">
            <v>2</v>
          </cell>
          <cell r="AG88">
            <v>4</v>
          </cell>
          <cell r="AH88"/>
          <cell r="AI88">
            <v>1003</v>
          </cell>
          <cell r="AJ88">
            <v>137</v>
          </cell>
          <cell r="AK88">
            <v>21</v>
          </cell>
        </row>
        <row r="89">
          <cell r="C89">
            <v>350122016</v>
          </cell>
          <cell r="D89">
            <v>0</v>
          </cell>
          <cell r="E89">
            <v>27</v>
          </cell>
          <cell r="F89">
            <v>13</v>
          </cell>
          <cell r="G89">
            <v>0</v>
          </cell>
          <cell r="H89">
            <v>4</v>
          </cell>
          <cell r="I89">
            <v>0</v>
          </cell>
          <cell r="J89">
            <v>48</v>
          </cell>
          <cell r="K89">
            <v>1</v>
          </cell>
          <cell r="L89">
            <v>0</v>
          </cell>
          <cell r="M89">
            <v>0</v>
          </cell>
          <cell r="N89">
            <v>15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14</v>
          </cell>
          <cell r="V89">
            <v>37</v>
          </cell>
          <cell r="W89">
            <v>0</v>
          </cell>
          <cell r="X89">
            <v>38</v>
          </cell>
          <cell r="Y89">
            <v>0</v>
          </cell>
          <cell r="Z89">
            <v>0</v>
          </cell>
          <cell r="AA89">
            <v>0</v>
          </cell>
          <cell r="AB89">
            <v>51</v>
          </cell>
          <cell r="AC89">
            <v>2</v>
          </cell>
          <cell r="AD89">
            <v>18</v>
          </cell>
          <cell r="AE89">
            <v>0</v>
          </cell>
          <cell r="AF89">
            <v>0</v>
          </cell>
          <cell r="AG89">
            <v>10</v>
          </cell>
          <cell r="AH89"/>
          <cell r="AI89">
            <v>278</v>
          </cell>
          <cell r="AJ89">
            <v>51</v>
          </cell>
          <cell r="AK89">
            <v>13</v>
          </cell>
        </row>
        <row r="90">
          <cell r="C90">
            <v>350122015</v>
          </cell>
          <cell r="D90">
            <v>0</v>
          </cell>
          <cell r="E90">
            <v>96</v>
          </cell>
          <cell r="F90">
            <v>15</v>
          </cell>
          <cell r="G90">
            <v>0</v>
          </cell>
          <cell r="H90">
            <v>38</v>
          </cell>
          <cell r="I90">
            <v>7</v>
          </cell>
          <cell r="J90">
            <v>77</v>
          </cell>
          <cell r="K90">
            <v>14</v>
          </cell>
          <cell r="L90">
            <v>0</v>
          </cell>
          <cell r="M90">
            <v>5</v>
          </cell>
          <cell r="N90">
            <v>75</v>
          </cell>
          <cell r="O90">
            <v>29</v>
          </cell>
          <cell r="P90">
            <v>0</v>
          </cell>
          <cell r="Q90">
            <v>0</v>
          </cell>
          <cell r="R90">
            <v>3</v>
          </cell>
          <cell r="S90">
            <v>2</v>
          </cell>
          <cell r="T90">
            <v>0</v>
          </cell>
          <cell r="U90">
            <v>21</v>
          </cell>
          <cell r="V90">
            <v>13</v>
          </cell>
          <cell r="W90">
            <v>0</v>
          </cell>
          <cell r="X90">
            <v>9</v>
          </cell>
          <cell r="Y90">
            <v>0</v>
          </cell>
          <cell r="Z90">
            <v>0</v>
          </cell>
          <cell r="AA90">
            <v>0</v>
          </cell>
          <cell r="AB90">
            <v>84</v>
          </cell>
          <cell r="AC90">
            <v>0</v>
          </cell>
          <cell r="AD90">
            <v>0</v>
          </cell>
          <cell r="AE90">
            <v>0</v>
          </cell>
          <cell r="AF90">
            <v>21</v>
          </cell>
          <cell r="AG90">
            <v>10</v>
          </cell>
          <cell r="AH90"/>
          <cell r="AI90">
            <v>519</v>
          </cell>
          <cell r="AJ90">
            <v>96</v>
          </cell>
          <cell r="AK90">
            <v>17</v>
          </cell>
        </row>
        <row r="91">
          <cell r="C91">
            <v>350122014</v>
          </cell>
          <cell r="D91">
            <v>0</v>
          </cell>
          <cell r="E91">
            <v>28</v>
          </cell>
          <cell r="F91">
            <v>9</v>
          </cell>
          <cell r="G91">
            <v>0</v>
          </cell>
          <cell r="H91">
            <v>6</v>
          </cell>
          <cell r="I91">
            <v>5</v>
          </cell>
          <cell r="J91">
            <v>43</v>
          </cell>
          <cell r="K91">
            <v>9</v>
          </cell>
          <cell r="L91">
            <v>0</v>
          </cell>
          <cell r="M91">
            <v>0</v>
          </cell>
          <cell r="N91">
            <v>6</v>
          </cell>
          <cell r="O91">
            <v>34</v>
          </cell>
          <cell r="P91">
            <v>0</v>
          </cell>
          <cell r="Q91">
            <v>0</v>
          </cell>
          <cell r="R91">
            <v>9</v>
          </cell>
          <cell r="S91">
            <v>0</v>
          </cell>
          <cell r="T91">
            <v>0</v>
          </cell>
          <cell r="U91">
            <v>20</v>
          </cell>
          <cell r="V91">
            <v>36</v>
          </cell>
          <cell r="W91">
            <v>2</v>
          </cell>
          <cell r="X91">
            <v>24</v>
          </cell>
          <cell r="Y91">
            <v>0</v>
          </cell>
          <cell r="Z91">
            <v>0</v>
          </cell>
          <cell r="AA91">
            <v>13</v>
          </cell>
          <cell r="AB91">
            <v>34</v>
          </cell>
          <cell r="AC91">
            <v>37</v>
          </cell>
          <cell r="AD91">
            <v>25</v>
          </cell>
          <cell r="AE91">
            <v>0</v>
          </cell>
          <cell r="AF91">
            <v>4</v>
          </cell>
          <cell r="AG91">
            <v>31</v>
          </cell>
          <cell r="AH91"/>
          <cell r="AI91">
            <v>375</v>
          </cell>
          <cell r="AJ91">
            <v>43</v>
          </cell>
          <cell r="AK91">
            <v>19</v>
          </cell>
        </row>
        <row r="92">
          <cell r="C92">
            <v>350122013</v>
          </cell>
          <cell r="D92">
            <v>0</v>
          </cell>
          <cell r="E92">
            <v>4</v>
          </cell>
          <cell r="F92">
            <v>43</v>
          </cell>
          <cell r="G92">
            <v>0</v>
          </cell>
          <cell r="H92">
            <v>19</v>
          </cell>
          <cell r="I92">
            <v>0</v>
          </cell>
          <cell r="J92">
            <v>62</v>
          </cell>
          <cell r="K92">
            <v>10</v>
          </cell>
          <cell r="L92">
            <v>0</v>
          </cell>
          <cell r="M92">
            <v>0</v>
          </cell>
          <cell r="N92">
            <v>5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16</v>
          </cell>
          <cell r="V92">
            <v>19</v>
          </cell>
          <cell r="W92">
            <v>0</v>
          </cell>
          <cell r="X92">
            <v>29</v>
          </cell>
          <cell r="Y92">
            <v>0</v>
          </cell>
          <cell r="Z92">
            <v>0</v>
          </cell>
          <cell r="AA92">
            <v>0</v>
          </cell>
          <cell r="AB92">
            <v>87</v>
          </cell>
          <cell r="AC92">
            <v>0</v>
          </cell>
          <cell r="AD92">
            <v>16</v>
          </cell>
          <cell r="AE92">
            <v>0</v>
          </cell>
          <cell r="AF92">
            <v>2</v>
          </cell>
          <cell r="AG92">
            <v>4</v>
          </cell>
          <cell r="AH92"/>
          <cell r="AI92">
            <v>316</v>
          </cell>
          <cell r="AJ92">
            <v>87</v>
          </cell>
          <cell r="AK92">
            <v>13</v>
          </cell>
        </row>
        <row r="93">
          <cell r="C93">
            <v>350122012</v>
          </cell>
          <cell r="D93">
            <v>0</v>
          </cell>
          <cell r="E93">
            <v>125</v>
          </cell>
          <cell r="F93">
            <v>32.5</v>
          </cell>
          <cell r="G93">
            <v>0</v>
          </cell>
          <cell r="H93">
            <v>0</v>
          </cell>
          <cell r="I93">
            <v>0</v>
          </cell>
          <cell r="J93">
            <v>67.5</v>
          </cell>
          <cell r="K93">
            <v>45</v>
          </cell>
          <cell r="L93">
            <v>0</v>
          </cell>
          <cell r="M93">
            <v>0</v>
          </cell>
          <cell r="N93">
            <v>12.5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15</v>
          </cell>
          <cell r="V93">
            <v>45</v>
          </cell>
          <cell r="W93">
            <v>0</v>
          </cell>
          <cell r="X93">
            <v>12.5</v>
          </cell>
          <cell r="Y93">
            <v>0</v>
          </cell>
          <cell r="Z93">
            <v>0</v>
          </cell>
          <cell r="AA93">
            <v>12</v>
          </cell>
          <cell r="AB93">
            <v>55</v>
          </cell>
          <cell r="AC93">
            <v>0</v>
          </cell>
          <cell r="AD93">
            <v>0</v>
          </cell>
          <cell r="AE93">
            <v>0</v>
          </cell>
          <cell r="AF93">
            <v>25</v>
          </cell>
          <cell r="AG93">
            <v>0</v>
          </cell>
          <cell r="AH93"/>
          <cell r="AI93">
            <v>447</v>
          </cell>
          <cell r="AJ93">
            <v>125</v>
          </cell>
          <cell r="AK93">
            <v>11</v>
          </cell>
        </row>
        <row r="94">
          <cell r="C94">
            <v>350122011</v>
          </cell>
          <cell r="D94">
            <v>0</v>
          </cell>
          <cell r="E94">
            <v>151</v>
          </cell>
          <cell r="F94">
            <v>2</v>
          </cell>
          <cell r="G94">
            <v>0</v>
          </cell>
          <cell r="H94">
            <v>37</v>
          </cell>
          <cell r="I94">
            <v>0</v>
          </cell>
          <cell r="J94">
            <v>70</v>
          </cell>
          <cell r="K94">
            <v>18</v>
          </cell>
          <cell r="L94">
            <v>4</v>
          </cell>
          <cell r="M94">
            <v>0</v>
          </cell>
          <cell r="N94">
            <v>6</v>
          </cell>
          <cell r="O94">
            <v>5</v>
          </cell>
          <cell r="P94">
            <v>0</v>
          </cell>
          <cell r="Q94">
            <v>0</v>
          </cell>
          <cell r="R94">
            <v>3</v>
          </cell>
          <cell r="S94">
            <v>0</v>
          </cell>
          <cell r="T94">
            <v>4</v>
          </cell>
          <cell r="U94">
            <v>10</v>
          </cell>
          <cell r="V94">
            <v>28</v>
          </cell>
          <cell r="W94">
            <v>0</v>
          </cell>
          <cell r="X94">
            <v>1</v>
          </cell>
          <cell r="Y94">
            <v>0</v>
          </cell>
          <cell r="Z94">
            <v>1</v>
          </cell>
          <cell r="AA94">
            <v>0</v>
          </cell>
          <cell r="AB94">
            <v>17</v>
          </cell>
          <cell r="AC94">
            <v>30</v>
          </cell>
          <cell r="AD94">
            <v>6</v>
          </cell>
          <cell r="AE94">
            <v>2</v>
          </cell>
          <cell r="AF94">
            <v>4</v>
          </cell>
          <cell r="AG94">
            <v>11</v>
          </cell>
          <cell r="AH94"/>
          <cell r="AI94">
            <v>410</v>
          </cell>
          <cell r="AJ94">
            <v>151</v>
          </cell>
          <cell r="AK94">
            <v>20</v>
          </cell>
        </row>
        <row r="95">
          <cell r="C95">
            <v>350122010</v>
          </cell>
          <cell r="D95">
            <v>0</v>
          </cell>
          <cell r="E95">
            <v>14</v>
          </cell>
          <cell r="F95">
            <v>2</v>
          </cell>
          <cell r="G95">
            <v>0</v>
          </cell>
          <cell r="H95">
            <v>7</v>
          </cell>
          <cell r="I95">
            <v>8</v>
          </cell>
          <cell r="J95">
            <v>9</v>
          </cell>
          <cell r="K95">
            <v>0</v>
          </cell>
          <cell r="L95">
            <v>9</v>
          </cell>
          <cell r="M95">
            <v>0</v>
          </cell>
          <cell r="N95">
            <v>93</v>
          </cell>
          <cell r="O95">
            <v>83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14</v>
          </cell>
          <cell r="V95">
            <v>27</v>
          </cell>
          <cell r="W95">
            <v>0</v>
          </cell>
          <cell r="X95">
            <v>20</v>
          </cell>
          <cell r="Y95">
            <v>0</v>
          </cell>
          <cell r="Z95">
            <v>0</v>
          </cell>
          <cell r="AA95">
            <v>0</v>
          </cell>
          <cell r="AB95">
            <v>50</v>
          </cell>
          <cell r="AC95">
            <v>0</v>
          </cell>
          <cell r="AD95">
            <v>2</v>
          </cell>
          <cell r="AE95">
            <v>0</v>
          </cell>
          <cell r="AF95">
            <v>52</v>
          </cell>
          <cell r="AG95">
            <v>10</v>
          </cell>
          <cell r="AH95"/>
          <cell r="AI95">
            <v>400</v>
          </cell>
          <cell r="AJ95">
            <v>93</v>
          </cell>
          <cell r="AK95">
            <v>15</v>
          </cell>
        </row>
        <row r="96">
          <cell r="C96">
            <v>350122009</v>
          </cell>
          <cell r="D96">
            <v>0</v>
          </cell>
          <cell r="E96">
            <v>4</v>
          </cell>
          <cell r="F96">
            <v>4</v>
          </cell>
          <cell r="G96">
            <v>0</v>
          </cell>
          <cell r="H96">
            <v>9</v>
          </cell>
          <cell r="I96">
            <v>0</v>
          </cell>
          <cell r="J96">
            <v>0</v>
          </cell>
          <cell r="K96">
            <v>7</v>
          </cell>
          <cell r="L96">
            <v>4</v>
          </cell>
          <cell r="M96">
            <v>0</v>
          </cell>
          <cell r="N96">
            <v>0</v>
          </cell>
          <cell r="O96">
            <v>0</v>
          </cell>
          <cell r="P96">
            <v>2</v>
          </cell>
          <cell r="Q96">
            <v>0</v>
          </cell>
          <cell r="R96">
            <v>4</v>
          </cell>
          <cell r="S96">
            <v>0</v>
          </cell>
          <cell r="T96">
            <v>0</v>
          </cell>
          <cell r="U96">
            <v>20</v>
          </cell>
          <cell r="V96">
            <v>19</v>
          </cell>
          <cell r="W96">
            <v>0</v>
          </cell>
          <cell r="X96">
            <v>60</v>
          </cell>
          <cell r="Y96">
            <v>0</v>
          </cell>
          <cell r="Z96">
            <v>0</v>
          </cell>
          <cell r="AA96">
            <v>0</v>
          </cell>
          <cell r="AB96">
            <v>66</v>
          </cell>
          <cell r="AC96">
            <v>0</v>
          </cell>
          <cell r="AD96">
            <v>0</v>
          </cell>
          <cell r="AE96">
            <v>0</v>
          </cell>
          <cell r="AF96">
            <v>13</v>
          </cell>
          <cell r="AG96">
            <v>7</v>
          </cell>
          <cell r="AH96"/>
          <cell r="AI96">
            <v>219</v>
          </cell>
          <cell r="AJ96">
            <v>66</v>
          </cell>
          <cell r="AK96">
            <v>13</v>
          </cell>
        </row>
        <row r="97">
          <cell r="C97">
            <v>350122008</v>
          </cell>
          <cell r="D97">
            <v>0</v>
          </cell>
          <cell r="E97">
            <v>33</v>
          </cell>
          <cell r="F97">
            <v>7</v>
          </cell>
          <cell r="G97">
            <v>0</v>
          </cell>
          <cell r="H97">
            <v>15</v>
          </cell>
          <cell r="I97">
            <v>6</v>
          </cell>
          <cell r="J97">
            <v>57</v>
          </cell>
          <cell r="K97">
            <v>0</v>
          </cell>
          <cell r="L97">
            <v>6</v>
          </cell>
          <cell r="M97">
            <v>38</v>
          </cell>
          <cell r="N97">
            <v>17</v>
          </cell>
          <cell r="O97">
            <v>70</v>
          </cell>
          <cell r="P97">
            <v>0</v>
          </cell>
          <cell r="Q97">
            <v>0</v>
          </cell>
          <cell r="R97">
            <v>0</v>
          </cell>
          <cell r="S97">
            <v>11.5</v>
          </cell>
          <cell r="T97">
            <v>0</v>
          </cell>
          <cell r="U97">
            <v>27.5</v>
          </cell>
          <cell r="V97">
            <v>42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83</v>
          </cell>
          <cell r="AC97">
            <v>0</v>
          </cell>
          <cell r="AD97">
            <v>2</v>
          </cell>
          <cell r="AE97">
            <v>0</v>
          </cell>
          <cell r="AF97">
            <v>0</v>
          </cell>
          <cell r="AG97">
            <v>5</v>
          </cell>
          <cell r="AH97"/>
          <cell r="AI97">
            <v>420</v>
          </cell>
          <cell r="AJ97">
            <v>83</v>
          </cell>
          <cell r="AK97">
            <v>15</v>
          </cell>
        </row>
        <row r="98">
          <cell r="C98">
            <v>350122007</v>
          </cell>
          <cell r="D98">
            <v>0</v>
          </cell>
          <cell r="E98">
            <v>35</v>
          </cell>
          <cell r="F98">
            <v>20</v>
          </cell>
          <cell r="G98">
            <v>0</v>
          </cell>
          <cell r="H98">
            <v>10</v>
          </cell>
          <cell r="I98">
            <v>6</v>
          </cell>
          <cell r="J98">
            <v>21</v>
          </cell>
          <cell r="K98">
            <v>5</v>
          </cell>
          <cell r="L98">
            <v>0</v>
          </cell>
          <cell r="M98">
            <v>5</v>
          </cell>
          <cell r="N98">
            <v>17</v>
          </cell>
          <cell r="O98">
            <v>37</v>
          </cell>
          <cell r="P98">
            <v>13</v>
          </cell>
          <cell r="Q98">
            <v>2</v>
          </cell>
          <cell r="R98">
            <v>46</v>
          </cell>
          <cell r="S98">
            <v>0</v>
          </cell>
          <cell r="T98">
            <v>0</v>
          </cell>
          <cell r="U98">
            <v>36</v>
          </cell>
          <cell r="V98">
            <v>38</v>
          </cell>
          <cell r="W98">
            <v>25</v>
          </cell>
          <cell r="X98">
            <v>20</v>
          </cell>
          <cell r="Y98">
            <v>0</v>
          </cell>
          <cell r="Z98">
            <v>13</v>
          </cell>
          <cell r="AA98">
            <v>0</v>
          </cell>
          <cell r="AB98">
            <v>137</v>
          </cell>
          <cell r="AC98">
            <v>35</v>
          </cell>
          <cell r="AD98">
            <v>21</v>
          </cell>
          <cell r="AE98">
            <v>0</v>
          </cell>
          <cell r="AF98">
            <v>0</v>
          </cell>
          <cell r="AG98">
            <v>0</v>
          </cell>
          <cell r="AH98"/>
          <cell r="AI98">
            <v>542</v>
          </cell>
          <cell r="AJ98">
            <v>137</v>
          </cell>
          <cell r="AK98">
            <v>20</v>
          </cell>
        </row>
        <row r="99">
          <cell r="C99">
            <v>350122006</v>
          </cell>
          <cell r="D99">
            <v>0</v>
          </cell>
          <cell r="E99">
            <v>31</v>
          </cell>
          <cell r="F99">
            <v>78</v>
          </cell>
          <cell r="G99">
            <v>0</v>
          </cell>
          <cell r="H99">
            <v>3</v>
          </cell>
          <cell r="I99">
            <v>25</v>
          </cell>
          <cell r="J99">
            <v>6</v>
          </cell>
          <cell r="K99">
            <v>9</v>
          </cell>
          <cell r="L99">
            <v>0</v>
          </cell>
          <cell r="M99">
            <v>2</v>
          </cell>
          <cell r="N99">
            <v>16</v>
          </cell>
          <cell r="O99">
            <v>28</v>
          </cell>
          <cell r="P99">
            <v>0</v>
          </cell>
          <cell r="Q99">
            <v>18</v>
          </cell>
          <cell r="R99">
            <v>0</v>
          </cell>
          <cell r="S99">
            <v>0</v>
          </cell>
          <cell r="T99">
            <v>0</v>
          </cell>
          <cell r="U99">
            <v>27</v>
          </cell>
          <cell r="V99">
            <v>45</v>
          </cell>
          <cell r="W99">
            <v>0</v>
          </cell>
          <cell r="X99">
            <v>22</v>
          </cell>
          <cell r="Y99">
            <v>0</v>
          </cell>
          <cell r="Z99">
            <v>0</v>
          </cell>
          <cell r="AA99">
            <v>50</v>
          </cell>
          <cell r="AB99">
            <v>125</v>
          </cell>
          <cell r="AC99">
            <v>88</v>
          </cell>
          <cell r="AD99">
            <v>2</v>
          </cell>
          <cell r="AE99">
            <v>0</v>
          </cell>
          <cell r="AF99">
            <v>0</v>
          </cell>
          <cell r="AG99">
            <v>2</v>
          </cell>
          <cell r="AH99"/>
          <cell r="AI99">
            <v>577</v>
          </cell>
          <cell r="AJ99">
            <v>125</v>
          </cell>
          <cell r="AK99">
            <v>18</v>
          </cell>
        </row>
        <row r="100">
          <cell r="C100">
            <v>350122005</v>
          </cell>
          <cell r="D100">
            <v>0</v>
          </cell>
          <cell r="E100">
            <v>68</v>
          </cell>
          <cell r="F100">
            <v>9</v>
          </cell>
          <cell r="G100">
            <v>0</v>
          </cell>
          <cell r="H100">
            <v>33</v>
          </cell>
          <cell r="I100">
            <v>5</v>
          </cell>
          <cell r="J100">
            <v>36</v>
          </cell>
          <cell r="K100">
            <v>27</v>
          </cell>
          <cell r="L100">
            <v>0</v>
          </cell>
          <cell r="M100">
            <v>11</v>
          </cell>
          <cell r="N100">
            <v>14</v>
          </cell>
          <cell r="O100">
            <v>46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47</v>
          </cell>
          <cell r="V100">
            <v>48</v>
          </cell>
          <cell r="W100">
            <v>0</v>
          </cell>
          <cell r="X100">
            <v>11</v>
          </cell>
          <cell r="Y100">
            <v>0</v>
          </cell>
          <cell r="Z100">
            <v>0</v>
          </cell>
          <cell r="AA100">
            <v>0</v>
          </cell>
          <cell r="AB100">
            <v>88</v>
          </cell>
          <cell r="AC100">
            <v>0</v>
          </cell>
          <cell r="AD100">
            <v>1</v>
          </cell>
          <cell r="AE100">
            <v>0</v>
          </cell>
          <cell r="AF100">
            <v>5</v>
          </cell>
          <cell r="AG100">
            <v>6</v>
          </cell>
          <cell r="AH100"/>
          <cell r="AI100">
            <v>455</v>
          </cell>
          <cell r="AJ100">
            <v>88</v>
          </cell>
          <cell r="AK100">
            <v>16</v>
          </cell>
        </row>
        <row r="101">
          <cell r="C101">
            <v>350122004</v>
          </cell>
          <cell r="D101">
            <v>0</v>
          </cell>
          <cell r="E101">
            <v>3</v>
          </cell>
          <cell r="F101">
            <v>25</v>
          </cell>
          <cell r="G101">
            <v>0</v>
          </cell>
          <cell r="H101">
            <v>1</v>
          </cell>
          <cell r="I101">
            <v>0</v>
          </cell>
          <cell r="J101">
            <v>102</v>
          </cell>
          <cell r="K101">
            <v>22</v>
          </cell>
          <cell r="L101">
            <v>0</v>
          </cell>
          <cell r="M101">
            <v>0</v>
          </cell>
          <cell r="N101">
            <v>21</v>
          </cell>
          <cell r="O101">
            <v>0</v>
          </cell>
          <cell r="P101">
            <v>1</v>
          </cell>
          <cell r="Q101">
            <v>0</v>
          </cell>
          <cell r="R101">
            <v>3</v>
          </cell>
          <cell r="S101">
            <v>0</v>
          </cell>
          <cell r="T101">
            <v>0</v>
          </cell>
          <cell r="U101">
            <v>9</v>
          </cell>
          <cell r="V101">
            <v>37</v>
          </cell>
          <cell r="W101">
            <v>0</v>
          </cell>
          <cell r="X101">
            <v>28</v>
          </cell>
          <cell r="Y101">
            <v>0</v>
          </cell>
          <cell r="Z101">
            <v>0</v>
          </cell>
          <cell r="AA101">
            <v>0</v>
          </cell>
          <cell r="AB101">
            <v>43</v>
          </cell>
          <cell r="AC101">
            <v>0</v>
          </cell>
          <cell r="AD101">
            <v>23</v>
          </cell>
          <cell r="AE101">
            <v>0</v>
          </cell>
          <cell r="AF101">
            <v>0</v>
          </cell>
          <cell r="AG101">
            <v>0</v>
          </cell>
          <cell r="AH101"/>
          <cell r="AI101">
            <v>318</v>
          </cell>
          <cell r="AJ101">
            <v>102</v>
          </cell>
          <cell r="AK101">
            <v>13</v>
          </cell>
        </row>
        <row r="102">
          <cell r="C102">
            <v>350122003</v>
          </cell>
          <cell r="D102">
            <v>0</v>
          </cell>
          <cell r="E102">
            <v>78</v>
          </cell>
          <cell r="F102">
            <v>0</v>
          </cell>
          <cell r="G102">
            <v>0</v>
          </cell>
          <cell r="H102">
            <v>24</v>
          </cell>
          <cell r="I102">
            <v>0</v>
          </cell>
          <cell r="J102">
            <v>10</v>
          </cell>
          <cell r="K102">
            <v>39</v>
          </cell>
          <cell r="L102">
            <v>0</v>
          </cell>
          <cell r="M102">
            <v>1</v>
          </cell>
          <cell r="N102">
            <v>76</v>
          </cell>
          <cell r="O102">
            <v>26</v>
          </cell>
          <cell r="P102">
            <v>0</v>
          </cell>
          <cell r="Q102">
            <v>0</v>
          </cell>
          <cell r="R102">
            <v>18</v>
          </cell>
          <cell r="S102">
            <v>2</v>
          </cell>
          <cell r="T102">
            <v>0</v>
          </cell>
          <cell r="U102">
            <v>6</v>
          </cell>
          <cell r="V102">
            <v>10</v>
          </cell>
          <cell r="W102">
            <v>0</v>
          </cell>
          <cell r="X102">
            <v>15</v>
          </cell>
          <cell r="Y102">
            <v>0</v>
          </cell>
          <cell r="Z102">
            <v>0</v>
          </cell>
          <cell r="AA102">
            <v>0</v>
          </cell>
          <cell r="AB102">
            <v>128</v>
          </cell>
          <cell r="AC102">
            <v>0</v>
          </cell>
          <cell r="AD102">
            <v>0</v>
          </cell>
          <cell r="AE102">
            <v>1</v>
          </cell>
          <cell r="AF102">
            <v>36</v>
          </cell>
          <cell r="AG102">
            <v>14</v>
          </cell>
          <cell r="AH102"/>
          <cell r="AI102">
            <v>484</v>
          </cell>
          <cell r="AJ102">
            <v>128</v>
          </cell>
          <cell r="AK102">
            <v>16</v>
          </cell>
        </row>
        <row r="103">
          <cell r="C103">
            <v>350122002</v>
          </cell>
          <cell r="D103">
            <v>0</v>
          </cell>
          <cell r="E103">
            <v>27</v>
          </cell>
          <cell r="F103">
            <v>0</v>
          </cell>
          <cell r="G103">
            <v>0</v>
          </cell>
          <cell r="H103">
            <v>19</v>
          </cell>
          <cell r="I103">
            <v>0</v>
          </cell>
          <cell r="J103">
            <v>0</v>
          </cell>
          <cell r="K103">
            <v>9</v>
          </cell>
          <cell r="L103">
            <v>0</v>
          </cell>
          <cell r="M103">
            <v>0</v>
          </cell>
          <cell r="N103">
            <v>30</v>
          </cell>
          <cell r="O103">
            <v>0</v>
          </cell>
          <cell r="P103">
            <v>4</v>
          </cell>
          <cell r="Q103">
            <v>5</v>
          </cell>
          <cell r="R103">
            <v>0</v>
          </cell>
          <cell r="S103">
            <v>0</v>
          </cell>
          <cell r="T103">
            <v>0</v>
          </cell>
          <cell r="U103">
            <v>8</v>
          </cell>
          <cell r="V103">
            <v>44</v>
          </cell>
          <cell r="W103">
            <v>0</v>
          </cell>
          <cell r="X103">
            <v>30</v>
          </cell>
          <cell r="Y103">
            <v>0</v>
          </cell>
          <cell r="Z103">
            <v>7</v>
          </cell>
          <cell r="AA103">
            <v>0</v>
          </cell>
          <cell r="AB103">
            <v>70</v>
          </cell>
          <cell r="AC103">
            <v>0</v>
          </cell>
          <cell r="AD103">
            <v>11</v>
          </cell>
          <cell r="AE103">
            <v>0</v>
          </cell>
          <cell r="AF103">
            <v>4</v>
          </cell>
          <cell r="AG103">
            <v>6</v>
          </cell>
          <cell r="AH103"/>
          <cell r="AI103">
            <v>274</v>
          </cell>
          <cell r="AJ103">
            <v>70</v>
          </cell>
          <cell r="AK103">
            <v>14</v>
          </cell>
        </row>
        <row r="104">
          <cell r="C104">
            <v>350122001</v>
          </cell>
          <cell r="D104">
            <v>0</v>
          </cell>
          <cell r="E104">
            <v>6</v>
          </cell>
          <cell r="F104">
            <v>4</v>
          </cell>
          <cell r="G104">
            <v>0</v>
          </cell>
          <cell r="H104">
            <v>9</v>
          </cell>
          <cell r="I104">
            <v>0</v>
          </cell>
          <cell r="J104">
            <v>12</v>
          </cell>
          <cell r="K104">
            <v>3</v>
          </cell>
          <cell r="L104">
            <v>1</v>
          </cell>
          <cell r="M104">
            <v>1</v>
          </cell>
          <cell r="N104">
            <v>49</v>
          </cell>
          <cell r="O104">
            <v>45</v>
          </cell>
          <cell r="P104">
            <v>0</v>
          </cell>
          <cell r="Q104">
            <v>0</v>
          </cell>
          <cell r="R104">
            <v>2</v>
          </cell>
          <cell r="S104">
            <v>0</v>
          </cell>
          <cell r="T104">
            <v>0</v>
          </cell>
          <cell r="U104">
            <v>11</v>
          </cell>
          <cell r="V104">
            <v>16</v>
          </cell>
          <cell r="W104">
            <v>1</v>
          </cell>
          <cell r="X104">
            <v>24</v>
          </cell>
          <cell r="Y104">
            <v>0</v>
          </cell>
          <cell r="Z104">
            <v>0</v>
          </cell>
          <cell r="AA104">
            <v>4</v>
          </cell>
          <cell r="AB104">
            <v>49</v>
          </cell>
          <cell r="AC104">
            <v>0</v>
          </cell>
          <cell r="AD104">
            <v>20</v>
          </cell>
          <cell r="AE104">
            <v>0</v>
          </cell>
          <cell r="AF104">
            <v>56</v>
          </cell>
          <cell r="AG104">
            <v>5</v>
          </cell>
          <cell r="AH104"/>
          <cell r="AI104">
            <v>318</v>
          </cell>
          <cell r="AJ104">
            <v>56</v>
          </cell>
          <cell r="AK104">
            <v>19</v>
          </cell>
        </row>
        <row r="105">
          <cell r="C105">
            <v>350619001</v>
          </cell>
          <cell r="D105">
            <v>0</v>
          </cell>
          <cell r="E105">
            <v>94</v>
          </cell>
          <cell r="F105">
            <v>0</v>
          </cell>
          <cell r="G105">
            <v>0</v>
          </cell>
          <cell r="H105">
            <v>30</v>
          </cell>
          <cell r="I105">
            <v>17</v>
          </cell>
          <cell r="J105">
            <v>27.5</v>
          </cell>
          <cell r="K105">
            <v>23.5</v>
          </cell>
          <cell r="L105">
            <v>0</v>
          </cell>
          <cell r="M105">
            <v>28</v>
          </cell>
          <cell r="N105">
            <v>3.5</v>
          </cell>
          <cell r="O105">
            <v>1</v>
          </cell>
          <cell r="P105">
            <v>9</v>
          </cell>
          <cell r="Q105">
            <v>17</v>
          </cell>
          <cell r="R105">
            <v>2</v>
          </cell>
          <cell r="S105">
            <v>0</v>
          </cell>
          <cell r="T105">
            <v>0</v>
          </cell>
          <cell r="U105">
            <v>13</v>
          </cell>
          <cell r="V105">
            <v>34</v>
          </cell>
          <cell r="W105">
            <v>0</v>
          </cell>
          <cell r="X105">
            <v>4</v>
          </cell>
          <cell r="Y105">
            <v>0</v>
          </cell>
          <cell r="Z105">
            <v>0</v>
          </cell>
          <cell r="AA105">
            <v>11</v>
          </cell>
          <cell r="AB105">
            <v>23.5</v>
          </cell>
          <cell r="AC105">
            <v>8</v>
          </cell>
          <cell r="AD105">
            <v>10</v>
          </cell>
          <cell r="AE105">
            <v>35.5</v>
          </cell>
          <cell r="AF105">
            <v>0</v>
          </cell>
          <cell r="AG105">
            <v>0</v>
          </cell>
          <cell r="AH105"/>
          <cell r="AI105">
            <v>391.5</v>
          </cell>
          <cell r="AJ105">
            <v>94</v>
          </cell>
          <cell r="AK105">
            <v>19</v>
          </cell>
        </row>
        <row r="106">
          <cell r="C106">
            <v>350619002</v>
          </cell>
          <cell r="D106">
            <v>0</v>
          </cell>
          <cell r="E106">
            <v>24</v>
          </cell>
          <cell r="F106">
            <v>6</v>
          </cell>
          <cell r="G106">
            <v>0</v>
          </cell>
          <cell r="H106">
            <v>21</v>
          </cell>
          <cell r="I106">
            <v>0</v>
          </cell>
          <cell r="J106">
            <v>84</v>
          </cell>
          <cell r="K106">
            <v>19</v>
          </cell>
          <cell r="L106">
            <v>0</v>
          </cell>
          <cell r="M106">
            <v>9</v>
          </cell>
          <cell r="N106">
            <v>24</v>
          </cell>
          <cell r="O106">
            <v>8</v>
          </cell>
          <cell r="P106">
            <v>0</v>
          </cell>
          <cell r="Q106">
            <v>0</v>
          </cell>
          <cell r="R106">
            <v>5</v>
          </cell>
          <cell r="S106">
            <v>0</v>
          </cell>
          <cell r="T106">
            <v>0</v>
          </cell>
          <cell r="U106">
            <v>43</v>
          </cell>
          <cell r="V106">
            <v>33</v>
          </cell>
          <cell r="W106">
            <v>0</v>
          </cell>
          <cell r="X106">
            <v>7</v>
          </cell>
          <cell r="Y106">
            <v>0</v>
          </cell>
          <cell r="Z106">
            <v>0</v>
          </cell>
          <cell r="AA106">
            <v>9</v>
          </cell>
          <cell r="AB106">
            <v>34</v>
          </cell>
          <cell r="AC106">
            <v>31</v>
          </cell>
          <cell r="AD106">
            <v>30</v>
          </cell>
          <cell r="AE106">
            <v>28</v>
          </cell>
          <cell r="AF106">
            <v>0</v>
          </cell>
          <cell r="AG106">
            <v>0</v>
          </cell>
          <cell r="AH106"/>
          <cell r="AI106">
            <v>415</v>
          </cell>
          <cell r="AJ106">
            <v>84</v>
          </cell>
          <cell r="AK106">
            <v>17</v>
          </cell>
        </row>
        <row r="107">
          <cell r="C107">
            <v>350619003</v>
          </cell>
          <cell r="D107">
            <v>0</v>
          </cell>
          <cell r="E107">
            <v>31</v>
          </cell>
          <cell r="F107">
            <v>7</v>
          </cell>
          <cell r="G107">
            <v>0</v>
          </cell>
          <cell r="H107">
            <v>16</v>
          </cell>
          <cell r="I107">
            <v>0</v>
          </cell>
          <cell r="J107">
            <v>56</v>
          </cell>
          <cell r="K107">
            <v>19</v>
          </cell>
          <cell r="L107">
            <v>0</v>
          </cell>
          <cell r="M107">
            <v>33</v>
          </cell>
          <cell r="N107">
            <v>21</v>
          </cell>
          <cell r="O107">
            <v>6</v>
          </cell>
          <cell r="P107">
            <v>6</v>
          </cell>
          <cell r="Q107">
            <v>0</v>
          </cell>
          <cell r="R107">
            <v>11</v>
          </cell>
          <cell r="S107">
            <v>0</v>
          </cell>
          <cell r="T107">
            <v>0</v>
          </cell>
          <cell r="U107">
            <v>33</v>
          </cell>
          <cell r="V107">
            <v>39</v>
          </cell>
          <cell r="W107">
            <v>0</v>
          </cell>
          <cell r="X107">
            <v>54</v>
          </cell>
          <cell r="Y107">
            <v>0</v>
          </cell>
          <cell r="Z107">
            <v>0</v>
          </cell>
          <cell r="AA107">
            <v>51</v>
          </cell>
          <cell r="AB107">
            <v>28</v>
          </cell>
          <cell r="AC107">
            <v>53</v>
          </cell>
          <cell r="AD107">
            <v>12</v>
          </cell>
          <cell r="AE107">
            <v>34</v>
          </cell>
          <cell r="AF107">
            <v>0</v>
          </cell>
          <cell r="AG107">
            <v>0</v>
          </cell>
          <cell r="AH107"/>
          <cell r="AI107">
            <v>510</v>
          </cell>
          <cell r="AJ107">
            <v>56</v>
          </cell>
          <cell r="AK107">
            <v>18</v>
          </cell>
        </row>
        <row r="108">
          <cell r="C108">
            <v>350619004</v>
          </cell>
          <cell r="D108">
            <v>0</v>
          </cell>
          <cell r="E108">
            <v>7</v>
          </cell>
          <cell r="F108">
            <v>0</v>
          </cell>
          <cell r="G108">
            <v>0</v>
          </cell>
          <cell r="H108">
            <v>6</v>
          </cell>
          <cell r="I108">
            <v>0</v>
          </cell>
          <cell r="J108">
            <v>46</v>
          </cell>
          <cell r="K108">
            <v>18</v>
          </cell>
          <cell r="L108">
            <v>7</v>
          </cell>
          <cell r="M108">
            <v>0</v>
          </cell>
          <cell r="N108">
            <v>17</v>
          </cell>
          <cell r="O108">
            <v>0</v>
          </cell>
          <cell r="P108">
            <v>0</v>
          </cell>
          <cell r="Q108">
            <v>7</v>
          </cell>
          <cell r="R108">
            <v>10</v>
          </cell>
          <cell r="S108">
            <v>0</v>
          </cell>
          <cell r="T108">
            <v>18</v>
          </cell>
          <cell r="U108">
            <v>30</v>
          </cell>
          <cell r="V108">
            <v>29</v>
          </cell>
          <cell r="W108">
            <v>0</v>
          </cell>
          <cell r="X108">
            <v>12</v>
          </cell>
          <cell r="Y108">
            <v>0</v>
          </cell>
          <cell r="Z108">
            <v>26</v>
          </cell>
          <cell r="AA108">
            <v>6</v>
          </cell>
          <cell r="AB108">
            <v>41</v>
          </cell>
          <cell r="AC108">
            <v>25</v>
          </cell>
          <cell r="AD108">
            <v>0</v>
          </cell>
          <cell r="AE108">
            <v>54</v>
          </cell>
          <cell r="AF108">
            <v>0</v>
          </cell>
          <cell r="AG108">
            <v>0</v>
          </cell>
          <cell r="AH108"/>
          <cell r="AI108">
            <v>359</v>
          </cell>
          <cell r="AJ108">
            <v>54</v>
          </cell>
          <cell r="AK108">
            <v>17</v>
          </cell>
        </row>
        <row r="109">
          <cell r="C109">
            <v>350619005</v>
          </cell>
          <cell r="D109">
            <v>0</v>
          </cell>
          <cell r="E109">
            <v>110</v>
          </cell>
          <cell r="F109">
            <v>20</v>
          </cell>
          <cell r="G109">
            <v>0</v>
          </cell>
          <cell r="H109">
            <v>45</v>
          </cell>
          <cell r="I109">
            <v>0</v>
          </cell>
          <cell r="J109">
            <v>86</v>
          </cell>
          <cell r="K109">
            <v>20</v>
          </cell>
          <cell r="L109">
            <v>0</v>
          </cell>
          <cell r="M109">
            <v>21</v>
          </cell>
          <cell r="N109">
            <v>40</v>
          </cell>
          <cell r="O109">
            <v>10</v>
          </cell>
          <cell r="P109">
            <v>10</v>
          </cell>
          <cell r="Q109">
            <v>13</v>
          </cell>
          <cell r="R109">
            <v>10</v>
          </cell>
          <cell r="S109">
            <v>0</v>
          </cell>
          <cell r="T109">
            <v>0</v>
          </cell>
          <cell r="U109">
            <v>38</v>
          </cell>
          <cell r="V109">
            <v>30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93</v>
          </cell>
          <cell r="AC109">
            <v>40</v>
          </cell>
          <cell r="AD109">
            <v>32</v>
          </cell>
          <cell r="AE109">
            <v>50</v>
          </cell>
          <cell r="AF109">
            <v>0</v>
          </cell>
          <cell r="AG109">
            <v>0</v>
          </cell>
          <cell r="AH109"/>
          <cell r="AI109">
            <v>668</v>
          </cell>
          <cell r="AJ109">
            <v>110</v>
          </cell>
          <cell r="AK109">
            <v>17</v>
          </cell>
        </row>
        <row r="110">
          <cell r="C110">
            <v>350619006</v>
          </cell>
          <cell r="D110">
            <v>0</v>
          </cell>
          <cell r="E110">
            <v>28</v>
          </cell>
          <cell r="F110">
            <v>8</v>
          </cell>
          <cell r="G110">
            <v>0</v>
          </cell>
          <cell r="H110">
            <v>18</v>
          </cell>
          <cell r="I110">
            <v>0</v>
          </cell>
          <cell r="J110">
            <v>100</v>
          </cell>
          <cell r="K110">
            <v>12</v>
          </cell>
          <cell r="L110">
            <v>0</v>
          </cell>
          <cell r="M110">
            <v>24</v>
          </cell>
          <cell r="N110">
            <v>90</v>
          </cell>
          <cell r="O110">
            <v>4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56</v>
          </cell>
          <cell r="V110">
            <v>53</v>
          </cell>
          <cell r="W110">
            <v>0</v>
          </cell>
          <cell r="X110">
            <v>64</v>
          </cell>
          <cell r="Y110">
            <v>0</v>
          </cell>
          <cell r="Z110">
            <v>0</v>
          </cell>
          <cell r="AA110">
            <v>42</v>
          </cell>
          <cell r="AB110">
            <v>60</v>
          </cell>
          <cell r="AC110">
            <v>125</v>
          </cell>
          <cell r="AD110">
            <v>45</v>
          </cell>
          <cell r="AE110">
            <v>61</v>
          </cell>
          <cell r="AF110">
            <v>0</v>
          </cell>
          <cell r="AG110">
            <v>0</v>
          </cell>
          <cell r="AH110"/>
          <cell r="AI110">
            <v>790</v>
          </cell>
          <cell r="AJ110">
            <v>125</v>
          </cell>
          <cell r="AK110">
            <v>16</v>
          </cell>
        </row>
        <row r="111">
          <cell r="C111">
            <v>350619007</v>
          </cell>
          <cell r="D111">
            <v>0</v>
          </cell>
          <cell r="E111">
            <v>31</v>
          </cell>
          <cell r="F111">
            <v>10</v>
          </cell>
          <cell r="G111">
            <v>0</v>
          </cell>
          <cell r="H111">
            <v>10</v>
          </cell>
          <cell r="I111">
            <v>0</v>
          </cell>
          <cell r="J111">
            <v>62</v>
          </cell>
          <cell r="K111">
            <v>28</v>
          </cell>
          <cell r="L111">
            <v>0</v>
          </cell>
          <cell r="M111">
            <v>19</v>
          </cell>
          <cell r="N111">
            <v>8</v>
          </cell>
          <cell r="O111">
            <v>5</v>
          </cell>
          <cell r="P111">
            <v>6</v>
          </cell>
          <cell r="Q111">
            <v>0</v>
          </cell>
          <cell r="R111">
            <v>9</v>
          </cell>
          <cell r="S111">
            <v>0</v>
          </cell>
          <cell r="T111">
            <v>7</v>
          </cell>
          <cell r="U111">
            <v>25</v>
          </cell>
          <cell r="V111">
            <v>34</v>
          </cell>
          <cell r="W111">
            <v>0</v>
          </cell>
          <cell r="X111">
            <v>40</v>
          </cell>
          <cell r="Y111">
            <v>0</v>
          </cell>
          <cell r="Z111">
            <v>0</v>
          </cell>
          <cell r="AA111">
            <v>62</v>
          </cell>
          <cell r="AB111">
            <v>35</v>
          </cell>
          <cell r="AC111">
            <v>48</v>
          </cell>
          <cell r="AD111">
            <v>7</v>
          </cell>
          <cell r="AE111">
            <v>22</v>
          </cell>
          <cell r="AF111">
            <v>0</v>
          </cell>
          <cell r="AG111">
            <v>0</v>
          </cell>
          <cell r="AH111"/>
          <cell r="AI111">
            <v>468</v>
          </cell>
          <cell r="AJ111">
            <v>62</v>
          </cell>
          <cell r="AK111">
            <v>19</v>
          </cell>
        </row>
        <row r="112">
          <cell r="C112">
            <v>350619008</v>
          </cell>
          <cell r="D112">
            <v>0</v>
          </cell>
          <cell r="E112">
            <v>60</v>
          </cell>
          <cell r="F112">
            <v>7</v>
          </cell>
          <cell r="G112">
            <v>0</v>
          </cell>
          <cell r="H112">
            <v>8</v>
          </cell>
          <cell r="I112">
            <v>0</v>
          </cell>
          <cell r="J112">
            <v>40</v>
          </cell>
          <cell r="K112">
            <v>20</v>
          </cell>
          <cell r="L112">
            <v>0</v>
          </cell>
          <cell r="M112">
            <v>45</v>
          </cell>
          <cell r="N112">
            <v>25</v>
          </cell>
          <cell r="O112">
            <v>6</v>
          </cell>
          <cell r="P112">
            <v>0</v>
          </cell>
          <cell r="Q112">
            <v>15</v>
          </cell>
          <cell r="R112">
            <v>10</v>
          </cell>
          <cell r="S112">
            <v>0</v>
          </cell>
          <cell r="T112">
            <v>0</v>
          </cell>
          <cell r="U112">
            <v>32</v>
          </cell>
          <cell r="V112">
            <v>25</v>
          </cell>
          <cell r="W112">
            <v>0</v>
          </cell>
          <cell r="X112">
            <v>9</v>
          </cell>
          <cell r="Y112">
            <v>0</v>
          </cell>
          <cell r="Z112">
            <v>0</v>
          </cell>
          <cell r="AA112">
            <v>7</v>
          </cell>
          <cell r="AB112">
            <v>98</v>
          </cell>
          <cell r="AC112">
            <v>33</v>
          </cell>
          <cell r="AD112">
            <v>21</v>
          </cell>
          <cell r="AE112">
            <v>24</v>
          </cell>
          <cell r="AF112">
            <v>0</v>
          </cell>
          <cell r="AG112">
            <v>0</v>
          </cell>
          <cell r="AH112"/>
          <cell r="AI112">
            <v>485</v>
          </cell>
          <cell r="AJ112">
            <v>98</v>
          </cell>
          <cell r="AK112">
            <v>18</v>
          </cell>
        </row>
        <row r="113">
          <cell r="C113">
            <v>350619009</v>
          </cell>
          <cell r="D113">
            <v>6</v>
          </cell>
          <cell r="E113">
            <v>85</v>
          </cell>
          <cell r="F113">
            <v>10</v>
          </cell>
          <cell r="G113">
            <v>0</v>
          </cell>
          <cell r="H113">
            <v>23</v>
          </cell>
          <cell r="I113">
            <v>0</v>
          </cell>
          <cell r="J113">
            <v>60</v>
          </cell>
          <cell r="K113">
            <v>20</v>
          </cell>
          <cell r="L113">
            <v>0</v>
          </cell>
          <cell r="M113">
            <v>45</v>
          </cell>
          <cell r="N113">
            <v>46</v>
          </cell>
          <cell r="O113">
            <v>6</v>
          </cell>
          <cell r="P113">
            <v>0</v>
          </cell>
          <cell r="Q113">
            <v>5</v>
          </cell>
          <cell r="R113">
            <v>3</v>
          </cell>
          <cell r="S113">
            <v>0</v>
          </cell>
          <cell r="T113">
            <v>0</v>
          </cell>
          <cell r="U113">
            <v>28</v>
          </cell>
          <cell r="V113">
            <v>30</v>
          </cell>
          <cell r="W113">
            <v>0</v>
          </cell>
          <cell r="X113">
            <v>5</v>
          </cell>
          <cell r="Y113">
            <v>0</v>
          </cell>
          <cell r="Z113">
            <v>0</v>
          </cell>
          <cell r="AA113">
            <v>18</v>
          </cell>
          <cell r="AB113">
            <v>100</v>
          </cell>
          <cell r="AC113">
            <v>29</v>
          </cell>
          <cell r="AD113">
            <v>40</v>
          </cell>
          <cell r="AE113">
            <v>46</v>
          </cell>
          <cell r="AF113">
            <v>0</v>
          </cell>
          <cell r="AG113">
            <v>0</v>
          </cell>
          <cell r="AH113"/>
          <cell r="AI113">
            <v>605</v>
          </cell>
          <cell r="AJ113">
            <v>100</v>
          </cell>
          <cell r="AK113">
            <v>19</v>
          </cell>
        </row>
        <row r="114">
          <cell r="C114">
            <v>350619010</v>
          </cell>
          <cell r="D114">
            <v>0</v>
          </cell>
          <cell r="E114">
            <v>69</v>
          </cell>
          <cell r="F114">
            <v>4</v>
          </cell>
          <cell r="G114">
            <v>0</v>
          </cell>
          <cell r="H114">
            <v>24</v>
          </cell>
          <cell r="I114">
            <v>0</v>
          </cell>
          <cell r="J114">
            <v>38</v>
          </cell>
          <cell r="K114">
            <v>13</v>
          </cell>
          <cell r="L114">
            <v>0</v>
          </cell>
          <cell r="M114">
            <v>36</v>
          </cell>
          <cell r="N114">
            <v>8</v>
          </cell>
          <cell r="O114">
            <v>6</v>
          </cell>
          <cell r="P114">
            <v>9</v>
          </cell>
          <cell r="Q114">
            <v>41</v>
          </cell>
          <cell r="R114">
            <v>11</v>
          </cell>
          <cell r="S114">
            <v>0</v>
          </cell>
          <cell r="T114">
            <v>0</v>
          </cell>
          <cell r="U114">
            <v>12</v>
          </cell>
          <cell r="V114">
            <v>26</v>
          </cell>
          <cell r="W114">
            <v>0</v>
          </cell>
          <cell r="X114">
            <v>39</v>
          </cell>
          <cell r="Y114">
            <v>0</v>
          </cell>
          <cell r="Z114">
            <v>0</v>
          </cell>
          <cell r="AA114">
            <v>38</v>
          </cell>
          <cell r="AB114">
            <v>96</v>
          </cell>
          <cell r="AC114">
            <v>60</v>
          </cell>
          <cell r="AD114">
            <v>47</v>
          </cell>
          <cell r="AE114">
            <v>39</v>
          </cell>
          <cell r="AF114">
            <v>0</v>
          </cell>
          <cell r="AG114">
            <v>0</v>
          </cell>
          <cell r="AH114"/>
          <cell r="AI114">
            <v>616</v>
          </cell>
          <cell r="AJ114">
            <v>96</v>
          </cell>
          <cell r="AK114">
            <v>19</v>
          </cell>
        </row>
        <row r="115">
          <cell r="C115">
            <v>350619011</v>
          </cell>
          <cell r="D115">
            <v>0</v>
          </cell>
          <cell r="E115">
            <v>61</v>
          </cell>
          <cell r="F115">
            <v>0</v>
          </cell>
          <cell r="G115">
            <v>0</v>
          </cell>
          <cell r="H115">
            <v>14</v>
          </cell>
          <cell r="I115">
            <v>0</v>
          </cell>
          <cell r="J115">
            <v>21</v>
          </cell>
          <cell r="K115">
            <v>11</v>
          </cell>
          <cell r="L115">
            <v>0</v>
          </cell>
          <cell r="M115">
            <v>15</v>
          </cell>
          <cell r="N115">
            <v>29</v>
          </cell>
          <cell r="O115">
            <v>13</v>
          </cell>
          <cell r="P115">
            <v>0</v>
          </cell>
          <cell r="Q115">
            <v>0</v>
          </cell>
          <cell r="R115">
            <v>18</v>
          </cell>
          <cell r="S115">
            <v>0</v>
          </cell>
          <cell r="T115">
            <v>8</v>
          </cell>
          <cell r="U115">
            <v>46</v>
          </cell>
          <cell r="V115">
            <v>63</v>
          </cell>
          <cell r="W115">
            <v>0</v>
          </cell>
          <cell r="X115">
            <v>23</v>
          </cell>
          <cell r="Y115">
            <v>0</v>
          </cell>
          <cell r="Z115">
            <v>16</v>
          </cell>
          <cell r="AA115">
            <v>0</v>
          </cell>
          <cell r="AB115">
            <v>59</v>
          </cell>
          <cell r="AC115">
            <v>58</v>
          </cell>
          <cell r="AD115">
            <v>34</v>
          </cell>
          <cell r="AE115">
            <v>50</v>
          </cell>
          <cell r="AF115">
            <v>0</v>
          </cell>
          <cell r="AG115">
            <v>0</v>
          </cell>
          <cell r="AH115"/>
          <cell r="AI115">
            <v>539</v>
          </cell>
          <cell r="AJ115">
            <v>63</v>
          </cell>
          <cell r="AK115">
            <v>17</v>
          </cell>
        </row>
        <row r="116">
          <cell r="C116">
            <v>350619012</v>
          </cell>
          <cell r="D116">
            <v>0</v>
          </cell>
          <cell r="E116">
            <v>45</v>
          </cell>
          <cell r="F116">
            <v>3</v>
          </cell>
          <cell r="G116">
            <v>0</v>
          </cell>
          <cell r="H116">
            <v>7</v>
          </cell>
          <cell r="I116">
            <v>0</v>
          </cell>
          <cell r="J116">
            <v>56</v>
          </cell>
          <cell r="K116">
            <v>44</v>
          </cell>
          <cell r="L116">
            <v>0</v>
          </cell>
          <cell r="M116">
            <v>59</v>
          </cell>
          <cell r="N116">
            <v>36</v>
          </cell>
          <cell r="O116">
            <v>7</v>
          </cell>
          <cell r="P116">
            <v>0</v>
          </cell>
          <cell r="Q116">
            <v>5</v>
          </cell>
          <cell r="R116">
            <v>40</v>
          </cell>
          <cell r="S116">
            <v>0</v>
          </cell>
          <cell r="T116">
            <v>0</v>
          </cell>
          <cell r="U116">
            <v>45</v>
          </cell>
          <cell r="V116">
            <v>32</v>
          </cell>
          <cell r="W116">
            <v>0</v>
          </cell>
          <cell r="X116">
            <v>55</v>
          </cell>
          <cell r="Y116">
            <v>0</v>
          </cell>
          <cell r="Z116">
            <v>0</v>
          </cell>
          <cell r="AA116">
            <v>20</v>
          </cell>
          <cell r="AB116">
            <v>70</v>
          </cell>
          <cell r="AC116">
            <v>20</v>
          </cell>
          <cell r="AD116">
            <v>15</v>
          </cell>
          <cell r="AE116">
            <v>40</v>
          </cell>
          <cell r="AF116">
            <v>0</v>
          </cell>
          <cell r="AG116">
            <v>0</v>
          </cell>
          <cell r="AH116"/>
          <cell r="AI116">
            <v>599</v>
          </cell>
          <cell r="AJ116">
            <v>70</v>
          </cell>
          <cell r="AK116">
            <v>18</v>
          </cell>
        </row>
        <row r="117">
          <cell r="C117">
            <v>350619013</v>
          </cell>
          <cell r="D117">
            <v>0</v>
          </cell>
          <cell r="E117">
            <v>24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6</v>
          </cell>
          <cell r="K117">
            <v>13</v>
          </cell>
          <cell r="L117">
            <v>47</v>
          </cell>
          <cell r="M117">
            <v>0</v>
          </cell>
          <cell r="N117">
            <v>8</v>
          </cell>
          <cell r="O117">
            <v>0</v>
          </cell>
          <cell r="P117">
            <v>30</v>
          </cell>
          <cell r="Q117">
            <v>0</v>
          </cell>
          <cell r="R117">
            <v>12</v>
          </cell>
          <cell r="S117">
            <v>6</v>
          </cell>
          <cell r="T117">
            <v>33</v>
          </cell>
          <cell r="U117">
            <v>8</v>
          </cell>
          <cell r="V117">
            <v>70</v>
          </cell>
          <cell r="W117">
            <v>0</v>
          </cell>
          <cell r="X117">
            <v>0</v>
          </cell>
          <cell r="Y117">
            <v>0</v>
          </cell>
          <cell r="Z117">
            <v>40</v>
          </cell>
          <cell r="AA117">
            <v>0</v>
          </cell>
          <cell r="AB117">
            <v>58</v>
          </cell>
          <cell r="AC117">
            <v>60</v>
          </cell>
          <cell r="AD117">
            <v>0</v>
          </cell>
          <cell r="AE117">
            <v>55</v>
          </cell>
          <cell r="AF117">
            <v>0</v>
          </cell>
          <cell r="AG117">
            <v>7</v>
          </cell>
          <cell r="AH117"/>
          <cell r="AI117">
            <v>477</v>
          </cell>
          <cell r="AJ117">
            <v>70</v>
          </cell>
          <cell r="AK117">
            <v>16</v>
          </cell>
        </row>
        <row r="118">
          <cell r="C118">
            <v>350619014</v>
          </cell>
          <cell r="D118">
            <v>0</v>
          </cell>
          <cell r="E118">
            <v>44</v>
          </cell>
          <cell r="F118">
            <v>4</v>
          </cell>
          <cell r="G118">
            <v>0</v>
          </cell>
          <cell r="H118">
            <v>0</v>
          </cell>
          <cell r="I118">
            <v>0</v>
          </cell>
          <cell r="J118">
            <v>26</v>
          </cell>
          <cell r="K118">
            <v>40</v>
          </cell>
          <cell r="L118">
            <v>0</v>
          </cell>
          <cell r="M118">
            <v>20</v>
          </cell>
          <cell r="N118">
            <v>5</v>
          </cell>
          <cell r="O118">
            <v>33</v>
          </cell>
          <cell r="P118">
            <v>12</v>
          </cell>
          <cell r="Q118">
            <v>6</v>
          </cell>
          <cell r="R118">
            <v>4</v>
          </cell>
          <cell r="S118">
            <v>0</v>
          </cell>
          <cell r="T118">
            <v>10</v>
          </cell>
          <cell r="U118">
            <v>17</v>
          </cell>
          <cell r="V118">
            <v>18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4</v>
          </cell>
          <cell r="AB118">
            <v>44</v>
          </cell>
          <cell r="AC118">
            <v>13</v>
          </cell>
          <cell r="AD118">
            <v>8</v>
          </cell>
          <cell r="AE118">
            <v>0</v>
          </cell>
          <cell r="AF118">
            <v>0</v>
          </cell>
          <cell r="AG118">
            <v>0</v>
          </cell>
          <cell r="AH118"/>
          <cell r="AI118">
            <v>308</v>
          </cell>
          <cell r="AJ118">
            <v>44</v>
          </cell>
          <cell r="AK118">
            <v>17</v>
          </cell>
        </row>
        <row r="119">
          <cell r="C119">
            <v>350619015</v>
          </cell>
          <cell r="D119">
            <v>0</v>
          </cell>
          <cell r="E119">
            <v>58</v>
          </cell>
          <cell r="F119">
            <v>6</v>
          </cell>
          <cell r="G119">
            <v>0</v>
          </cell>
          <cell r="H119">
            <v>11</v>
          </cell>
          <cell r="I119">
            <v>0</v>
          </cell>
          <cell r="J119">
            <v>40</v>
          </cell>
          <cell r="K119">
            <v>43</v>
          </cell>
          <cell r="L119">
            <v>0</v>
          </cell>
          <cell r="M119">
            <v>24</v>
          </cell>
          <cell r="N119">
            <v>9</v>
          </cell>
          <cell r="O119">
            <v>9</v>
          </cell>
          <cell r="P119">
            <v>4</v>
          </cell>
          <cell r="Q119">
            <v>14</v>
          </cell>
          <cell r="R119">
            <v>6</v>
          </cell>
          <cell r="S119">
            <v>0</v>
          </cell>
          <cell r="T119">
            <v>5</v>
          </cell>
          <cell r="U119">
            <v>30</v>
          </cell>
          <cell r="V119">
            <v>22</v>
          </cell>
          <cell r="W119">
            <v>0</v>
          </cell>
          <cell r="X119">
            <v>22</v>
          </cell>
          <cell r="Y119">
            <v>0</v>
          </cell>
          <cell r="Z119">
            <v>2</v>
          </cell>
          <cell r="AA119">
            <v>37</v>
          </cell>
          <cell r="AB119">
            <v>50</v>
          </cell>
          <cell r="AC119">
            <v>20</v>
          </cell>
          <cell r="AD119">
            <v>19</v>
          </cell>
          <cell r="AE119">
            <v>25</v>
          </cell>
          <cell r="AF119">
            <v>0</v>
          </cell>
          <cell r="AG119">
            <v>0</v>
          </cell>
          <cell r="AH119"/>
          <cell r="AI119">
            <v>456</v>
          </cell>
          <cell r="AJ119">
            <v>58</v>
          </cell>
          <cell r="AK119">
            <v>21</v>
          </cell>
        </row>
        <row r="120">
          <cell r="C120">
            <v>350619016</v>
          </cell>
          <cell r="D120">
            <v>0</v>
          </cell>
          <cell r="E120">
            <v>23</v>
          </cell>
          <cell r="F120">
            <v>3</v>
          </cell>
          <cell r="G120">
            <v>0</v>
          </cell>
          <cell r="H120">
            <v>0</v>
          </cell>
          <cell r="I120">
            <v>0</v>
          </cell>
          <cell r="J120">
            <v>31</v>
          </cell>
          <cell r="K120">
            <v>1</v>
          </cell>
          <cell r="L120">
            <v>26</v>
          </cell>
          <cell r="M120">
            <v>1</v>
          </cell>
          <cell r="N120">
            <v>5</v>
          </cell>
          <cell r="O120">
            <v>0</v>
          </cell>
          <cell r="P120">
            <v>18</v>
          </cell>
          <cell r="Q120">
            <v>0</v>
          </cell>
          <cell r="R120">
            <v>0</v>
          </cell>
          <cell r="S120">
            <v>0</v>
          </cell>
          <cell r="T120">
            <v>7</v>
          </cell>
          <cell r="U120">
            <v>38</v>
          </cell>
          <cell r="V120">
            <v>33</v>
          </cell>
          <cell r="W120">
            <v>0</v>
          </cell>
          <cell r="X120">
            <v>0</v>
          </cell>
          <cell r="Y120">
            <v>0</v>
          </cell>
          <cell r="Z120">
            <v>3</v>
          </cell>
          <cell r="AA120">
            <v>0</v>
          </cell>
          <cell r="AB120">
            <v>56</v>
          </cell>
          <cell r="AC120">
            <v>4</v>
          </cell>
          <cell r="AD120">
            <v>27</v>
          </cell>
          <cell r="AE120">
            <v>7</v>
          </cell>
          <cell r="AF120">
            <v>0</v>
          </cell>
          <cell r="AG120">
            <v>0</v>
          </cell>
          <cell r="AH120"/>
          <cell r="AI120">
            <v>283</v>
          </cell>
          <cell r="AJ120">
            <v>56</v>
          </cell>
          <cell r="AK120">
            <v>16</v>
          </cell>
        </row>
        <row r="121">
          <cell r="C121">
            <v>350619017</v>
          </cell>
          <cell r="D121">
            <v>0</v>
          </cell>
          <cell r="E121">
            <v>40</v>
          </cell>
          <cell r="F121">
            <v>5</v>
          </cell>
          <cell r="G121">
            <v>0</v>
          </cell>
          <cell r="H121">
            <v>9</v>
          </cell>
          <cell r="I121">
            <v>0</v>
          </cell>
          <cell r="J121">
            <v>55</v>
          </cell>
          <cell r="K121">
            <v>19</v>
          </cell>
          <cell r="L121">
            <v>0</v>
          </cell>
          <cell r="M121">
            <v>40</v>
          </cell>
          <cell r="N121">
            <v>0</v>
          </cell>
          <cell r="O121">
            <v>35</v>
          </cell>
          <cell r="P121">
            <v>14</v>
          </cell>
          <cell r="Q121">
            <v>5</v>
          </cell>
          <cell r="R121">
            <v>0</v>
          </cell>
          <cell r="S121">
            <v>0</v>
          </cell>
          <cell r="T121">
            <v>12</v>
          </cell>
          <cell r="U121">
            <v>0</v>
          </cell>
          <cell r="V121">
            <v>0</v>
          </cell>
          <cell r="W121">
            <v>0</v>
          </cell>
          <cell r="X121">
            <v>5</v>
          </cell>
          <cell r="Y121">
            <v>0</v>
          </cell>
          <cell r="Z121">
            <v>0</v>
          </cell>
          <cell r="AA121">
            <v>8</v>
          </cell>
          <cell r="AB121">
            <v>68</v>
          </cell>
          <cell r="AC121">
            <v>30</v>
          </cell>
          <cell r="AD121">
            <v>18</v>
          </cell>
          <cell r="AE121">
            <v>0</v>
          </cell>
          <cell r="AF121">
            <v>0</v>
          </cell>
          <cell r="AG121">
            <v>0</v>
          </cell>
          <cell r="AH121"/>
          <cell r="AI121">
            <v>363</v>
          </cell>
          <cell r="AJ121">
            <v>68</v>
          </cell>
          <cell r="AK121">
            <v>15</v>
          </cell>
        </row>
        <row r="122">
          <cell r="C122">
            <v>350619018</v>
          </cell>
          <cell r="D122">
            <v>0</v>
          </cell>
          <cell r="E122">
            <v>6</v>
          </cell>
          <cell r="F122">
            <v>0</v>
          </cell>
          <cell r="G122">
            <v>0</v>
          </cell>
          <cell r="H122">
            <v>2</v>
          </cell>
          <cell r="I122">
            <v>0</v>
          </cell>
          <cell r="J122">
            <v>9</v>
          </cell>
          <cell r="K122">
            <v>2</v>
          </cell>
          <cell r="L122">
            <v>14</v>
          </cell>
          <cell r="M122">
            <v>5</v>
          </cell>
          <cell r="N122">
            <v>7</v>
          </cell>
          <cell r="O122">
            <v>5</v>
          </cell>
          <cell r="P122">
            <v>15</v>
          </cell>
          <cell r="Q122">
            <v>0</v>
          </cell>
          <cell r="R122">
            <v>3</v>
          </cell>
          <cell r="S122">
            <v>1</v>
          </cell>
          <cell r="T122">
            <v>6</v>
          </cell>
          <cell r="U122">
            <v>9</v>
          </cell>
          <cell r="V122">
            <v>14</v>
          </cell>
          <cell r="W122">
            <v>0</v>
          </cell>
          <cell r="X122">
            <v>0</v>
          </cell>
          <cell r="Y122">
            <v>0</v>
          </cell>
          <cell r="Z122">
            <v>5</v>
          </cell>
          <cell r="AA122">
            <v>0</v>
          </cell>
          <cell r="AB122">
            <v>21</v>
          </cell>
          <cell r="AC122">
            <v>16</v>
          </cell>
          <cell r="AD122">
            <v>7</v>
          </cell>
          <cell r="AE122">
            <v>5</v>
          </cell>
          <cell r="AF122">
            <v>0</v>
          </cell>
          <cell r="AG122">
            <v>12</v>
          </cell>
          <cell r="AH122"/>
          <cell r="AI122">
            <v>164</v>
          </cell>
          <cell r="AJ122">
            <v>21</v>
          </cell>
          <cell r="AK122">
            <v>20</v>
          </cell>
        </row>
        <row r="123">
          <cell r="C123">
            <v>350619019</v>
          </cell>
          <cell r="D123">
            <v>0</v>
          </cell>
          <cell r="E123">
            <v>45</v>
          </cell>
          <cell r="F123">
            <v>3</v>
          </cell>
          <cell r="G123">
            <v>0</v>
          </cell>
          <cell r="H123">
            <v>0</v>
          </cell>
          <cell r="I123">
            <v>0</v>
          </cell>
          <cell r="J123">
            <v>25</v>
          </cell>
          <cell r="K123">
            <v>8</v>
          </cell>
          <cell r="L123">
            <v>2</v>
          </cell>
          <cell r="M123">
            <v>15</v>
          </cell>
          <cell r="N123">
            <v>3</v>
          </cell>
          <cell r="O123">
            <v>32</v>
          </cell>
          <cell r="P123">
            <v>11</v>
          </cell>
          <cell r="Q123">
            <v>4</v>
          </cell>
          <cell r="R123">
            <v>3</v>
          </cell>
          <cell r="S123">
            <v>0</v>
          </cell>
          <cell r="T123">
            <v>10</v>
          </cell>
          <cell r="U123">
            <v>16</v>
          </cell>
          <cell r="V123">
            <v>19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2</v>
          </cell>
          <cell r="AB123">
            <v>41</v>
          </cell>
          <cell r="AC123">
            <v>12</v>
          </cell>
          <cell r="AD123">
            <v>6</v>
          </cell>
          <cell r="AE123">
            <v>0</v>
          </cell>
          <cell r="AF123">
            <v>0</v>
          </cell>
          <cell r="AG123">
            <v>0</v>
          </cell>
          <cell r="AH123"/>
          <cell r="AI123">
            <v>257</v>
          </cell>
          <cell r="AJ123">
            <v>45</v>
          </cell>
          <cell r="AK123">
            <v>18</v>
          </cell>
        </row>
        <row r="124">
          <cell r="C124">
            <v>350619020</v>
          </cell>
          <cell r="D124">
            <v>0</v>
          </cell>
          <cell r="E124">
            <v>160</v>
          </cell>
          <cell r="F124">
            <v>8</v>
          </cell>
          <cell r="G124">
            <v>0</v>
          </cell>
          <cell r="H124">
            <v>35</v>
          </cell>
          <cell r="I124">
            <v>28</v>
          </cell>
          <cell r="J124">
            <v>40</v>
          </cell>
          <cell r="K124">
            <v>25</v>
          </cell>
          <cell r="L124">
            <v>0</v>
          </cell>
          <cell r="M124">
            <v>54</v>
          </cell>
          <cell r="N124">
            <v>5</v>
          </cell>
          <cell r="O124">
            <v>7</v>
          </cell>
          <cell r="P124">
            <v>24</v>
          </cell>
          <cell r="Q124">
            <v>5</v>
          </cell>
          <cell r="R124">
            <v>4</v>
          </cell>
          <cell r="S124">
            <v>0</v>
          </cell>
          <cell r="T124">
            <v>3</v>
          </cell>
          <cell r="U124">
            <v>18</v>
          </cell>
          <cell r="V124">
            <v>40</v>
          </cell>
          <cell r="W124">
            <v>0</v>
          </cell>
          <cell r="X124">
            <v>8</v>
          </cell>
          <cell r="Y124">
            <v>0</v>
          </cell>
          <cell r="Z124">
            <v>10</v>
          </cell>
          <cell r="AA124">
            <v>0</v>
          </cell>
          <cell r="AB124">
            <v>48</v>
          </cell>
          <cell r="AC124">
            <v>47</v>
          </cell>
          <cell r="AD124">
            <v>37</v>
          </cell>
          <cell r="AE124">
            <v>7</v>
          </cell>
          <cell r="AF124">
            <v>0</v>
          </cell>
          <cell r="AG124">
            <v>0</v>
          </cell>
          <cell r="AH124"/>
          <cell r="AI124">
            <v>613</v>
          </cell>
          <cell r="AJ124">
            <v>160</v>
          </cell>
          <cell r="AK124">
            <v>21</v>
          </cell>
        </row>
        <row r="125">
          <cell r="C125">
            <v>350619021</v>
          </cell>
          <cell r="D125">
            <v>0</v>
          </cell>
          <cell r="E125">
            <v>66</v>
          </cell>
          <cell r="F125">
            <v>1</v>
          </cell>
          <cell r="G125">
            <v>0</v>
          </cell>
          <cell r="H125">
            <v>13</v>
          </cell>
          <cell r="I125">
            <v>22</v>
          </cell>
          <cell r="J125">
            <v>5</v>
          </cell>
          <cell r="K125">
            <v>8</v>
          </cell>
          <cell r="L125">
            <v>0</v>
          </cell>
          <cell r="M125">
            <v>7</v>
          </cell>
          <cell r="N125">
            <v>14</v>
          </cell>
          <cell r="O125">
            <v>10</v>
          </cell>
          <cell r="P125">
            <v>29</v>
          </cell>
          <cell r="Q125">
            <v>0</v>
          </cell>
          <cell r="R125">
            <v>9</v>
          </cell>
          <cell r="S125">
            <v>3</v>
          </cell>
          <cell r="T125">
            <v>7</v>
          </cell>
          <cell r="U125">
            <v>21</v>
          </cell>
          <cell r="V125">
            <v>26</v>
          </cell>
          <cell r="W125">
            <v>0</v>
          </cell>
          <cell r="X125">
            <v>0</v>
          </cell>
          <cell r="Y125">
            <v>0</v>
          </cell>
          <cell r="Z125">
            <v>4</v>
          </cell>
          <cell r="AA125">
            <v>2</v>
          </cell>
          <cell r="AB125">
            <v>54</v>
          </cell>
          <cell r="AC125">
            <v>32</v>
          </cell>
          <cell r="AD125">
            <v>7</v>
          </cell>
          <cell r="AE125">
            <v>10</v>
          </cell>
          <cell r="AF125">
            <v>0</v>
          </cell>
          <cell r="AG125">
            <v>1</v>
          </cell>
          <cell r="AH125"/>
          <cell r="AI125">
            <v>351</v>
          </cell>
          <cell r="AJ125">
            <v>66</v>
          </cell>
          <cell r="AK125">
            <v>22</v>
          </cell>
        </row>
        <row r="126">
          <cell r="C126">
            <v>350619022</v>
          </cell>
          <cell r="D126">
            <v>0</v>
          </cell>
          <cell r="E126">
            <v>59</v>
          </cell>
          <cell r="F126">
            <v>23</v>
          </cell>
          <cell r="G126">
            <v>13</v>
          </cell>
          <cell r="H126">
            <v>6</v>
          </cell>
          <cell r="I126">
            <v>4</v>
          </cell>
          <cell r="J126">
            <v>29</v>
          </cell>
          <cell r="K126">
            <v>11</v>
          </cell>
          <cell r="L126">
            <v>18</v>
          </cell>
          <cell r="M126">
            <v>7</v>
          </cell>
          <cell r="N126">
            <v>43</v>
          </cell>
          <cell r="O126">
            <v>17</v>
          </cell>
          <cell r="P126">
            <v>57</v>
          </cell>
          <cell r="Q126">
            <v>0</v>
          </cell>
          <cell r="R126">
            <v>55</v>
          </cell>
          <cell r="S126">
            <v>3</v>
          </cell>
          <cell r="T126">
            <v>34</v>
          </cell>
          <cell r="U126">
            <v>14</v>
          </cell>
          <cell r="V126">
            <v>71</v>
          </cell>
          <cell r="W126">
            <v>0</v>
          </cell>
          <cell r="X126">
            <v>5</v>
          </cell>
          <cell r="Y126">
            <v>0</v>
          </cell>
          <cell r="Z126">
            <v>0</v>
          </cell>
          <cell r="AA126">
            <v>23</v>
          </cell>
          <cell r="AB126">
            <v>58</v>
          </cell>
          <cell r="AC126">
            <v>38</v>
          </cell>
          <cell r="AD126">
            <v>34</v>
          </cell>
          <cell r="AE126">
            <v>14</v>
          </cell>
          <cell r="AF126">
            <v>0</v>
          </cell>
          <cell r="AG126">
            <v>11</v>
          </cell>
          <cell r="AH126"/>
          <cell r="AI126">
            <v>647</v>
          </cell>
          <cell r="AJ126">
            <v>71</v>
          </cell>
          <cell r="AK126">
            <v>24</v>
          </cell>
        </row>
        <row r="127">
          <cell r="C127">
            <v>350619023</v>
          </cell>
          <cell r="D127">
            <v>0</v>
          </cell>
          <cell r="E127">
            <v>50</v>
          </cell>
          <cell r="F127">
            <v>19</v>
          </cell>
          <cell r="G127">
            <v>15</v>
          </cell>
          <cell r="H127">
            <v>8</v>
          </cell>
          <cell r="I127">
            <v>14</v>
          </cell>
          <cell r="J127">
            <v>24</v>
          </cell>
          <cell r="K127">
            <v>11</v>
          </cell>
          <cell r="L127">
            <v>5</v>
          </cell>
          <cell r="M127">
            <v>7</v>
          </cell>
          <cell r="N127">
            <v>30</v>
          </cell>
          <cell r="O127">
            <v>14</v>
          </cell>
          <cell r="P127">
            <v>9</v>
          </cell>
          <cell r="Q127">
            <v>7</v>
          </cell>
          <cell r="R127">
            <v>39</v>
          </cell>
          <cell r="S127">
            <v>0</v>
          </cell>
          <cell r="T127">
            <v>25</v>
          </cell>
          <cell r="U127">
            <v>10</v>
          </cell>
          <cell r="V127">
            <v>52</v>
          </cell>
          <cell r="W127">
            <v>0</v>
          </cell>
          <cell r="X127">
            <v>3</v>
          </cell>
          <cell r="Y127">
            <v>0</v>
          </cell>
          <cell r="Z127">
            <v>0</v>
          </cell>
          <cell r="AA127">
            <v>19</v>
          </cell>
          <cell r="AB127">
            <v>51</v>
          </cell>
          <cell r="AC127">
            <v>29</v>
          </cell>
          <cell r="AD127">
            <v>31</v>
          </cell>
          <cell r="AE127">
            <v>10</v>
          </cell>
          <cell r="AF127">
            <v>0</v>
          </cell>
          <cell r="AG127">
            <v>0</v>
          </cell>
          <cell r="AH127"/>
          <cell r="AI127">
            <v>482</v>
          </cell>
          <cell r="AJ127">
            <v>52</v>
          </cell>
          <cell r="AK127">
            <v>23</v>
          </cell>
        </row>
        <row r="128">
          <cell r="C128">
            <v>350619024</v>
          </cell>
          <cell r="D128">
            <v>0</v>
          </cell>
          <cell r="E128">
            <v>79</v>
          </cell>
          <cell r="F128">
            <v>6</v>
          </cell>
          <cell r="G128">
            <v>0</v>
          </cell>
          <cell r="H128">
            <v>18</v>
          </cell>
          <cell r="I128">
            <v>26</v>
          </cell>
          <cell r="J128">
            <v>10</v>
          </cell>
          <cell r="K128">
            <v>11</v>
          </cell>
          <cell r="L128">
            <v>0</v>
          </cell>
          <cell r="M128">
            <v>14</v>
          </cell>
          <cell r="N128">
            <v>18</v>
          </cell>
          <cell r="O128">
            <v>15</v>
          </cell>
          <cell r="P128">
            <v>34</v>
          </cell>
          <cell r="Q128">
            <v>0</v>
          </cell>
          <cell r="R128">
            <v>13</v>
          </cell>
          <cell r="S128">
            <v>8</v>
          </cell>
          <cell r="T128">
            <v>11</v>
          </cell>
          <cell r="U128">
            <v>28</v>
          </cell>
          <cell r="V128">
            <v>64</v>
          </cell>
          <cell r="W128">
            <v>0</v>
          </cell>
          <cell r="X128">
            <v>0</v>
          </cell>
          <cell r="Y128">
            <v>0</v>
          </cell>
          <cell r="Z128">
            <v>9</v>
          </cell>
          <cell r="AA128">
            <v>5</v>
          </cell>
          <cell r="AB128">
            <v>61</v>
          </cell>
          <cell r="AC128">
            <v>42</v>
          </cell>
          <cell r="AD128">
            <v>8</v>
          </cell>
          <cell r="AE128">
            <v>13</v>
          </cell>
          <cell r="AF128">
            <v>0</v>
          </cell>
          <cell r="AG128">
            <v>4</v>
          </cell>
          <cell r="AH128"/>
          <cell r="AI128">
            <v>497</v>
          </cell>
          <cell r="AJ128">
            <v>79</v>
          </cell>
          <cell r="AK128">
            <v>22</v>
          </cell>
        </row>
        <row r="129">
          <cell r="C129">
            <v>350619025</v>
          </cell>
          <cell r="D129">
            <v>0</v>
          </cell>
          <cell r="E129">
            <v>159</v>
          </cell>
          <cell r="F129">
            <v>0</v>
          </cell>
          <cell r="G129">
            <v>0</v>
          </cell>
          <cell r="H129">
            <v>134</v>
          </cell>
          <cell r="I129">
            <v>147</v>
          </cell>
          <cell r="J129">
            <v>76</v>
          </cell>
          <cell r="K129">
            <v>24</v>
          </cell>
          <cell r="L129">
            <v>65</v>
          </cell>
          <cell r="M129">
            <v>4</v>
          </cell>
          <cell r="N129">
            <v>62</v>
          </cell>
          <cell r="O129">
            <v>58</v>
          </cell>
          <cell r="P129">
            <v>20</v>
          </cell>
          <cell r="Q129">
            <v>24</v>
          </cell>
          <cell r="R129">
            <v>6</v>
          </cell>
          <cell r="S129">
            <v>0</v>
          </cell>
          <cell r="T129">
            <v>62</v>
          </cell>
          <cell r="U129">
            <v>72</v>
          </cell>
          <cell r="V129">
            <v>124</v>
          </cell>
          <cell r="W129">
            <v>4</v>
          </cell>
          <cell r="X129">
            <v>6</v>
          </cell>
          <cell r="Y129">
            <v>0</v>
          </cell>
          <cell r="Z129">
            <v>5</v>
          </cell>
          <cell r="AA129">
            <v>4</v>
          </cell>
          <cell r="AB129">
            <v>120</v>
          </cell>
          <cell r="AC129">
            <v>64</v>
          </cell>
          <cell r="AD129">
            <v>49</v>
          </cell>
          <cell r="AE129">
            <v>12</v>
          </cell>
          <cell r="AF129">
            <v>0</v>
          </cell>
          <cell r="AG129">
            <v>0</v>
          </cell>
          <cell r="AH129"/>
          <cell r="AI129">
            <v>1301</v>
          </cell>
          <cell r="AJ129">
            <v>159</v>
          </cell>
          <cell r="AK129">
            <v>23</v>
          </cell>
        </row>
        <row r="130">
          <cell r="C130">
            <v>350619026</v>
          </cell>
          <cell r="D130">
            <v>14</v>
          </cell>
          <cell r="E130">
            <v>47</v>
          </cell>
          <cell r="F130">
            <v>11</v>
          </cell>
          <cell r="G130">
            <v>16</v>
          </cell>
          <cell r="H130">
            <v>21</v>
          </cell>
          <cell r="I130">
            <v>3</v>
          </cell>
          <cell r="J130">
            <v>10</v>
          </cell>
          <cell r="K130">
            <v>19</v>
          </cell>
          <cell r="L130">
            <v>27</v>
          </cell>
          <cell r="M130">
            <v>21</v>
          </cell>
          <cell r="N130">
            <v>7</v>
          </cell>
          <cell r="O130">
            <v>11</v>
          </cell>
          <cell r="P130">
            <v>71</v>
          </cell>
          <cell r="Q130">
            <v>28</v>
          </cell>
          <cell r="R130">
            <v>41</v>
          </cell>
          <cell r="S130">
            <v>21</v>
          </cell>
          <cell r="T130">
            <v>23</v>
          </cell>
          <cell r="U130">
            <v>29</v>
          </cell>
          <cell r="V130">
            <v>78</v>
          </cell>
          <cell r="W130">
            <v>0</v>
          </cell>
          <cell r="X130">
            <v>10</v>
          </cell>
          <cell r="Y130">
            <v>7</v>
          </cell>
          <cell r="Z130">
            <v>0</v>
          </cell>
          <cell r="AA130">
            <v>21</v>
          </cell>
          <cell r="AB130">
            <v>39</v>
          </cell>
          <cell r="AC130">
            <v>42</v>
          </cell>
          <cell r="AD130">
            <v>26</v>
          </cell>
          <cell r="AE130">
            <v>31</v>
          </cell>
          <cell r="AF130">
            <v>4</v>
          </cell>
          <cell r="AG130">
            <v>0</v>
          </cell>
          <cell r="AH130"/>
          <cell r="AI130">
            <v>678</v>
          </cell>
          <cell r="AJ130">
            <v>78</v>
          </cell>
          <cell r="AK130">
            <v>27</v>
          </cell>
        </row>
        <row r="131">
          <cell r="C131">
            <v>350619027</v>
          </cell>
          <cell r="D131">
            <v>0</v>
          </cell>
          <cell r="E131">
            <v>90</v>
          </cell>
          <cell r="F131">
            <v>0</v>
          </cell>
          <cell r="G131">
            <v>0</v>
          </cell>
          <cell r="H131">
            <v>26</v>
          </cell>
          <cell r="I131">
            <v>9</v>
          </cell>
          <cell r="J131">
            <v>28</v>
          </cell>
          <cell r="K131">
            <v>22</v>
          </cell>
          <cell r="L131">
            <v>0</v>
          </cell>
          <cell r="M131">
            <v>57</v>
          </cell>
          <cell r="N131">
            <v>3</v>
          </cell>
          <cell r="O131">
            <v>38</v>
          </cell>
          <cell r="P131">
            <v>4</v>
          </cell>
          <cell r="Q131">
            <v>18</v>
          </cell>
          <cell r="R131">
            <v>2</v>
          </cell>
          <cell r="S131">
            <v>0</v>
          </cell>
          <cell r="T131">
            <v>0</v>
          </cell>
          <cell r="U131">
            <v>16</v>
          </cell>
          <cell r="V131">
            <v>39</v>
          </cell>
          <cell r="W131">
            <v>0</v>
          </cell>
          <cell r="X131">
            <v>10</v>
          </cell>
          <cell r="Y131">
            <v>0</v>
          </cell>
          <cell r="Z131">
            <v>0</v>
          </cell>
          <cell r="AA131">
            <v>2</v>
          </cell>
          <cell r="AB131">
            <v>0</v>
          </cell>
          <cell r="AC131">
            <v>12</v>
          </cell>
          <cell r="AD131">
            <v>13</v>
          </cell>
          <cell r="AE131">
            <v>16</v>
          </cell>
          <cell r="AF131">
            <v>0</v>
          </cell>
          <cell r="AG131">
            <v>0</v>
          </cell>
          <cell r="AH131"/>
          <cell r="AI131">
            <v>405</v>
          </cell>
          <cell r="AJ131">
            <v>90</v>
          </cell>
          <cell r="AK131">
            <v>18</v>
          </cell>
        </row>
        <row r="132">
          <cell r="C132">
            <v>350619028</v>
          </cell>
          <cell r="D132">
            <v>0</v>
          </cell>
          <cell r="E132">
            <v>81</v>
          </cell>
          <cell r="F132">
            <v>0</v>
          </cell>
          <cell r="G132">
            <v>0</v>
          </cell>
          <cell r="H132">
            <v>24</v>
          </cell>
          <cell r="I132">
            <v>36</v>
          </cell>
          <cell r="J132">
            <v>12</v>
          </cell>
          <cell r="K132">
            <v>0</v>
          </cell>
          <cell r="L132">
            <v>5</v>
          </cell>
          <cell r="M132">
            <v>7</v>
          </cell>
          <cell r="N132">
            <v>0</v>
          </cell>
          <cell r="O132">
            <v>0</v>
          </cell>
          <cell r="P132">
            <v>18</v>
          </cell>
          <cell r="Q132">
            <v>5</v>
          </cell>
          <cell r="R132">
            <v>7</v>
          </cell>
          <cell r="S132">
            <v>0</v>
          </cell>
          <cell r="T132">
            <v>8</v>
          </cell>
          <cell r="U132">
            <v>12</v>
          </cell>
          <cell r="V132">
            <v>28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26</v>
          </cell>
          <cell r="AC132">
            <v>6</v>
          </cell>
          <cell r="AD132">
            <v>38</v>
          </cell>
          <cell r="AE132">
            <v>0</v>
          </cell>
          <cell r="AF132">
            <v>0</v>
          </cell>
          <cell r="AG132">
            <v>0</v>
          </cell>
          <cell r="AH132"/>
          <cell r="AI132">
            <v>313</v>
          </cell>
          <cell r="AJ132">
            <v>81</v>
          </cell>
          <cell r="AK132">
            <v>15</v>
          </cell>
        </row>
        <row r="133">
          <cell r="C133">
            <v>350619029</v>
          </cell>
          <cell r="D133">
            <v>0</v>
          </cell>
          <cell r="E133">
            <v>92</v>
          </cell>
          <cell r="F133">
            <v>0</v>
          </cell>
          <cell r="G133">
            <v>0</v>
          </cell>
          <cell r="H133">
            <v>23</v>
          </cell>
          <cell r="I133">
            <v>42</v>
          </cell>
          <cell r="J133">
            <v>17</v>
          </cell>
          <cell r="K133">
            <v>8</v>
          </cell>
          <cell r="L133">
            <v>0</v>
          </cell>
          <cell r="M133">
            <v>43</v>
          </cell>
          <cell r="N133">
            <v>0</v>
          </cell>
          <cell r="O133">
            <v>0</v>
          </cell>
          <cell r="P133">
            <v>25</v>
          </cell>
          <cell r="Q133">
            <v>3</v>
          </cell>
          <cell r="R133">
            <v>0</v>
          </cell>
          <cell r="S133">
            <v>0</v>
          </cell>
          <cell r="T133">
            <v>0</v>
          </cell>
          <cell r="U133">
            <v>14</v>
          </cell>
          <cell r="V133">
            <v>30</v>
          </cell>
          <cell r="W133">
            <v>0</v>
          </cell>
          <cell r="X133">
            <v>3</v>
          </cell>
          <cell r="Y133">
            <v>0</v>
          </cell>
          <cell r="Z133">
            <v>0</v>
          </cell>
          <cell r="AA133">
            <v>0</v>
          </cell>
          <cell r="AB133">
            <v>30</v>
          </cell>
          <cell r="AC133">
            <v>6</v>
          </cell>
          <cell r="AD133">
            <v>40</v>
          </cell>
          <cell r="AE133">
            <v>7</v>
          </cell>
          <cell r="AF133">
            <v>0</v>
          </cell>
          <cell r="AG133">
            <v>0</v>
          </cell>
          <cell r="AH133"/>
          <cell r="AI133">
            <v>383</v>
          </cell>
          <cell r="AJ133">
            <v>92</v>
          </cell>
          <cell r="AK133">
            <v>15</v>
          </cell>
        </row>
        <row r="134">
          <cell r="C134">
            <v>350619030</v>
          </cell>
          <cell r="D134">
            <v>0</v>
          </cell>
          <cell r="E134">
            <v>65</v>
          </cell>
          <cell r="F134">
            <v>0</v>
          </cell>
          <cell r="G134">
            <v>0</v>
          </cell>
          <cell r="H134">
            <v>32</v>
          </cell>
          <cell r="I134">
            <v>20</v>
          </cell>
          <cell r="J134">
            <v>25</v>
          </cell>
          <cell r="K134">
            <v>27</v>
          </cell>
          <cell r="L134">
            <v>0</v>
          </cell>
          <cell r="M134">
            <v>20</v>
          </cell>
          <cell r="N134">
            <v>0</v>
          </cell>
          <cell r="O134">
            <v>20</v>
          </cell>
          <cell r="P134">
            <v>7</v>
          </cell>
          <cell r="Q134">
            <v>15</v>
          </cell>
          <cell r="R134">
            <v>3</v>
          </cell>
          <cell r="S134">
            <v>0</v>
          </cell>
          <cell r="T134">
            <v>0</v>
          </cell>
          <cell r="U134">
            <v>10</v>
          </cell>
          <cell r="V134">
            <v>32</v>
          </cell>
          <cell r="W134">
            <v>0</v>
          </cell>
          <cell r="X134">
            <v>3</v>
          </cell>
          <cell r="Y134">
            <v>0</v>
          </cell>
          <cell r="Z134">
            <v>0</v>
          </cell>
          <cell r="AA134">
            <v>8</v>
          </cell>
          <cell r="AB134">
            <v>20</v>
          </cell>
          <cell r="AC134">
            <v>10</v>
          </cell>
          <cell r="AD134">
            <v>7</v>
          </cell>
          <cell r="AE134">
            <v>28</v>
          </cell>
          <cell r="AF134">
            <v>0</v>
          </cell>
          <cell r="AG134">
            <v>0</v>
          </cell>
          <cell r="AH134"/>
          <cell r="AI134">
            <v>352</v>
          </cell>
          <cell r="AJ134">
            <v>65</v>
          </cell>
          <cell r="AK134">
            <v>18</v>
          </cell>
        </row>
        <row r="135">
          <cell r="C135">
            <v>350619031</v>
          </cell>
          <cell r="D135">
            <v>0</v>
          </cell>
          <cell r="E135">
            <v>86</v>
          </cell>
          <cell r="F135">
            <v>2</v>
          </cell>
          <cell r="G135">
            <v>0</v>
          </cell>
          <cell r="H135">
            <v>21</v>
          </cell>
          <cell r="I135">
            <v>20</v>
          </cell>
          <cell r="J135">
            <v>14</v>
          </cell>
          <cell r="K135">
            <v>7</v>
          </cell>
          <cell r="L135">
            <v>0</v>
          </cell>
          <cell r="M135">
            <v>41</v>
          </cell>
          <cell r="N135">
            <v>3</v>
          </cell>
          <cell r="O135">
            <v>25</v>
          </cell>
          <cell r="P135">
            <v>11</v>
          </cell>
          <cell r="Q135">
            <v>5</v>
          </cell>
          <cell r="R135">
            <v>3</v>
          </cell>
          <cell r="S135">
            <v>0</v>
          </cell>
          <cell r="T135">
            <v>0</v>
          </cell>
          <cell r="U135">
            <v>15</v>
          </cell>
          <cell r="V135">
            <v>32</v>
          </cell>
          <cell r="W135">
            <v>0</v>
          </cell>
          <cell r="X135">
            <v>2</v>
          </cell>
          <cell r="Y135">
            <v>0</v>
          </cell>
          <cell r="Z135">
            <v>0</v>
          </cell>
          <cell r="AA135">
            <v>2</v>
          </cell>
          <cell r="AB135">
            <v>52</v>
          </cell>
          <cell r="AC135">
            <v>5</v>
          </cell>
          <cell r="AD135">
            <v>39</v>
          </cell>
          <cell r="AE135">
            <v>6</v>
          </cell>
          <cell r="AF135">
            <v>0</v>
          </cell>
          <cell r="AG135">
            <v>0</v>
          </cell>
          <cell r="AH135"/>
          <cell r="AI135">
            <v>391</v>
          </cell>
          <cell r="AJ135">
            <v>86</v>
          </cell>
          <cell r="AK135">
            <v>20</v>
          </cell>
        </row>
        <row r="136">
          <cell r="C136">
            <v>350619032</v>
          </cell>
          <cell r="D136">
            <v>0</v>
          </cell>
          <cell r="E136">
            <v>56</v>
          </cell>
          <cell r="F136">
            <v>4</v>
          </cell>
          <cell r="G136">
            <v>3</v>
          </cell>
          <cell r="H136">
            <v>23</v>
          </cell>
          <cell r="I136">
            <v>12</v>
          </cell>
          <cell r="J136">
            <v>2</v>
          </cell>
          <cell r="K136">
            <v>3</v>
          </cell>
          <cell r="L136">
            <v>0</v>
          </cell>
          <cell r="M136">
            <v>6</v>
          </cell>
          <cell r="N136">
            <v>0</v>
          </cell>
          <cell r="O136">
            <v>3</v>
          </cell>
          <cell r="P136">
            <v>39</v>
          </cell>
          <cell r="Q136">
            <v>43</v>
          </cell>
          <cell r="R136">
            <v>26</v>
          </cell>
          <cell r="S136">
            <v>0</v>
          </cell>
          <cell r="T136">
            <v>0</v>
          </cell>
          <cell r="U136">
            <v>10</v>
          </cell>
          <cell r="V136">
            <v>73</v>
          </cell>
          <cell r="W136">
            <v>0</v>
          </cell>
          <cell r="X136">
            <v>1</v>
          </cell>
          <cell r="Y136">
            <v>0</v>
          </cell>
          <cell r="Z136">
            <v>0</v>
          </cell>
          <cell r="AA136">
            <v>32</v>
          </cell>
          <cell r="AB136">
            <v>72</v>
          </cell>
          <cell r="AC136">
            <v>11</v>
          </cell>
          <cell r="AD136">
            <v>7</v>
          </cell>
          <cell r="AE136">
            <v>4</v>
          </cell>
          <cell r="AF136">
            <v>0</v>
          </cell>
          <cell r="AG136">
            <v>0</v>
          </cell>
          <cell r="AH136"/>
          <cell r="AI136">
            <v>430</v>
          </cell>
          <cell r="AJ136">
            <v>73</v>
          </cell>
          <cell r="AK136">
            <v>20</v>
          </cell>
        </row>
        <row r="137">
          <cell r="C137">
            <v>350619033</v>
          </cell>
          <cell r="D137">
            <v>0</v>
          </cell>
          <cell r="E137">
            <v>57</v>
          </cell>
          <cell r="F137">
            <v>2</v>
          </cell>
          <cell r="G137">
            <v>0</v>
          </cell>
          <cell r="H137">
            <v>34</v>
          </cell>
          <cell r="I137">
            <v>17</v>
          </cell>
          <cell r="J137">
            <v>6</v>
          </cell>
          <cell r="K137">
            <v>2</v>
          </cell>
          <cell r="L137">
            <v>0</v>
          </cell>
          <cell r="M137">
            <v>25</v>
          </cell>
          <cell r="N137">
            <v>2</v>
          </cell>
          <cell r="O137">
            <v>4</v>
          </cell>
          <cell r="P137">
            <v>19</v>
          </cell>
          <cell r="Q137">
            <v>10</v>
          </cell>
          <cell r="R137">
            <v>8</v>
          </cell>
          <cell r="S137">
            <v>0</v>
          </cell>
          <cell r="T137">
            <v>0</v>
          </cell>
          <cell r="U137">
            <v>41</v>
          </cell>
          <cell r="V137">
            <v>32</v>
          </cell>
          <cell r="W137">
            <v>0</v>
          </cell>
          <cell r="X137">
            <v>9</v>
          </cell>
          <cell r="Y137">
            <v>0</v>
          </cell>
          <cell r="Z137">
            <v>0</v>
          </cell>
          <cell r="AA137">
            <v>0</v>
          </cell>
          <cell r="AB137">
            <v>47</v>
          </cell>
          <cell r="AC137">
            <v>27</v>
          </cell>
          <cell r="AD137">
            <v>23</v>
          </cell>
          <cell r="AE137">
            <v>11</v>
          </cell>
          <cell r="AF137">
            <v>0</v>
          </cell>
          <cell r="AG137">
            <v>0</v>
          </cell>
          <cell r="AH137"/>
          <cell r="AI137">
            <v>376</v>
          </cell>
          <cell r="AJ137">
            <v>57</v>
          </cell>
          <cell r="AK137">
            <v>19</v>
          </cell>
        </row>
        <row r="138">
          <cell r="C138">
            <v>350619034</v>
          </cell>
          <cell r="D138">
            <v>0</v>
          </cell>
          <cell r="E138">
            <v>26</v>
          </cell>
          <cell r="F138">
            <v>2</v>
          </cell>
          <cell r="G138">
            <v>0</v>
          </cell>
          <cell r="H138">
            <v>30</v>
          </cell>
          <cell r="I138">
            <v>10</v>
          </cell>
          <cell r="J138">
            <v>5</v>
          </cell>
          <cell r="K138">
            <v>3</v>
          </cell>
          <cell r="L138">
            <v>0</v>
          </cell>
          <cell r="M138">
            <v>21</v>
          </cell>
          <cell r="N138">
            <v>3</v>
          </cell>
          <cell r="O138">
            <v>3</v>
          </cell>
          <cell r="P138">
            <v>20</v>
          </cell>
          <cell r="Q138">
            <v>8</v>
          </cell>
          <cell r="R138">
            <v>9</v>
          </cell>
          <cell r="S138">
            <v>0</v>
          </cell>
          <cell r="T138">
            <v>0</v>
          </cell>
          <cell r="U138">
            <v>35</v>
          </cell>
          <cell r="V138">
            <v>45</v>
          </cell>
          <cell r="W138">
            <v>0</v>
          </cell>
          <cell r="X138">
            <v>11</v>
          </cell>
          <cell r="Y138">
            <v>0</v>
          </cell>
          <cell r="Z138">
            <v>0</v>
          </cell>
          <cell r="AA138">
            <v>0</v>
          </cell>
          <cell r="AB138">
            <v>35</v>
          </cell>
          <cell r="AC138">
            <v>32</v>
          </cell>
          <cell r="AD138">
            <v>40</v>
          </cell>
          <cell r="AE138">
            <v>13</v>
          </cell>
          <cell r="AF138">
            <v>0</v>
          </cell>
          <cell r="AG138">
            <v>0</v>
          </cell>
          <cell r="AH138"/>
          <cell r="AI138">
            <v>351</v>
          </cell>
          <cell r="AJ138">
            <v>45</v>
          </cell>
          <cell r="AK138">
            <v>19</v>
          </cell>
        </row>
        <row r="139">
          <cell r="C139">
            <v>350619035</v>
          </cell>
          <cell r="D139">
            <v>0</v>
          </cell>
          <cell r="E139">
            <v>25</v>
          </cell>
          <cell r="F139">
            <v>14</v>
          </cell>
          <cell r="G139">
            <v>0</v>
          </cell>
          <cell r="H139">
            <v>14</v>
          </cell>
          <cell r="I139">
            <v>0</v>
          </cell>
          <cell r="J139">
            <v>22</v>
          </cell>
          <cell r="K139">
            <v>18</v>
          </cell>
          <cell r="L139">
            <v>0</v>
          </cell>
          <cell r="M139">
            <v>12</v>
          </cell>
          <cell r="N139">
            <v>13</v>
          </cell>
          <cell r="O139">
            <v>8</v>
          </cell>
          <cell r="P139">
            <v>10</v>
          </cell>
          <cell r="Q139">
            <v>30</v>
          </cell>
          <cell r="R139">
            <v>15</v>
          </cell>
          <cell r="S139">
            <v>8</v>
          </cell>
          <cell r="T139">
            <v>0</v>
          </cell>
          <cell r="U139">
            <v>28</v>
          </cell>
          <cell r="V139">
            <v>20</v>
          </cell>
          <cell r="W139">
            <v>0</v>
          </cell>
          <cell r="X139">
            <v>25</v>
          </cell>
          <cell r="Y139">
            <v>0</v>
          </cell>
          <cell r="Z139">
            <v>0</v>
          </cell>
          <cell r="AA139">
            <v>0</v>
          </cell>
          <cell r="AB139">
            <v>20</v>
          </cell>
          <cell r="AC139">
            <v>0</v>
          </cell>
          <cell r="AD139">
            <v>10</v>
          </cell>
          <cell r="AE139">
            <v>18</v>
          </cell>
          <cell r="AF139">
            <v>0</v>
          </cell>
          <cell r="AG139">
            <v>0</v>
          </cell>
          <cell r="AH139"/>
          <cell r="AI139">
            <v>310</v>
          </cell>
          <cell r="AJ139">
            <v>30</v>
          </cell>
          <cell r="AK139">
            <v>18</v>
          </cell>
        </row>
        <row r="140">
          <cell r="C140">
            <v>350619036</v>
          </cell>
          <cell r="D140">
            <v>0</v>
          </cell>
          <cell r="E140">
            <v>52</v>
          </cell>
          <cell r="F140">
            <v>0</v>
          </cell>
          <cell r="G140">
            <v>0</v>
          </cell>
          <cell r="H140">
            <v>28</v>
          </cell>
          <cell r="I140">
            <v>21</v>
          </cell>
          <cell r="J140">
            <v>25</v>
          </cell>
          <cell r="K140">
            <v>0</v>
          </cell>
          <cell r="L140">
            <v>6</v>
          </cell>
          <cell r="M140">
            <v>9</v>
          </cell>
          <cell r="N140">
            <v>0</v>
          </cell>
          <cell r="O140">
            <v>0</v>
          </cell>
          <cell r="P140">
            <v>15</v>
          </cell>
          <cell r="Q140">
            <v>6</v>
          </cell>
          <cell r="R140">
            <v>8</v>
          </cell>
          <cell r="S140">
            <v>0</v>
          </cell>
          <cell r="T140">
            <v>21</v>
          </cell>
          <cell r="U140">
            <v>7</v>
          </cell>
          <cell r="V140">
            <v>33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28</v>
          </cell>
          <cell r="AC140">
            <v>5</v>
          </cell>
          <cell r="AD140">
            <v>36</v>
          </cell>
          <cell r="AE140">
            <v>5</v>
          </cell>
          <cell r="AF140">
            <v>0</v>
          </cell>
          <cell r="AG140">
            <v>0</v>
          </cell>
          <cell r="AH140"/>
          <cell r="AI140">
            <v>305</v>
          </cell>
          <cell r="AJ140">
            <v>52</v>
          </cell>
          <cell r="AK140">
            <v>16</v>
          </cell>
        </row>
        <row r="141">
          <cell r="C141">
            <v>350620001</v>
          </cell>
          <cell r="D141">
            <v>0</v>
          </cell>
          <cell r="E141">
            <v>41</v>
          </cell>
          <cell r="F141">
            <v>0</v>
          </cell>
          <cell r="G141">
            <v>0</v>
          </cell>
          <cell r="H141">
            <v>12</v>
          </cell>
          <cell r="I141">
            <v>0</v>
          </cell>
          <cell r="J141">
            <v>22</v>
          </cell>
          <cell r="K141">
            <v>23</v>
          </cell>
          <cell r="L141">
            <v>0</v>
          </cell>
          <cell r="M141">
            <v>8</v>
          </cell>
          <cell r="N141">
            <v>9</v>
          </cell>
          <cell r="O141">
            <v>32</v>
          </cell>
          <cell r="P141">
            <v>1</v>
          </cell>
          <cell r="Q141">
            <v>19</v>
          </cell>
          <cell r="R141">
            <v>28</v>
          </cell>
          <cell r="S141">
            <v>0</v>
          </cell>
          <cell r="T141">
            <v>0</v>
          </cell>
          <cell r="U141">
            <v>24</v>
          </cell>
          <cell r="V141">
            <v>69</v>
          </cell>
          <cell r="W141">
            <v>0</v>
          </cell>
          <cell r="X141">
            <v>22</v>
          </cell>
          <cell r="Y141">
            <v>0</v>
          </cell>
          <cell r="Z141">
            <v>0</v>
          </cell>
          <cell r="AA141">
            <v>0</v>
          </cell>
          <cell r="AB141">
            <v>18</v>
          </cell>
          <cell r="AC141">
            <v>12</v>
          </cell>
          <cell r="AD141">
            <v>5</v>
          </cell>
          <cell r="AE141">
            <v>7</v>
          </cell>
          <cell r="AF141">
            <v>0</v>
          </cell>
          <cell r="AG141">
            <v>3</v>
          </cell>
          <cell r="AH141"/>
          <cell r="AI141">
            <v>355</v>
          </cell>
          <cell r="AJ141">
            <v>69</v>
          </cell>
          <cell r="AK141">
            <v>18</v>
          </cell>
        </row>
        <row r="142">
          <cell r="C142">
            <v>350620002</v>
          </cell>
          <cell r="D142">
            <v>0</v>
          </cell>
          <cell r="E142">
            <v>42</v>
          </cell>
          <cell r="F142">
            <v>1</v>
          </cell>
          <cell r="G142">
            <v>0</v>
          </cell>
          <cell r="H142">
            <v>28</v>
          </cell>
          <cell r="I142">
            <v>0</v>
          </cell>
          <cell r="J142">
            <v>22</v>
          </cell>
          <cell r="K142">
            <v>24</v>
          </cell>
          <cell r="L142">
            <v>0</v>
          </cell>
          <cell r="M142">
            <v>1</v>
          </cell>
          <cell r="N142">
            <v>29</v>
          </cell>
          <cell r="O142">
            <v>16</v>
          </cell>
          <cell r="P142">
            <v>4</v>
          </cell>
          <cell r="Q142">
            <v>3</v>
          </cell>
          <cell r="R142">
            <v>2</v>
          </cell>
          <cell r="S142">
            <v>0</v>
          </cell>
          <cell r="T142">
            <v>0</v>
          </cell>
          <cell r="U142">
            <v>7</v>
          </cell>
          <cell r="V142">
            <v>44</v>
          </cell>
          <cell r="W142">
            <v>0</v>
          </cell>
          <cell r="X142">
            <v>24</v>
          </cell>
          <cell r="Y142">
            <v>0</v>
          </cell>
          <cell r="Z142">
            <v>0</v>
          </cell>
          <cell r="AA142">
            <v>0</v>
          </cell>
          <cell r="AB142">
            <v>7</v>
          </cell>
          <cell r="AC142">
            <v>59</v>
          </cell>
          <cell r="AD142">
            <v>4</v>
          </cell>
          <cell r="AE142">
            <v>6</v>
          </cell>
          <cell r="AF142">
            <v>0</v>
          </cell>
          <cell r="AG142">
            <v>0</v>
          </cell>
          <cell r="AH142"/>
          <cell r="AI142">
            <v>323</v>
          </cell>
          <cell r="AJ142">
            <v>59</v>
          </cell>
          <cell r="AK142">
            <v>18</v>
          </cell>
        </row>
        <row r="143">
          <cell r="C143">
            <v>350620003</v>
          </cell>
          <cell r="D143">
            <v>0</v>
          </cell>
          <cell r="E143">
            <v>37</v>
          </cell>
          <cell r="F143">
            <v>0</v>
          </cell>
          <cell r="G143">
            <v>1</v>
          </cell>
          <cell r="H143">
            <v>0</v>
          </cell>
          <cell r="I143">
            <v>0</v>
          </cell>
          <cell r="J143">
            <v>49</v>
          </cell>
          <cell r="K143">
            <v>12</v>
          </cell>
          <cell r="L143">
            <v>0</v>
          </cell>
          <cell r="M143">
            <v>38</v>
          </cell>
          <cell r="N143">
            <v>0</v>
          </cell>
          <cell r="O143">
            <v>11</v>
          </cell>
          <cell r="P143">
            <v>1</v>
          </cell>
          <cell r="Q143">
            <v>1</v>
          </cell>
          <cell r="R143">
            <v>12</v>
          </cell>
          <cell r="S143">
            <v>3</v>
          </cell>
          <cell r="T143">
            <v>11</v>
          </cell>
          <cell r="U143">
            <v>15</v>
          </cell>
          <cell r="V143">
            <v>130</v>
          </cell>
          <cell r="W143">
            <v>0</v>
          </cell>
          <cell r="X143">
            <v>15</v>
          </cell>
          <cell r="Y143">
            <v>0</v>
          </cell>
          <cell r="Z143">
            <v>0</v>
          </cell>
          <cell r="AA143">
            <v>0</v>
          </cell>
          <cell r="AB143">
            <v>20</v>
          </cell>
          <cell r="AC143">
            <v>50</v>
          </cell>
          <cell r="AD143">
            <v>3</v>
          </cell>
          <cell r="AE143">
            <v>11</v>
          </cell>
          <cell r="AF143">
            <v>0</v>
          </cell>
          <cell r="AG143">
            <v>1</v>
          </cell>
          <cell r="AH143"/>
          <cell r="AI143">
            <v>421</v>
          </cell>
          <cell r="AJ143">
            <v>130</v>
          </cell>
          <cell r="AK143">
            <v>19</v>
          </cell>
        </row>
        <row r="144">
          <cell r="C144">
            <v>350620004</v>
          </cell>
          <cell r="D144">
            <v>0</v>
          </cell>
          <cell r="E144">
            <v>18</v>
          </cell>
          <cell r="F144">
            <v>0</v>
          </cell>
          <cell r="G144">
            <v>0</v>
          </cell>
          <cell r="H144">
            <v>11</v>
          </cell>
          <cell r="I144">
            <v>0</v>
          </cell>
          <cell r="J144">
            <v>20</v>
          </cell>
          <cell r="K144">
            <v>14</v>
          </cell>
          <cell r="L144">
            <v>0</v>
          </cell>
          <cell r="M144">
            <v>20</v>
          </cell>
          <cell r="N144">
            <v>9</v>
          </cell>
          <cell r="O144">
            <v>8</v>
          </cell>
          <cell r="P144">
            <v>2</v>
          </cell>
          <cell r="Q144">
            <v>12</v>
          </cell>
          <cell r="R144">
            <v>27</v>
          </cell>
          <cell r="S144">
            <v>0</v>
          </cell>
          <cell r="T144">
            <v>2</v>
          </cell>
          <cell r="U144">
            <v>14</v>
          </cell>
          <cell r="V144">
            <v>92</v>
          </cell>
          <cell r="W144">
            <v>0</v>
          </cell>
          <cell r="X144">
            <v>22</v>
          </cell>
          <cell r="Y144">
            <v>0</v>
          </cell>
          <cell r="Z144">
            <v>3</v>
          </cell>
          <cell r="AA144">
            <v>1</v>
          </cell>
          <cell r="AB144">
            <v>20</v>
          </cell>
          <cell r="AC144">
            <v>10</v>
          </cell>
          <cell r="AD144">
            <v>4</v>
          </cell>
          <cell r="AE144">
            <v>11</v>
          </cell>
          <cell r="AF144">
            <v>0</v>
          </cell>
          <cell r="AG144">
            <v>2</v>
          </cell>
          <cell r="AH144"/>
          <cell r="AI144">
            <v>322</v>
          </cell>
          <cell r="AJ144">
            <v>92</v>
          </cell>
          <cell r="AK144">
            <v>21</v>
          </cell>
        </row>
        <row r="145">
          <cell r="C145">
            <v>350620005</v>
          </cell>
          <cell r="D145">
            <v>0</v>
          </cell>
          <cell r="E145">
            <v>24</v>
          </cell>
          <cell r="F145">
            <v>0</v>
          </cell>
          <cell r="G145">
            <v>0</v>
          </cell>
          <cell r="H145">
            <v>10</v>
          </cell>
          <cell r="I145">
            <v>0</v>
          </cell>
          <cell r="J145">
            <v>33</v>
          </cell>
          <cell r="K145">
            <v>20</v>
          </cell>
          <cell r="L145">
            <v>0</v>
          </cell>
          <cell r="M145">
            <v>24</v>
          </cell>
          <cell r="N145">
            <v>9</v>
          </cell>
          <cell r="O145">
            <v>7</v>
          </cell>
          <cell r="P145">
            <v>3</v>
          </cell>
          <cell r="Q145">
            <v>9</v>
          </cell>
          <cell r="R145">
            <v>32</v>
          </cell>
          <cell r="S145">
            <v>11</v>
          </cell>
          <cell r="T145">
            <v>0</v>
          </cell>
          <cell r="U145">
            <v>11</v>
          </cell>
          <cell r="V145">
            <v>100</v>
          </cell>
          <cell r="W145">
            <v>0</v>
          </cell>
          <cell r="X145">
            <v>21</v>
          </cell>
          <cell r="Y145">
            <v>0</v>
          </cell>
          <cell r="Z145">
            <v>2</v>
          </cell>
          <cell r="AA145">
            <v>2</v>
          </cell>
          <cell r="AB145">
            <v>15</v>
          </cell>
          <cell r="AC145">
            <v>12</v>
          </cell>
          <cell r="AD145">
            <v>4</v>
          </cell>
          <cell r="AE145">
            <v>11</v>
          </cell>
          <cell r="AF145">
            <v>0</v>
          </cell>
          <cell r="AG145">
            <v>7</v>
          </cell>
          <cell r="AH145"/>
          <cell r="AI145">
            <v>367</v>
          </cell>
          <cell r="AJ145">
            <v>100</v>
          </cell>
          <cell r="AK145">
            <v>21</v>
          </cell>
        </row>
        <row r="146">
          <cell r="C146">
            <v>350620006</v>
          </cell>
          <cell r="D146">
            <v>0</v>
          </cell>
          <cell r="E146">
            <v>59</v>
          </cell>
          <cell r="F146">
            <v>0</v>
          </cell>
          <cell r="G146">
            <v>0</v>
          </cell>
          <cell r="H146">
            <v>9</v>
          </cell>
          <cell r="I146">
            <v>0</v>
          </cell>
          <cell r="J146">
            <v>17</v>
          </cell>
          <cell r="K146">
            <v>28</v>
          </cell>
          <cell r="L146">
            <v>2</v>
          </cell>
          <cell r="M146">
            <v>11</v>
          </cell>
          <cell r="N146">
            <v>8</v>
          </cell>
          <cell r="O146">
            <v>4</v>
          </cell>
          <cell r="P146">
            <v>0</v>
          </cell>
          <cell r="Q146">
            <v>6</v>
          </cell>
          <cell r="R146">
            <v>42</v>
          </cell>
          <cell r="S146">
            <v>2</v>
          </cell>
          <cell r="T146">
            <v>0</v>
          </cell>
          <cell r="U146">
            <v>9</v>
          </cell>
          <cell r="V146">
            <v>81</v>
          </cell>
          <cell r="W146">
            <v>0</v>
          </cell>
          <cell r="X146">
            <v>31</v>
          </cell>
          <cell r="Y146">
            <v>0</v>
          </cell>
          <cell r="Z146">
            <v>0</v>
          </cell>
          <cell r="AA146">
            <v>0</v>
          </cell>
          <cell r="AB146">
            <v>23</v>
          </cell>
          <cell r="AC146">
            <v>7</v>
          </cell>
          <cell r="AD146">
            <v>4</v>
          </cell>
          <cell r="AE146">
            <v>5</v>
          </cell>
          <cell r="AF146">
            <v>0</v>
          </cell>
          <cell r="AG146">
            <v>2</v>
          </cell>
          <cell r="AH146"/>
          <cell r="AI146">
            <v>350</v>
          </cell>
          <cell r="AJ146">
            <v>81</v>
          </cell>
          <cell r="AK146">
            <v>19</v>
          </cell>
        </row>
        <row r="147">
          <cell r="C147">
            <v>350620007</v>
          </cell>
          <cell r="D147">
            <v>0</v>
          </cell>
          <cell r="E147">
            <v>30</v>
          </cell>
          <cell r="F147">
            <v>0</v>
          </cell>
          <cell r="G147">
            <v>0</v>
          </cell>
          <cell r="H147">
            <v>10</v>
          </cell>
          <cell r="I147">
            <v>23</v>
          </cell>
          <cell r="J147">
            <v>22</v>
          </cell>
          <cell r="K147">
            <v>22</v>
          </cell>
          <cell r="L147">
            <v>2</v>
          </cell>
          <cell r="M147">
            <v>3</v>
          </cell>
          <cell r="N147">
            <v>3</v>
          </cell>
          <cell r="O147">
            <v>2</v>
          </cell>
          <cell r="P147">
            <v>3</v>
          </cell>
          <cell r="Q147">
            <v>2</v>
          </cell>
          <cell r="R147">
            <v>0</v>
          </cell>
          <cell r="S147">
            <v>0</v>
          </cell>
          <cell r="T147">
            <v>0</v>
          </cell>
          <cell r="U147">
            <v>14</v>
          </cell>
          <cell r="V147">
            <v>31</v>
          </cell>
          <cell r="W147">
            <v>0</v>
          </cell>
          <cell r="X147">
            <v>15</v>
          </cell>
          <cell r="Y147">
            <v>0</v>
          </cell>
          <cell r="Z147">
            <v>0</v>
          </cell>
          <cell r="AA147">
            <v>0</v>
          </cell>
          <cell r="AB147">
            <v>31</v>
          </cell>
          <cell r="AC147">
            <v>8</v>
          </cell>
          <cell r="AD147">
            <v>6</v>
          </cell>
          <cell r="AE147">
            <v>2</v>
          </cell>
          <cell r="AF147">
            <v>0</v>
          </cell>
          <cell r="AG147">
            <v>0</v>
          </cell>
          <cell r="AH147"/>
          <cell r="AI147">
            <v>229</v>
          </cell>
          <cell r="AJ147">
            <v>31</v>
          </cell>
          <cell r="AK147">
            <v>18</v>
          </cell>
        </row>
        <row r="148">
          <cell r="C148">
            <v>350620008</v>
          </cell>
          <cell r="D148">
            <v>0</v>
          </cell>
          <cell r="E148">
            <v>135</v>
          </cell>
          <cell r="F148">
            <v>0</v>
          </cell>
          <cell r="G148">
            <v>0</v>
          </cell>
          <cell r="H148">
            <v>45</v>
          </cell>
          <cell r="I148">
            <v>20</v>
          </cell>
          <cell r="J148">
            <v>15</v>
          </cell>
          <cell r="K148">
            <v>33</v>
          </cell>
          <cell r="L148">
            <v>0</v>
          </cell>
          <cell r="M148">
            <v>2</v>
          </cell>
          <cell r="N148">
            <v>3</v>
          </cell>
          <cell r="O148">
            <v>7</v>
          </cell>
          <cell r="P148">
            <v>23</v>
          </cell>
          <cell r="Q148">
            <v>7</v>
          </cell>
          <cell r="R148">
            <v>30</v>
          </cell>
          <cell r="S148">
            <v>2</v>
          </cell>
          <cell r="T148">
            <v>0</v>
          </cell>
          <cell r="U148">
            <v>16</v>
          </cell>
          <cell r="V148">
            <v>50</v>
          </cell>
          <cell r="W148">
            <v>0</v>
          </cell>
          <cell r="X148">
            <v>2</v>
          </cell>
          <cell r="Y148">
            <v>0</v>
          </cell>
          <cell r="Z148">
            <v>0</v>
          </cell>
          <cell r="AA148">
            <v>0</v>
          </cell>
          <cell r="AB148">
            <v>28</v>
          </cell>
          <cell r="AC148">
            <v>8</v>
          </cell>
          <cell r="AD148">
            <v>60</v>
          </cell>
          <cell r="AE148">
            <v>0</v>
          </cell>
          <cell r="AF148">
            <v>0</v>
          </cell>
          <cell r="AG148">
            <v>0</v>
          </cell>
          <cell r="AH148"/>
          <cell r="AI148">
            <v>486</v>
          </cell>
          <cell r="AJ148">
            <v>135</v>
          </cell>
          <cell r="AK148">
            <v>18</v>
          </cell>
        </row>
        <row r="149">
          <cell r="C149">
            <v>350620009</v>
          </cell>
          <cell r="D149">
            <v>0</v>
          </cell>
          <cell r="E149">
            <v>28</v>
          </cell>
          <cell r="F149">
            <v>2</v>
          </cell>
          <cell r="G149">
            <v>0</v>
          </cell>
          <cell r="H149">
            <v>6</v>
          </cell>
          <cell r="I149">
            <v>26</v>
          </cell>
          <cell r="J149">
            <v>13</v>
          </cell>
          <cell r="K149">
            <v>5</v>
          </cell>
          <cell r="L149">
            <v>2</v>
          </cell>
          <cell r="M149">
            <v>21</v>
          </cell>
          <cell r="N149">
            <v>27</v>
          </cell>
          <cell r="O149">
            <v>1</v>
          </cell>
          <cell r="P149">
            <v>0</v>
          </cell>
          <cell r="Q149">
            <v>0</v>
          </cell>
          <cell r="R149">
            <v>6</v>
          </cell>
          <cell r="S149">
            <v>23</v>
          </cell>
          <cell r="T149">
            <v>16</v>
          </cell>
          <cell r="U149">
            <v>14</v>
          </cell>
          <cell r="V149">
            <v>62</v>
          </cell>
          <cell r="W149">
            <v>0</v>
          </cell>
          <cell r="X149">
            <v>0</v>
          </cell>
          <cell r="Y149">
            <v>0</v>
          </cell>
          <cell r="Z149">
            <v>2</v>
          </cell>
          <cell r="AA149">
            <v>0</v>
          </cell>
          <cell r="AB149">
            <v>44</v>
          </cell>
          <cell r="AC149">
            <v>26</v>
          </cell>
          <cell r="AD149">
            <v>13</v>
          </cell>
          <cell r="AE149">
            <v>27</v>
          </cell>
          <cell r="AF149">
            <v>3</v>
          </cell>
          <cell r="AG149">
            <v>0</v>
          </cell>
          <cell r="AH149"/>
          <cell r="AI149">
            <v>367</v>
          </cell>
          <cell r="AJ149">
            <v>62</v>
          </cell>
          <cell r="AK149">
            <v>21</v>
          </cell>
        </row>
        <row r="150">
          <cell r="C150">
            <v>350620010</v>
          </cell>
          <cell r="D150">
            <v>0</v>
          </cell>
          <cell r="E150">
            <v>31</v>
          </cell>
          <cell r="F150">
            <v>0</v>
          </cell>
          <cell r="G150">
            <v>0</v>
          </cell>
          <cell r="H150">
            <v>19</v>
          </cell>
          <cell r="I150">
            <v>3</v>
          </cell>
          <cell r="J150">
            <v>16</v>
          </cell>
          <cell r="K150">
            <v>3</v>
          </cell>
          <cell r="L150">
            <v>7</v>
          </cell>
          <cell r="M150">
            <v>15</v>
          </cell>
          <cell r="N150">
            <v>32</v>
          </cell>
          <cell r="O150">
            <v>23</v>
          </cell>
          <cell r="P150">
            <v>0</v>
          </cell>
          <cell r="Q150">
            <v>0</v>
          </cell>
          <cell r="R150">
            <v>0</v>
          </cell>
          <cell r="S150">
            <v>27</v>
          </cell>
          <cell r="T150">
            <v>6</v>
          </cell>
          <cell r="U150">
            <v>19</v>
          </cell>
          <cell r="V150">
            <v>48</v>
          </cell>
          <cell r="W150">
            <v>0</v>
          </cell>
          <cell r="X150">
            <v>0</v>
          </cell>
          <cell r="Y150">
            <v>0</v>
          </cell>
          <cell r="Z150">
            <v>29</v>
          </cell>
          <cell r="AA150">
            <v>0</v>
          </cell>
          <cell r="AB150">
            <v>49</v>
          </cell>
          <cell r="AC150">
            <v>26</v>
          </cell>
          <cell r="AD150">
            <v>5</v>
          </cell>
          <cell r="AE150">
            <v>20</v>
          </cell>
          <cell r="AF150">
            <v>31</v>
          </cell>
          <cell r="AG150">
            <v>2</v>
          </cell>
          <cell r="AH150"/>
          <cell r="AI150">
            <v>411</v>
          </cell>
          <cell r="AJ150">
            <v>49</v>
          </cell>
          <cell r="AK150">
            <v>20</v>
          </cell>
        </row>
        <row r="151">
          <cell r="C151">
            <v>350620011</v>
          </cell>
          <cell r="D151">
            <v>0</v>
          </cell>
          <cell r="E151">
            <v>17</v>
          </cell>
          <cell r="F151">
            <v>4</v>
          </cell>
          <cell r="G151">
            <v>0</v>
          </cell>
          <cell r="H151">
            <v>19</v>
          </cell>
          <cell r="I151">
            <v>0</v>
          </cell>
          <cell r="J151">
            <v>50</v>
          </cell>
          <cell r="K151">
            <v>21</v>
          </cell>
          <cell r="L151">
            <v>10</v>
          </cell>
          <cell r="M151">
            <v>27</v>
          </cell>
          <cell r="N151">
            <v>34</v>
          </cell>
          <cell r="O151">
            <v>27</v>
          </cell>
          <cell r="P151">
            <v>0</v>
          </cell>
          <cell r="Q151">
            <v>27</v>
          </cell>
          <cell r="R151">
            <v>7</v>
          </cell>
          <cell r="S151">
            <v>10</v>
          </cell>
          <cell r="T151">
            <v>1</v>
          </cell>
          <cell r="U151">
            <v>10</v>
          </cell>
          <cell r="V151">
            <v>74</v>
          </cell>
          <cell r="W151">
            <v>0</v>
          </cell>
          <cell r="X151">
            <v>4</v>
          </cell>
          <cell r="Y151">
            <v>0</v>
          </cell>
          <cell r="Z151">
            <v>2</v>
          </cell>
          <cell r="AA151">
            <v>32</v>
          </cell>
          <cell r="AB151">
            <v>32</v>
          </cell>
          <cell r="AC151">
            <v>22</v>
          </cell>
          <cell r="AD151">
            <v>61</v>
          </cell>
          <cell r="AE151">
            <v>13</v>
          </cell>
          <cell r="AF151">
            <v>0</v>
          </cell>
          <cell r="AG151">
            <v>10</v>
          </cell>
          <cell r="AH151"/>
          <cell r="AI151">
            <v>514</v>
          </cell>
          <cell r="AJ151">
            <v>74</v>
          </cell>
          <cell r="AK151">
            <v>23</v>
          </cell>
        </row>
        <row r="152">
          <cell r="C152">
            <v>350620012</v>
          </cell>
          <cell r="D152">
            <v>0</v>
          </cell>
          <cell r="E152">
            <v>24</v>
          </cell>
          <cell r="F152">
            <v>2</v>
          </cell>
          <cell r="G152">
            <v>0</v>
          </cell>
          <cell r="H152">
            <v>7</v>
          </cell>
          <cell r="I152">
            <v>34</v>
          </cell>
          <cell r="J152">
            <v>10</v>
          </cell>
          <cell r="K152">
            <v>4</v>
          </cell>
          <cell r="L152">
            <v>2</v>
          </cell>
          <cell r="M152">
            <v>15</v>
          </cell>
          <cell r="N152">
            <v>14</v>
          </cell>
          <cell r="O152">
            <v>17</v>
          </cell>
          <cell r="P152">
            <v>0</v>
          </cell>
          <cell r="Q152">
            <v>0</v>
          </cell>
          <cell r="R152">
            <v>4</v>
          </cell>
          <cell r="S152">
            <v>16</v>
          </cell>
          <cell r="T152">
            <v>13</v>
          </cell>
          <cell r="U152">
            <v>62</v>
          </cell>
          <cell r="V152">
            <v>72</v>
          </cell>
          <cell r="W152">
            <v>0</v>
          </cell>
          <cell r="X152">
            <v>0</v>
          </cell>
          <cell r="Y152">
            <v>0</v>
          </cell>
          <cell r="Z152">
            <v>6</v>
          </cell>
          <cell r="AA152">
            <v>0</v>
          </cell>
          <cell r="AB152">
            <v>41</v>
          </cell>
          <cell r="AC152">
            <v>13</v>
          </cell>
          <cell r="AD152">
            <v>6</v>
          </cell>
          <cell r="AE152">
            <v>29</v>
          </cell>
          <cell r="AF152">
            <v>22</v>
          </cell>
          <cell r="AG152">
            <v>3</v>
          </cell>
          <cell r="AH152"/>
          <cell r="AI152">
            <v>416</v>
          </cell>
          <cell r="AJ152">
            <v>72</v>
          </cell>
          <cell r="AK152">
            <v>22</v>
          </cell>
        </row>
        <row r="153">
          <cell r="C153">
            <v>350620013</v>
          </cell>
          <cell r="D153">
            <v>0</v>
          </cell>
          <cell r="E153">
            <v>29</v>
          </cell>
          <cell r="F153">
            <v>0</v>
          </cell>
          <cell r="G153">
            <v>0</v>
          </cell>
          <cell r="H153">
            <v>10</v>
          </cell>
          <cell r="I153">
            <v>29</v>
          </cell>
          <cell r="J153">
            <v>21</v>
          </cell>
          <cell r="K153">
            <v>9</v>
          </cell>
          <cell r="L153">
            <v>2</v>
          </cell>
          <cell r="M153">
            <v>28</v>
          </cell>
          <cell r="N153">
            <v>23</v>
          </cell>
          <cell r="O153">
            <v>32</v>
          </cell>
          <cell r="P153">
            <v>0</v>
          </cell>
          <cell r="Q153">
            <v>0</v>
          </cell>
          <cell r="R153">
            <v>5</v>
          </cell>
          <cell r="S153">
            <v>12</v>
          </cell>
          <cell r="T153">
            <v>6</v>
          </cell>
          <cell r="U153">
            <v>29</v>
          </cell>
          <cell r="V153">
            <v>92</v>
          </cell>
          <cell r="W153">
            <v>0</v>
          </cell>
          <cell r="X153">
            <v>0</v>
          </cell>
          <cell r="Y153">
            <v>3</v>
          </cell>
          <cell r="Z153">
            <v>56</v>
          </cell>
          <cell r="AA153">
            <v>0</v>
          </cell>
          <cell r="AB153">
            <v>48</v>
          </cell>
          <cell r="AC153">
            <v>19</v>
          </cell>
          <cell r="AD153">
            <v>4</v>
          </cell>
          <cell r="AE153">
            <v>22</v>
          </cell>
          <cell r="AF153">
            <v>34</v>
          </cell>
          <cell r="AG153">
            <v>7</v>
          </cell>
          <cell r="AH153"/>
          <cell r="AI153">
            <v>520</v>
          </cell>
          <cell r="AJ153">
            <v>92</v>
          </cell>
          <cell r="AK153">
            <v>22</v>
          </cell>
        </row>
        <row r="154">
          <cell r="C154">
            <v>350620014</v>
          </cell>
          <cell r="D154">
            <v>0</v>
          </cell>
          <cell r="E154">
            <v>59</v>
          </cell>
          <cell r="F154">
            <v>0</v>
          </cell>
          <cell r="G154">
            <v>0</v>
          </cell>
          <cell r="H154">
            <v>22</v>
          </cell>
          <cell r="I154">
            <v>4</v>
          </cell>
          <cell r="J154">
            <v>3</v>
          </cell>
          <cell r="K154">
            <v>11</v>
          </cell>
          <cell r="L154">
            <v>0</v>
          </cell>
          <cell r="M154">
            <v>5</v>
          </cell>
          <cell r="N154">
            <v>6</v>
          </cell>
          <cell r="O154">
            <v>0</v>
          </cell>
          <cell r="P154">
            <v>30</v>
          </cell>
          <cell r="Q154">
            <v>5</v>
          </cell>
          <cell r="R154">
            <v>35</v>
          </cell>
          <cell r="S154">
            <v>0</v>
          </cell>
          <cell r="T154">
            <v>0</v>
          </cell>
          <cell r="U154">
            <v>21</v>
          </cell>
          <cell r="V154">
            <v>7</v>
          </cell>
          <cell r="W154">
            <v>3</v>
          </cell>
          <cell r="X154">
            <v>4</v>
          </cell>
          <cell r="Y154">
            <v>0</v>
          </cell>
          <cell r="Z154">
            <v>0</v>
          </cell>
          <cell r="AA154">
            <v>0</v>
          </cell>
          <cell r="AB154">
            <v>16</v>
          </cell>
          <cell r="AC154">
            <v>11</v>
          </cell>
          <cell r="AD154">
            <v>14</v>
          </cell>
          <cell r="AE154">
            <v>3</v>
          </cell>
          <cell r="AF154">
            <v>0</v>
          </cell>
          <cell r="AG154">
            <v>0</v>
          </cell>
          <cell r="AH154"/>
          <cell r="AI154">
            <v>259</v>
          </cell>
          <cell r="AJ154">
            <v>59</v>
          </cell>
          <cell r="AK154">
            <v>18</v>
          </cell>
        </row>
        <row r="155">
          <cell r="C155">
            <v>350620015</v>
          </cell>
          <cell r="D155">
            <v>0</v>
          </cell>
          <cell r="E155">
            <v>30</v>
          </cell>
          <cell r="F155">
            <v>0</v>
          </cell>
          <cell r="G155">
            <v>0</v>
          </cell>
          <cell r="H155">
            <v>25</v>
          </cell>
          <cell r="I155">
            <v>4</v>
          </cell>
          <cell r="J155">
            <v>1</v>
          </cell>
          <cell r="K155">
            <v>27</v>
          </cell>
          <cell r="L155">
            <v>0</v>
          </cell>
          <cell r="M155">
            <v>6</v>
          </cell>
          <cell r="N155">
            <v>11</v>
          </cell>
          <cell r="O155">
            <v>21</v>
          </cell>
          <cell r="P155">
            <v>8</v>
          </cell>
          <cell r="Q155">
            <v>0</v>
          </cell>
          <cell r="R155">
            <v>55</v>
          </cell>
          <cell r="S155">
            <v>0</v>
          </cell>
          <cell r="T155">
            <v>0</v>
          </cell>
          <cell r="U155">
            <v>10</v>
          </cell>
          <cell r="V155">
            <v>47</v>
          </cell>
          <cell r="W155">
            <v>0</v>
          </cell>
          <cell r="X155">
            <v>19</v>
          </cell>
          <cell r="Y155">
            <v>0</v>
          </cell>
          <cell r="Z155">
            <v>0</v>
          </cell>
          <cell r="AA155">
            <v>0</v>
          </cell>
          <cell r="AB155">
            <v>40</v>
          </cell>
          <cell r="AC155">
            <v>5</v>
          </cell>
          <cell r="AD155">
            <v>45</v>
          </cell>
          <cell r="AE155">
            <v>4</v>
          </cell>
          <cell r="AF155">
            <v>0</v>
          </cell>
          <cell r="AG155">
            <v>0</v>
          </cell>
          <cell r="AH155"/>
          <cell r="AI155">
            <v>358</v>
          </cell>
          <cell r="AJ155">
            <v>55</v>
          </cell>
          <cell r="AK155">
            <v>17</v>
          </cell>
        </row>
        <row r="156">
          <cell r="C156">
            <v>350620016</v>
          </cell>
          <cell r="D156">
            <v>0</v>
          </cell>
          <cell r="E156">
            <v>34</v>
          </cell>
          <cell r="F156">
            <v>0</v>
          </cell>
          <cell r="G156">
            <v>0</v>
          </cell>
          <cell r="H156">
            <v>29</v>
          </cell>
          <cell r="I156">
            <v>0</v>
          </cell>
          <cell r="J156">
            <v>8</v>
          </cell>
          <cell r="K156">
            <v>29</v>
          </cell>
          <cell r="L156">
            <v>0</v>
          </cell>
          <cell r="M156">
            <v>8</v>
          </cell>
          <cell r="N156">
            <v>5</v>
          </cell>
          <cell r="O156">
            <v>19</v>
          </cell>
          <cell r="P156">
            <v>6</v>
          </cell>
          <cell r="Q156">
            <v>0</v>
          </cell>
          <cell r="R156">
            <v>48</v>
          </cell>
          <cell r="S156">
            <v>1</v>
          </cell>
          <cell r="T156">
            <v>1</v>
          </cell>
          <cell r="U156">
            <v>10</v>
          </cell>
          <cell r="V156">
            <v>50</v>
          </cell>
          <cell r="W156">
            <v>2</v>
          </cell>
          <cell r="X156">
            <v>15</v>
          </cell>
          <cell r="Y156">
            <v>1</v>
          </cell>
          <cell r="Z156">
            <v>0</v>
          </cell>
          <cell r="AA156">
            <v>0</v>
          </cell>
          <cell r="AB156">
            <v>19</v>
          </cell>
          <cell r="AC156">
            <v>3</v>
          </cell>
          <cell r="AD156">
            <v>27</v>
          </cell>
          <cell r="AE156">
            <v>22</v>
          </cell>
          <cell r="AF156">
            <v>0</v>
          </cell>
          <cell r="AG156">
            <v>0</v>
          </cell>
          <cell r="AH156"/>
          <cell r="AI156">
            <v>337</v>
          </cell>
          <cell r="AJ156">
            <v>50</v>
          </cell>
          <cell r="AK156">
            <v>20</v>
          </cell>
        </row>
        <row r="157">
          <cell r="C157">
            <v>350620017</v>
          </cell>
          <cell r="D157">
            <v>0</v>
          </cell>
          <cell r="E157">
            <v>29</v>
          </cell>
          <cell r="F157">
            <v>0</v>
          </cell>
          <cell r="G157">
            <v>5</v>
          </cell>
          <cell r="H157">
            <v>3</v>
          </cell>
          <cell r="I157">
            <v>1</v>
          </cell>
          <cell r="J157">
            <v>2</v>
          </cell>
          <cell r="K157">
            <v>13</v>
          </cell>
          <cell r="L157">
            <v>0</v>
          </cell>
          <cell r="M157">
            <v>6</v>
          </cell>
          <cell r="N157">
            <v>3</v>
          </cell>
          <cell r="O157">
            <v>1</v>
          </cell>
          <cell r="P157">
            <v>24</v>
          </cell>
          <cell r="Q157">
            <v>0</v>
          </cell>
          <cell r="R157">
            <v>44</v>
          </cell>
          <cell r="S157">
            <v>5</v>
          </cell>
          <cell r="T157">
            <v>38</v>
          </cell>
          <cell r="U157">
            <v>8</v>
          </cell>
          <cell r="V157">
            <v>33</v>
          </cell>
          <cell r="W157">
            <v>1</v>
          </cell>
          <cell r="X157">
            <v>3</v>
          </cell>
          <cell r="Y157">
            <v>0</v>
          </cell>
          <cell r="Z157">
            <v>25</v>
          </cell>
          <cell r="AA157">
            <v>12</v>
          </cell>
          <cell r="AB157">
            <v>23</v>
          </cell>
          <cell r="AC157">
            <v>4</v>
          </cell>
          <cell r="AD157">
            <v>6</v>
          </cell>
          <cell r="AE157">
            <v>6</v>
          </cell>
          <cell r="AF157">
            <v>0</v>
          </cell>
          <cell r="AG157">
            <v>0</v>
          </cell>
          <cell r="AH157"/>
          <cell r="AI157">
            <v>295</v>
          </cell>
          <cell r="AJ157">
            <v>44</v>
          </cell>
          <cell r="AK157">
            <v>23</v>
          </cell>
        </row>
        <row r="158">
          <cell r="C158">
            <v>350620018</v>
          </cell>
          <cell r="D158">
            <v>0</v>
          </cell>
          <cell r="E158">
            <v>21</v>
          </cell>
          <cell r="F158">
            <v>1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16</v>
          </cell>
          <cell r="L158">
            <v>0</v>
          </cell>
          <cell r="M158">
            <v>8</v>
          </cell>
          <cell r="N158">
            <v>4</v>
          </cell>
          <cell r="O158">
            <v>0</v>
          </cell>
          <cell r="P158">
            <v>27</v>
          </cell>
          <cell r="Q158">
            <v>0</v>
          </cell>
          <cell r="R158">
            <v>25</v>
          </cell>
          <cell r="S158">
            <v>3</v>
          </cell>
          <cell r="T158">
            <v>4</v>
          </cell>
          <cell r="U158">
            <v>8</v>
          </cell>
          <cell r="V158">
            <v>40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104</v>
          </cell>
          <cell r="AC158">
            <v>0</v>
          </cell>
          <cell r="AD158">
            <v>14</v>
          </cell>
          <cell r="AE158">
            <v>40</v>
          </cell>
          <cell r="AF158">
            <v>0</v>
          </cell>
          <cell r="AG158">
            <v>0</v>
          </cell>
          <cell r="AH158"/>
          <cell r="AI158">
            <v>315</v>
          </cell>
          <cell r="AJ158">
            <v>104</v>
          </cell>
          <cell r="AK158">
            <v>14</v>
          </cell>
        </row>
        <row r="159">
          <cell r="C159">
            <v>350620019</v>
          </cell>
          <cell r="D159">
            <v>0</v>
          </cell>
          <cell r="E159">
            <v>21</v>
          </cell>
          <cell r="F159">
            <v>0</v>
          </cell>
          <cell r="G159">
            <v>0</v>
          </cell>
          <cell r="H159">
            <v>0</v>
          </cell>
          <cell r="I159">
            <v>16</v>
          </cell>
          <cell r="J159">
            <v>5</v>
          </cell>
          <cell r="K159">
            <v>16</v>
          </cell>
          <cell r="L159">
            <v>0</v>
          </cell>
          <cell r="M159">
            <v>23</v>
          </cell>
          <cell r="N159">
            <v>0</v>
          </cell>
          <cell r="O159">
            <v>0</v>
          </cell>
          <cell r="P159">
            <v>5</v>
          </cell>
          <cell r="Q159">
            <v>0</v>
          </cell>
          <cell r="R159">
            <v>7</v>
          </cell>
          <cell r="S159">
            <v>23</v>
          </cell>
          <cell r="T159">
            <v>0</v>
          </cell>
          <cell r="U159">
            <v>11</v>
          </cell>
          <cell r="V159">
            <v>61</v>
          </cell>
          <cell r="W159">
            <v>0</v>
          </cell>
          <cell r="X159">
            <v>0</v>
          </cell>
          <cell r="Y159">
            <v>0</v>
          </cell>
          <cell r="Z159">
            <v>26</v>
          </cell>
          <cell r="AA159">
            <v>12</v>
          </cell>
          <cell r="AB159">
            <v>51</v>
          </cell>
          <cell r="AC159">
            <v>39</v>
          </cell>
          <cell r="AD159">
            <v>7</v>
          </cell>
          <cell r="AE159">
            <v>10</v>
          </cell>
          <cell r="AF159">
            <v>8</v>
          </cell>
          <cell r="AG159">
            <v>0</v>
          </cell>
          <cell r="AH159"/>
          <cell r="AI159">
            <v>341</v>
          </cell>
          <cell r="AJ159">
            <v>61</v>
          </cell>
          <cell r="AK159">
            <v>17</v>
          </cell>
        </row>
        <row r="160">
          <cell r="C160">
            <v>350620020</v>
          </cell>
          <cell r="D160">
            <v>0</v>
          </cell>
          <cell r="E160">
            <v>45</v>
          </cell>
          <cell r="F160">
            <v>1</v>
          </cell>
          <cell r="G160">
            <v>0</v>
          </cell>
          <cell r="H160">
            <v>25</v>
          </cell>
          <cell r="I160">
            <v>0</v>
          </cell>
          <cell r="J160">
            <v>23</v>
          </cell>
          <cell r="K160">
            <v>21</v>
          </cell>
          <cell r="L160">
            <v>0</v>
          </cell>
          <cell r="M160">
            <v>2</v>
          </cell>
          <cell r="N160">
            <v>28</v>
          </cell>
          <cell r="O160">
            <v>15</v>
          </cell>
          <cell r="P160">
            <v>3</v>
          </cell>
          <cell r="Q160">
            <v>13</v>
          </cell>
          <cell r="R160">
            <v>2</v>
          </cell>
          <cell r="S160">
            <v>0</v>
          </cell>
          <cell r="T160">
            <v>0</v>
          </cell>
          <cell r="U160">
            <v>12</v>
          </cell>
          <cell r="V160">
            <v>71</v>
          </cell>
          <cell r="W160">
            <v>0</v>
          </cell>
          <cell r="X160">
            <v>23</v>
          </cell>
          <cell r="Y160">
            <v>0</v>
          </cell>
          <cell r="Z160">
            <v>0</v>
          </cell>
          <cell r="AA160">
            <v>0</v>
          </cell>
          <cell r="AB160">
            <v>10</v>
          </cell>
          <cell r="AC160">
            <v>57</v>
          </cell>
          <cell r="AD160">
            <v>4</v>
          </cell>
          <cell r="AE160">
            <v>6</v>
          </cell>
          <cell r="AF160">
            <v>0</v>
          </cell>
          <cell r="AG160">
            <v>0</v>
          </cell>
          <cell r="AH160"/>
          <cell r="AI160">
            <v>361</v>
          </cell>
          <cell r="AJ160">
            <v>71</v>
          </cell>
          <cell r="AK160">
            <v>18</v>
          </cell>
        </row>
        <row r="161">
          <cell r="C161">
            <v>350621001</v>
          </cell>
          <cell r="D161">
            <v>0</v>
          </cell>
          <cell r="E161">
            <v>2</v>
          </cell>
          <cell r="F161">
            <v>24</v>
          </cell>
          <cell r="G161">
            <v>0</v>
          </cell>
          <cell r="H161">
            <v>8</v>
          </cell>
          <cell r="I161">
            <v>0</v>
          </cell>
          <cell r="J161">
            <v>31</v>
          </cell>
          <cell r="K161">
            <v>20</v>
          </cell>
          <cell r="L161">
            <v>0</v>
          </cell>
          <cell r="M161">
            <v>8</v>
          </cell>
          <cell r="N161">
            <v>27</v>
          </cell>
          <cell r="O161">
            <v>30</v>
          </cell>
          <cell r="P161">
            <v>0</v>
          </cell>
          <cell r="Q161">
            <v>9</v>
          </cell>
          <cell r="R161">
            <v>0</v>
          </cell>
          <cell r="S161">
            <v>13</v>
          </cell>
          <cell r="T161">
            <v>0</v>
          </cell>
          <cell r="U161">
            <v>0</v>
          </cell>
          <cell r="V161">
            <v>32</v>
          </cell>
          <cell r="W161">
            <v>0</v>
          </cell>
          <cell r="X161">
            <v>6</v>
          </cell>
          <cell r="Y161">
            <v>0</v>
          </cell>
          <cell r="Z161">
            <v>0</v>
          </cell>
          <cell r="AA161">
            <v>0</v>
          </cell>
          <cell r="AB161">
            <v>29</v>
          </cell>
          <cell r="AC161">
            <v>0</v>
          </cell>
          <cell r="AD161">
            <v>14</v>
          </cell>
          <cell r="AE161">
            <v>14</v>
          </cell>
          <cell r="AF161">
            <v>0</v>
          </cell>
          <cell r="AG161">
            <v>0</v>
          </cell>
          <cell r="AH161"/>
          <cell r="AI161">
            <v>267</v>
          </cell>
          <cell r="AJ161">
            <v>32</v>
          </cell>
          <cell r="AK161">
            <v>15</v>
          </cell>
        </row>
        <row r="162">
          <cell r="C162">
            <v>350621002</v>
          </cell>
          <cell r="D162">
            <v>0</v>
          </cell>
          <cell r="E162">
            <v>32</v>
          </cell>
          <cell r="F162">
            <v>12.5</v>
          </cell>
          <cell r="G162">
            <v>0</v>
          </cell>
          <cell r="H162">
            <v>11</v>
          </cell>
          <cell r="I162">
            <v>1</v>
          </cell>
          <cell r="J162">
            <v>42</v>
          </cell>
          <cell r="K162">
            <v>30</v>
          </cell>
          <cell r="L162">
            <v>0</v>
          </cell>
          <cell r="M162">
            <v>1</v>
          </cell>
          <cell r="N162">
            <v>8</v>
          </cell>
          <cell r="O162">
            <v>2</v>
          </cell>
          <cell r="P162">
            <v>5</v>
          </cell>
          <cell r="Q162">
            <v>0</v>
          </cell>
          <cell r="R162">
            <v>20</v>
          </cell>
          <cell r="S162">
            <v>0</v>
          </cell>
          <cell r="T162">
            <v>0</v>
          </cell>
          <cell r="U162">
            <v>18</v>
          </cell>
          <cell r="V162">
            <v>22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79</v>
          </cell>
          <cell r="AC162">
            <v>63</v>
          </cell>
          <cell r="AD162">
            <v>51</v>
          </cell>
          <cell r="AE162">
            <v>11</v>
          </cell>
          <cell r="AF162">
            <v>0</v>
          </cell>
          <cell r="AG162">
            <v>1</v>
          </cell>
          <cell r="AH162"/>
          <cell r="AI162">
            <v>409.5</v>
          </cell>
          <cell r="AJ162">
            <v>79</v>
          </cell>
          <cell r="AK162">
            <v>18</v>
          </cell>
        </row>
        <row r="163">
          <cell r="C163">
            <v>350621003</v>
          </cell>
          <cell r="D163">
            <v>0</v>
          </cell>
          <cell r="E163">
            <v>2</v>
          </cell>
          <cell r="F163">
            <v>5</v>
          </cell>
          <cell r="G163">
            <v>4</v>
          </cell>
          <cell r="H163">
            <v>32</v>
          </cell>
          <cell r="I163">
            <v>0</v>
          </cell>
          <cell r="J163">
            <v>52</v>
          </cell>
          <cell r="K163">
            <v>13</v>
          </cell>
          <cell r="L163">
            <v>4</v>
          </cell>
          <cell r="M163">
            <v>11</v>
          </cell>
          <cell r="N163">
            <v>16</v>
          </cell>
          <cell r="O163">
            <v>7</v>
          </cell>
          <cell r="P163">
            <v>0</v>
          </cell>
          <cell r="Q163">
            <v>0</v>
          </cell>
          <cell r="R163">
            <v>2</v>
          </cell>
          <cell r="S163">
            <v>16</v>
          </cell>
          <cell r="T163">
            <v>0</v>
          </cell>
          <cell r="U163">
            <v>3</v>
          </cell>
          <cell r="V163">
            <v>29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14.5</v>
          </cell>
          <cell r="AC163">
            <v>15</v>
          </cell>
          <cell r="AD163">
            <v>14</v>
          </cell>
          <cell r="AE163">
            <v>20.5</v>
          </cell>
          <cell r="AF163">
            <v>1</v>
          </cell>
          <cell r="AG163">
            <v>14.5</v>
          </cell>
          <cell r="AH163"/>
          <cell r="AI163">
            <v>275.5</v>
          </cell>
          <cell r="AJ163">
            <v>52</v>
          </cell>
          <cell r="AK163">
            <v>20</v>
          </cell>
        </row>
        <row r="164">
          <cell r="C164">
            <v>350621004</v>
          </cell>
          <cell r="D164">
            <v>0</v>
          </cell>
          <cell r="E164">
            <v>0</v>
          </cell>
          <cell r="F164">
            <v>8</v>
          </cell>
          <cell r="G164">
            <v>5</v>
          </cell>
          <cell r="H164">
            <v>28</v>
          </cell>
          <cell r="I164">
            <v>0</v>
          </cell>
          <cell r="J164">
            <v>32</v>
          </cell>
          <cell r="K164">
            <v>9</v>
          </cell>
          <cell r="L164">
            <v>3</v>
          </cell>
          <cell r="M164">
            <v>8</v>
          </cell>
          <cell r="N164">
            <v>29</v>
          </cell>
          <cell r="O164">
            <v>15</v>
          </cell>
          <cell r="P164">
            <v>0</v>
          </cell>
          <cell r="Q164">
            <v>2</v>
          </cell>
          <cell r="R164">
            <v>5</v>
          </cell>
          <cell r="S164">
            <v>0</v>
          </cell>
          <cell r="T164">
            <v>0</v>
          </cell>
          <cell r="U164">
            <v>4</v>
          </cell>
          <cell r="V164">
            <v>34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35</v>
          </cell>
          <cell r="AC164">
            <v>32</v>
          </cell>
          <cell r="AD164">
            <v>5</v>
          </cell>
          <cell r="AE164">
            <v>11</v>
          </cell>
          <cell r="AF164">
            <v>0</v>
          </cell>
          <cell r="AG164">
            <v>52</v>
          </cell>
          <cell r="AH164"/>
          <cell r="AI164">
            <v>317</v>
          </cell>
          <cell r="AJ164">
            <v>52</v>
          </cell>
          <cell r="AK164">
            <v>18</v>
          </cell>
        </row>
        <row r="165">
          <cell r="C165">
            <v>350621005</v>
          </cell>
          <cell r="D165">
            <v>0</v>
          </cell>
          <cell r="E165">
            <v>2</v>
          </cell>
          <cell r="F165">
            <v>8</v>
          </cell>
          <cell r="G165">
            <v>0</v>
          </cell>
          <cell r="H165">
            <v>21</v>
          </cell>
          <cell r="I165">
            <v>1</v>
          </cell>
          <cell r="J165">
            <v>26</v>
          </cell>
          <cell r="K165">
            <v>15</v>
          </cell>
          <cell r="L165">
            <v>1</v>
          </cell>
          <cell r="M165">
            <v>12</v>
          </cell>
          <cell r="N165">
            <v>50</v>
          </cell>
          <cell r="O165">
            <v>0</v>
          </cell>
          <cell r="P165">
            <v>2</v>
          </cell>
          <cell r="Q165">
            <v>5</v>
          </cell>
          <cell r="R165">
            <v>3</v>
          </cell>
          <cell r="S165">
            <v>0</v>
          </cell>
          <cell r="T165">
            <v>8</v>
          </cell>
          <cell r="U165">
            <v>2</v>
          </cell>
          <cell r="V165">
            <v>24</v>
          </cell>
          <cell r="W165">
            <v>0</v>
          </cell>
          <cell r="X165">
            <v>21</v>
          </cell>
          <cell r="Y165">
            <v>40</v>
          </cell>
          <cell r="Z165">
            <v>0</v>
          </cell>
          <cell r="AA165">
            <v>0</v>
          </cell>
          <cell r="AB165">
            <v>10</v>
          </cell>
          <cell r="AC165">
            <v>0</v>
          </cell>
          <cell r="AD165">
            <v>41</v>
          </cell>
          <cell r="AE165">
            <v>15</v>
          </cell>
          <cell r="AF165">
            <v>0</v>
          </cell>
          <cell r="AG165">
            <v>12</v>
          </cell>
          <cell r="AH165"/>
          <cell r="AI165">
            <v>319</v>
          </cell>
          <cell r="AJ165">
            <v>50</v>
          </cell>
          <cell r="AK165">
            <v>21</v>
          </cell>
        </row>
        <row r="166">
          <cell r="C166">
            <v>350621006</v>
          </cell>
          <cell r="D166">
            <v>0</v>
          </cell>
          <cell r="E166">
            <v>2</v>
          </cell>
          <cell r="F166">
            <v>13</v>
          </cell>
          <cell r="G166">
            <v>0</v>
          </cell>
          <cell r="H166">
            <v>9</v>
          </cell>
          <cell r="I166">
            <v>0</v>
          </cell>
          <cell r="J166">
            <v>1</v>
          </cell>
          <cell r="K166">
            <v>17</v>
          </cell>
          <cell r="L166">
            <v>0</v>
          </cell>
          <cell r="M166">
            <v>2</v>
          </cell>
          <cell r="N166">
            <v>3</v>
          </cell>
          <cell r="O166">
            <v>0</v>
          </cell>
          <cell r="P166">
            <v>0</v>
          </cell>
          <cell r="Q166">
            <v>8</v>
          </cell>
          <cell r="R166">
            <v>5</v>
          </cell>
          <cell r="S166">
            <v>4</v>
          </cell>
          <cell r="T166">
            <v>0</v>
          </cell>
          <cell r="U166">
            <v>0</v>
          </cell>
          <cell r="V166">
            <v>23</v>
          </cell>
          <cell r="W166">
            <v>0</v>
          </cell>
          <cell r="X166">
            <v>7</v>
          </cell>
          <cell r="Y166">
            <v>0</v>
          </cell>
          <cell r="Z166">
            <v>0</v>
          </cell>
          <cell r="AA166">
            <v>0</v>
          </cell>
          <cell r="AB166">
            <v>26</v>
          </cell>
          <cell r="AC166">
            <v>0</v>
          </cell>
          <cell r="AD166">
            <v>1</v>
          </cell>
          <cell r="AE166">
            <v>31</v>
          </cell>
          <cell r="AF166">
            <v>0</v>
          </cell>
          <cell r="AG166">
            <v>1</v>
          </cell>
          <cell r="AH166"/>
          <cell r="AI166">
            <v>153</v>
          </cell>
          <cell r="AJ166">
            <v>31</v>
          </cell>
          <cell r="AK166">
            <v>16</v>
          </cell>
        </row>
        <row r="167">
          <cell r="C167">
            <v>350621007</v>
          </cell>
          <cell r="D167">
            <v>0</v>
          </cell>
          <cell r="E167">
            <v>2</v>
          </cell>
          <cell r="F167">
            <v>4</v>
          </cell>
          <cell r="G167">
            <v>4</v>
          </cell>
          <cell r="H167">
            <v>0</v>
          </cell>
          <cell r="I167">
            <v>1</v>
          </cell>
          <cell r="J167">
            <v>21</v>
          </cell>
          <cell r="K167">
            <v>15</v>
          </cell>
          <cell r="L167">
            <v>0</v>
          </cell>
          <cell r="M167">
            <v>3</v>
          </cell>
          <cell r="N167">
            <v>2</v>
          </cell>
          <cell r="O167">
            <v>0</v>
          </cell>
          <cell r="P167">
            <v>0</v>
          </cell>
          <cell r="Q167">
            <v>0</v>
          </cell>
          <cell r="R167">
            <v>4</v>
          </cell>
          <cell r="S167">
            <v>2</v>
          </cell>
          <cell r="T167">
            <v>0</v>
          </cell>
          <cell r="U167">
            <v>12</v>
          </cell>
          <cell r="V167">
            <v>27</v>
          </cell>
          <cell r="W167">
            <v>13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9</v>
          </cell>
          <cell r="AC167">
            <v>4</v>
          </cell>
          <cell r="AD167">
            <v>3</v>
          </cell>
          <cell r="AE167">
            <v>2</v>
          </cell>
          <cell r="AF167">
            <v>0</v>
          </cell>
          <cell r="AG167">
            <v>1</v>
          </cell>
          <cell r="AH167"/>
          <cell r="AI167">
            <v>129</v>
          </cell>
          <cell r="AJ167">
            <v>27</v>
          </cell>
          <cell r="AK167">
            <v>18</v>
          </cell>
        </row>
        <row r="168">
          <cell r="C168">
            <v>350621008</v>
          </cell>
          <cell r="D168">
            <v>1</v>
          </cell>
          <cell r="E168">
            <v>13</v>
          </cell>
          <cell r="F168">
            <v>1</v>
          </cell>
          <cell r="G168">
            <v>0</v>
          </cell>
          <cell r="H168">
            <v>8</v>
          </cell>
          <cell r="I168">
            <v>0</v>
          </cell>
          <cell r="J168">
            <v>47</v>
          </cell>
          <cell r="K168">
            <v>13</v>
          </cell>
          <cell r="L168">
            <v>0</v>
          </cell>
          <cell r="M168">
            <v>16</v>
          </cell>
          <cell r="N168">
            <v>2</v>
          </cell>
          <cell r="O168">
            <v>1</v>
          </cell>
          <cell r="P168">
            <v>0</v>
          </cell>
          <cell r="Q168">
            <v>0</v>
          </cell>
          <cell r="R168">
            <v>15</v>
          </cell>
          <cell r="S168">
            <v>23</v>
          </cell>
          <cell r="T168">
            <v>0</v>
          </cell>
          <cell r="U168">
            <v>34</v>
          </cell>
          <cell r="V168">
            <v>140</v>
          </cell>
          <cell r="W168">
            <v>0</v>
          </cell>
          <cell r="X168">
            <v>0</v>
          </cell>
          <cell r="Y168">
            <v>0</v>
          </cell>
          <cell r="Z168">
            <v>33</v>
          </cell>
          <cell r="AA168">
            <v>6</v>
          </cell>
          <cell r="AB168">
            <v>82</v>
          </cell>
          <cell r="AC168">
            <v>2</v>
          </cell>
          <cell r="AD168">
            <v>4</v>
          </cell>
          <cell r="AE168">
            <v>6</v>
          </cell>
          <cell r="AF168">
            <v>0</v>
          </cell>
          <cell r="AG168">
            <v>11</v>
          </cell>
          <cell r="AH168"/>
          <cell r="AI168">
            <v>458</v>
          </cell>
          <cell r="AJ168">
            <v>140</v>
          </cell>
          <cell r="AK168">
            <v>20</v>
          </cell>
        </row>
        <row r="169">
          <cell r="C169">
            <v>350621009</v>
          </cell>
          <cell r="D169">
            <v>0</v>
          </cell>
          <cell r="E169">
            <v>45</v>
          </cell>
          <cell r="F169">
            <v>20</v>
          </cell>
          <cell r="G169">
            <v>0</v>
          </cell>
          <cell r="H169">
            <v>23</v>
          </cell>
          <cell r="I169">
            <v>0</v>
          </cell>
          <cell r="J169">
            <v>15</v>
          </cell>
          <cell r="K169">
            <v>41</v>
          </cell>
          <cell r="L169">
            <v>2</v>
          </cell>
          <cell r="M169">
            <v>5</v>
          </cell>
          <cell r="N169">
            <v>23</v>
          </cell>
          <cell r="O169">
            <v>0</v>
          </cell>
          <cell r="P169">
            <v>11</v>
          </cell>
          <cell r="Q169">
            <v>10</v>
          </cell>
          <cell r="R169">
            <v>19</v>
          </cell>
          <cell r="S169">
            <v>0</v>
          </cell>
          <cell r="T169">
            <v>0</v>
          </cell>
          <cell r="U169">
            <v>4</v>
          </cell>
          <cell r="V169">
            <v>29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19</v>
          </cell>
          <cell r="AC169">
            <v>18</v>
          </cell>
          <cell r="AD169">
            <v>4</v>
          </cell>
          <cell r="AE169">
            <v>19</v>
          </cell>
          <cell r="AF169">
            <v>4</v>
          </cell>
          <cell r="AG169">
            <v>0</v>
          </cell>
          <cell r="AH169"/>
          <cell r="AI169">
            <v>311</v>
          </cell>
          <cell r="AJ169">
            <v>45</v>
          </cell>
          <cell r="AK169">
            <v>18</v>
          </cell>
        </row>
        <row r="170">
          <cell r="C170">
            <v>350621010</v>
          </cell>
          <cell r="D170">
            <v>0</v>
          </cell>
          <cell r="E170">
            <v>127</v>
          </cell>
          <cell r="F170">
            <v>21</v>
          </cell>
          <cell r="G170">
            <v>0</v>
          </cell>
          <cell r="H170">
            <v>20</v>
          </cell>
          <cell r="I170">
            <v>4</v>
          </cell>
          <cell r="J170">
            <v>18</v>
          </cell>
          <cell r="K170">
            <v>9</v>
          </cell>
          <cell r="L170">
            <v>0</v>
          </cell>
          <cell r="M170">
            <v>0</v>
          </cell>
          <cell r="N170">
            <v>16</v>
          </cell>
          <cell r="O170">
            <v>23</v>
          </cell>
          <cell r="P170">
            <v>3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26</v>
          </cell>
          <cell r="V170">
            <v>67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37</v>
          </cell>
          <cell r="AC170">
            <v>69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/>
          <cell r="AI170">
            <v>440</v>
          </cell>
          <cell r="AJ170">
            <v>127</v>
          </cell>
          <cell r="AK170">
            <v>13</v>
          </cell>
        </row>
        <row r="171">
          <cell r="C171">
            <v>350621011</v>
          </cell>
          <cell r="D171">
            <v>0</v>
          </cell>
          <cell r="E171">
            <v>78</v>
          </cell>
          <cell r="F171">
            <v>6</v>
          </cell>
          <cell r="G171">
            <v>2</v>
          </cell>
          <cell r="H171">
            <v>9</v>
          </cell>
          <cell r="I171">
            <v>0</v>
          </cell>
          <cell r="J171">
            <v>46</v>
          </cell>
          <cell r="K171">
            <v>26</v>
          </cell>
          <cell r="L171">
            <v>0</v>
          </cell>
          <cell r="M171">
            <v>0</v>
          </cell>
          <cell r="N171">
            <v>5</v>
          </cell>
          <cell r="O171">
            <v>3</v>
          </cell>
          <cell r="P171">
            <v>4</v>
          </cell>
          <cell r="Q171">
            <v>5</v>
          </cell>
          <cell r="R171">
            <v>11</v>
          </cell>
          <cell r="S171">
            <v>0</v>
          </cell>
          <cell r="T171">
            <v>0</v>
          </cell>
          <cell r="U171">
            <v>14</v>
          </cell>
          <cell r="V171">
            <v>36</v>
          </cell>
          <cell r="W171">
            <v>0</v>
          </cell>
          <cell r="X171">
            <v>12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34</v>
          </cell>
          <cell r="AD171">
            <v>9</v>
          </cell>
          <cell r="AE171">
            <v>18</v>
          </cell>
          <cell r="AF171">
            <v>0</v>
          </cell>
          <cell r="AG171">
            <v>0</v>
          </cell>
          <cell r="AH171"/>
          <cell r="AI171">
            <v>318</v>
          </cell>
          <cell r="AJ171">
            <v>78</v>
          </cell>
          <cell r="AK171">
            <v>17</v>
          </cell>
        </row>
        <row r="172">
          <cell r="C172">
            <v>350621012</v>
          </cell>
          <cell r="D172">
            <v>0</v>
          </cell>
          <cell r="E172">
            <v>81</v>
          </cell>
          <cell r="F172">
            <v>5.5</v>
          </cell>
          <cell r="G172">
            <v>1</v>
          </cell>
          <cell r="H172">
            <v>10.5</v>
          </cell>
          <cell r="I172">
            <v>0</v>
          </cell>
          <cell r="J172">
            <v>48</v>
          </cell>
          <cell r="K172">
            <v>26.5</v>
          </cell>
          <cell r="L172">
            <v>0</v>
          </cell>
          <cell r="M172">
            <v>0</v>
          </cell>
          <cell r="N172">
            <v>4</v>
          </cell>
          <cell r="O172">
            <v>2.5</v>
          </cell>
          <cell r="P172">
            <v>3</v>
          </cell>
          <cell r="Q172">
            <v>4</v>
          </cell>
          <cell r="R172">
            <v>9</v>
          </cell>
          <cell r="S172">
            <v>0</v>
          </cell>
          <cell r="T172">
            <v>0</v>
          </cell>
          <cell r="U172">
            <v>12</v>
          </cell>
          <cell r="V172">
            <v>30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34</v>
          </cell>
          <cell r="AC172">
            <v>51</v>
          </cell>
          <cell r="AD172">
            <v>18.5</v>
          </cell>
          <cell r="AE172">
            <v>13.5</v>
          </cell>
          <cell r="AF172">
            <v>0</v>
          </cell>
          <cell r="AG172">
            <v>1</v>
          </cell>
          <cell r="AH172"/>
          <cell r="AI172">
            <v>355</v>
          </cell>
          <cell r="AJ172">
            <v>81</v>
          </cell>
          <cell r="AK172">
            <v>18</v>
          </cell>
        </row>
        <row r="173">
          <cell r="C173">
            <v>350621013</v>
          </cell>
          <cell r="D173">
            <v>0</v>
          </cell>
          <cell r="E173" t="str">
            <v>63,4</v>
          </cell>
          <cell r="F173" t="str">
            <v>2,4</v>
          </cell>
          <cell r="G173">
            <v>0</v>
          </cell>
          <cell r="H173">
            <v>16.3</v>
          </cell>
          <cell r="I173" t="str">
            <v>3,1</v>
          </cell>
          <cell r="J173" t="str">
            <v>21,7</v>
          </cell>
          <cell r="K173" t="str">
            <v>26,6</v>
          </cell>
          <cell r="L173">
            <v>0</v>
          </cell>
          <cell r="M173" t="str">
            <v>3,1</v>
          </cell>
          <cell r="N173" t="str">
            <v>2,8</v>
          </cell>
          <cell r="O173" t="str">
            <v>1,1</v>
          </cell>
          <cell r="P173">
            <v>13</v>
          </cell>
          <cell r="Q173" t="str">
            <v>2,4</v>
          </cell>
          <cell r="R173" t="str">
            <v>2,5</v>
          </cell>
          <cell r="S173">
            <v>12</v>
          </cell>
          <cell r="T173">
            <v>0</v>
          </cell>
          <cell r="U173" t="str">
            <v>6,7</v>
          </cell>
          <cell r="V173" t="str">
            <v>20,8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51.1</v>
          </cell>
          <cell r="AC173" t="str">
            <v>6,2</v>
          </cell>
          <cell r="AD173">
            <v>32</v>
          </cell>
          <cell r="AE173" t="str">
            <v>13,3</v>
          </cell>
          <cell r="AF173">
            <v>0</v>
          </cell>
          <cell r="AG173">
            <v>1</v>
          </cell>
          <cell r="AH173"/>
          <cell r="AI173">
            <v>125.4</v>
          </cell>
          <cell r="AJ173">
            <v>51.1</v>
          </cell>
          <cell r="AK173">
            <v>6</v>
          </cell>
        </row>
        <row r="174">
          <cell r="C174">
            <v>350621014</v>
          </cell>
          <cell r="D174">
            <v>0</v>
          </cell>
          <cell r="E174">
            <v>78</v>
          </cell>
          <cell r="F174">
            <v>24</v>
          </cell>
          <cell r="G174">
            <v>0</v>
          </cell>
          <cell r="H174">
            <v>23</v>
          </cell>
          <cell r="I174">
            <v>0</v>
          </cell>
          <cell r="J174">
            <v>63</v>
          </cell>
          <cell r="K174">
            <v>12</v>
          </cell>
          <cell r="L174">
            <v>0</v>
          </cell>
          <cell r="M174">
            <v>0</v>
          </cell>
          <cell r="N174">
            <v>0</v>
          </cell>
          <cell r="O174">
            <v>21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21</v>
          </cell>
          <cell r="V174">
            <v>46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49</v>
          </cell>
          <cell r="AC174">
            <v>13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/>
          <cell r="AI174">
            <v>350</v>
          </cell>
          <cell r="AJ174">
            <v>78</v>
          </cell>
          <cell r="AK174">
            <v>10</v>
          </cell>
        </row>
        <row r="175">
          <cell r="C175">
            <v>350621015</v>
          </cell>
          <cell r="D175">
            <v>0</v>
          </cell>
          <cell r="E175">
            <v>150</v>
          </cell>
          <cell r="F175">
            <v>39</v>
          </cell>
          <cell r="G175">
            <v>0</v>
          </cell>
          <cell r="H175">
            <v>97</v>
          </cell>
          <cell r="I175">
            <v>5</v>
          </cell>
          <cell r="J175">
            <v>26</v>
          </cell>
          <cell r="K175">
            <v>15</v>
          </cell>
          <cell r="L175">
            <v>0</v>
          </cell>
          <cell r="M175">
            <v>11</v>
          </cell>
          <cell r="N175">
            <v>0</v>
          </cell>
          <cell r="O175">
            <v>10</v>
          </cell>
          <cell r="P175">
            <v>25</v>
          </cell>
          <cell r="Q175">
            <v>3</v>
          </cell>
          <cell r="R175">
            <v>0</v>
          </cell>
          <cell r="S175">
            <v>0</v>
          </cell>
          <cell r="T175">
            <v>0</v>
          </cell>
          <cell r="U175">
            <v>23</v>
          </cell>
          <cell r="V175">
            <v>20</v>
          </cell>
          <cell r="W175">
            <v>17</v>
          </cell>
          <cell r="X175">
            <v>3</v>
          </cell>
          <cell r="Y175">
            <v>1</v>
          </cell>
          <cell r="Z175">
            <v>0</v>
          </cell>
          <cell r="AA175">
            <v>0</v>
          </cell>
          <cell r="AB175">
            <v>30</v>
          </cell>
          <cell r="AC175">
            <v>16</v>
          </cell>
          <cell r="AD175">
            <v>10</v>
          </cell>
          <cell r="AE175">
            <v>3</v>
          </cell>
          <cell r="AF175">
            <v>0</v>
          </cell>
          <cell r="AG175">
            <v>0</v>
          </cell>
          <cell r="AH175"/>
          <cell r="AI175">
            <v>504</v>
          </cell>
          <cell r="AJ175">
            <v>150</v>
          </cell>
          <cell r="AK175">
            <v>19</v>
          </cell>
        </row>
        <row r="176">
          <cell r="C176">
            <v>350621016</v>
          </cell>
          <cell r="D176">
            <v>0</v>
          </cell>
          <cell r="E176">
            <v>115</v>
          </cell>
          <cell r="F176">
            <v>25</v>
          </cell>
          <cell r="G176">
            <v>0</v>
          </cell>
          <cell r="H176">
            <v>55</v>
          </cell>
          <cell r="I176">
            <v>0</v>
          </cell>
          <cell r="J176">
            <v>81</v>
          </cell>
          <cell r="K176">
            <v>18</v>
          </cell>
          <cell r="L176">
            <v>0</v>
          </cell>
          <cell r="M176">
            <v>0</v>
          </cell>
          <cell r="N176">
            <v>9</v>
          </cell>
          <cell r="O176">
            <v>22</v>
          </cell>
          <cell r="P176">
            <v>23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21</v>
          </cell>
          <cell r="V176">
            <v>35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24</v>
          </cell>
          <cell r="AC176">
            <v>42</v>
          </cell>
          <cell r="AD176">
            <v>12</v>
          </cell>
          <cell r="AE176">
            <v>0</v>
          </cell>
          <cell r="AF176">
            <v>0</v>
          </cell>
          <cell r="AG176">
            <v>0</v>
          </cell>
          <cell r="AH176"/>
          <cell r="AI176">
            <v>482</v>
          </cell>
          <cell r="AJ176">
            <v>115</v>
          </cell>
          <cell r="AK176">
            <v>13</v>
          </cell>
        </row>
        <row r="177">
          <cell r="C177">
            <v>350621017</v>
          </cell>
          <cell r="D177">
            <v>0</v>
          </cell>
          <cell r="E177">
            <v>0</v>
          </cell>
          <cell r="F177">
            <v>13</v>
          </cell>
          <cell r="G177">
            <v>2</v>
          </cell>
          <cell r="H177">
            <v>31</v>
          </cell>
          <cell r="I177">
            <v>0</v>
          </cell>
          <cell r="J177">
            <v>30</v>
          </cell>
          <cell r="K177">
            <v>15</v>
          </cell>
          <cell r="L177">
            <v>4</v>
          </cell>
          <cell r="M177">
            <v>8</v>
          </cell>
          <cell r="N177">
            <v>5</v>
          </cell>
          <cell r="O177">
            <v>6</v>
          </cell>
          <cell r="P177">
            <v>0</v>
          </cell>
          <cell r="Q177">
            <v>0</v>
          </cell>
          <cell r="R177">
            <v>0</v>
          </cell>
          <cell r="S177">
            <v>18</v>
          </cell>
          <cell r="T177">
            <v>0</v>
          </cell>
          <cell r="U177">
            <v>9</v>
          </cell>
          <cell r="V177">
            <v>47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17</v>
          </cell>
          <cell r="AC177">
            <v>8</v>
          </cell>
          <cell r="AD177">
            <v>6</v>
          </cell>
          <cell r="AE177">
            <v>26</v>
          </cell>
          <cell r="AF177">
            <v>0</v>
          </cell>
          <cell r="AG177">
            <v>6</v>
          </cell>
          <cell r="AH177"/>
          <cell r="AI177">
            <v>251</v>
          </cell>
          <cell r="AJ177">
            <v>47</v>
          </cell>
          <cell r="AK177">
            <v>17</v>
          </cell>
        </row>
        <row r="178">
          <cell r="C178">
            <v>350621018</v>
          </cell>
          <cell r="D178">
            <v>0</v>
          </cell>
          <cell r="E178">
            <v>15</v>
          </cell>
          <cell r="F178">
            <v>5.5</v>
          </cell>
          <cell r="G178">
            <v>0</v>
          </cell>
          <cell r="H178">
            <v>44</v>
          </cell>
          <cell r="I178">
            <v>0</v>
          </cell>
          <cell r="J178">
            <v>13.4</v>
          </cell>
          <cell r="K178">
            <v>53</v>
          </cell>
          <cell r="L178">
            <v>0</v>
          </cell>
          <cell r="M178">
            <v>2.2999999999999998</v>
          </cell>
          <cell r="N178">
            <v>22</v>
          </cell>
          <cell r="O178">
            <v>0</v>
          </cell>
          <cell r="P178">
            <v>1</v>
          </cell>
          <cell r="Q178">
            <v>0.6</v>
          </cell>
          <cell r="R178">
            <v>11</v>
          </cell>
          <cell r="S178">
            <v>0</v>
          </cell>
          <cell r="T178">
            <v>0</v>
          </cell>
          <cell r="U178">
            <v>25.5</v>
          </cell>
          <cell r="V178">
            <v>37</v>
          </cell>
          <cell r="W178">
            <v>0</v>
          </cell>
          <cell r="X178">
            <v>7</v>
          </cell>
          <cell r="Y178">
            <v>1.8</v>
          </cell>
          <cell r="Z178">
            <v>0</v>
          </cell>
          <cell r="AA178">
            <v>0</v>
          </cell>
          <cell r="AB178">
            <v>23</v>
          </cell>
          <cell r="AC178">
            <v>2.6</v>
          </cell>
          <cell r="AD178">
            <v>1.8</v>
          </cell>
          <cell r="AE178">
            <v>13</v>
          </cell>
          <cell r="AF178">
            <v>0</v>
          </cell>
          <cell r="AG178">
            <v>0</v>
          </cell>
          <cell r="AH178"/>
          <cell r="AI178">
            <v>279.50000000000006</v>
          </cell>
          <cell r="AJ178">
            <v>53</v>
          </cell>
          <cell r="AK178">
            <v>18</v>
          </cell>
        </row>
        <row r="179">
          <cell r="C179">
            <v>350621019</v>
          </cell>
          <cell r="D179">
            <v>0</v>
          </cell>
          <cell r="E179">
            <v>22</v>
          </cell>
          <cell r="F179">
            <v>14</v>
          </cell>
          <cell r="G179">
            <v>0</v>
          </cell>
          <cell r="H179">
            <v>4</v>
          </cell>
          <cell r="I179">
            <v>16</v>
          </cell>
          <cell r="J179">
            <v>0</v>
          </cell>
          <cell r="K179">
            <v>4</v>
          </cell>
          <cell r="L179">
            <v>0</v>
          </cell>
          <cell r="M179">
            <v>2</v>
          </cell>
          <cell r="N179">
            <v>0</v>
          </cell>
          <cell r="O179">
            <v>4</v>
          </cell>
          <cell r="P179">
            <v>8</v>
          </cell>
          <cell r="Q179">
            <v>0</v>
          </cell>
          <cell r="R179">
            <v>6</v>
          </cell>
          <cell r="S179">
            <v>0</v>
          </cell>
          <cell r="T179">
            <v>2</v>
          </cell>
          <cell r="U179">
            <v>12</v>
          </cell>
          <cell r="V179">
            <v>58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22</v>
          </cell>
          <cell r="AD179">
            <v>14</v>
          </cell>
          <cell r="AE179">
            <v>8</v>
          </cell>
          <cell r="AF179">
            <v>0</v>
          </cell>
          <cell r="AG179">
            <v>4</v>
          </cell>
          <cell r="AH179"/>
          <cell r="AI179">
            <v>200</v>
          </cell>
          <cell r="AJ179">
            <v>58</v>
          </cell>
          <cell r="AK179">
            <v>16</v>
          </cell>
        </row>
        <row r="180">
          <cell r="C180">
            <v>350621020</v>
          </cell>
          <cell r="D180">
            <v>0</v>
          </cell>
          <cell r="E180">
            <v>9</v>
          </cell>
          <cell r="F180">
            <v>15</v>
          </cell>
          <cell r="G180">
            <v>0</v>
          </cell>
          <cell r="H180">
            <v>14</v>
          </cell>
          <cell r="I180">
            <v>5</v>
          </cell>
          <cell r="J180">
            <v>20</v>
          </cell>
          <cell r="K180">
            <v>39</v>
          </cell>
          <cell r="L180">
            <v>0</v>
          </cell>
          <cell r="M180">
            <v>3</v>
          </cell>
          <cell r="N180">
            <v>21</v>
          </cell>
          <cell r="O180">
            <v>7</v>
          </cell>
          <cell r="P180">
            <v>15</v>
          </cell>
          <cell r="Q180">
            <v>6</v>
          </cell>
          <cell r="R180">
            <v>20</v>
          </cell>
          <cell r="S180">
            <v>0</v>
          </cell>
          <cell r="T180">
            <v>0</v>
          </cell>
          <cell r="U180">
            <v>10</v>
          </cell>
          <cell r="V180">
            <v>30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13</v>
          </cell>
          <cell r="AC180">
            <v>12</v>
          </cell>
          <cell r="AD180">
            <v>4</v>
          </cell>
          <cell r="AE180">
            <v>15</v>
          </cell>
          <cell r="AF180">
            <v>0</v>
          </cell>
          <cell r="AG180">
            <v>0</v>
          </cell>
          <cell r="AH180"/>
          <cell r="AI180">
            <v>258</v>
          </cell>
          <cell r="AJ180">
            <v>39</v>
          </cell>
          <cell r="AK180">
            <v>18</v>
          </cell>
        </row>
        <row r="181">
          <cell r="C181">
            <v>350621021</v>
          </cell>
          <cell r="D181">
            <v>0</v>
          </cell>
          <cell r="E181">
            <v>41</v>
          </cell>
          <cell r="F181">
            <v>18</v>
          </cell>
          <cell r="G181">
            <v>0</v>
          </cell>
          <cell r="H181">
            <v>13</v>
          </cell>
          <cell r="I181">
            <v>4</v>
          </cell>
          <cell r="J181">
            <v>19</v>
          </cell>
          <cell r="K181">
            <v>38</v>
          </cell>
          <cell r="L181">
            <v>0</v>
          </cell>
          <cell r="M181">
            <v>4</v>
          </cell>
          <cell r="N181">
            <v>19</v>
          </cell>
          <cell r="O181">
            <v>0</v>
          </cell>
          <cell r="P181">
            <v>10</v>
          </cell>
          <cell r="Q181">
            <v>4</v>
          </cell>
          <cell r="R181">
            <v>16</v>
          </cell>
          <cell r="S181">
            <v>0</v>
          </cell>
          <cell r="T181">
            <v>0</v>
          </cell>
          <cell r="U181">
            <v>5</v>
          </cell>
          <cell r="V181">
            <v>27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16</v>
          </cell>
          <cell r="AC181">
            <v>14</v>
          </cell>
          <cell r="AD181">
            <v>3</v>
          </cell>
          <cell r="AE181">
            <v>16</v>
          </cell>
          <cell r="AF181">
            <v>0</v>
          </cell>
          <cell r="AG181">
            <v>0</v>
          </cell>
          <cell r="AH181"/>
          <cell r="AI181">
            <v>267</v>
          </cell>
          <cell r="AJ181">
            <v>41</v>
          </cell>
          <cell r="AK181">
            <v>17</v>
          </cell>
        </row>
        <row r="182">
          <cell r="C182">
            <v>350621022</v>
          </cell>
          <cell r="D182">
            <v>0</v>
          </cell>
          <cell r="E182">
            <v>19</v>
          </cell>
          <cell r="F182">
            <v>9</v>
          </cell>
          <cell r="G182">
            <v>0</v>
          </cell>
          <cell r="H182">
            <v>14</v>
          </cell>
          <cell r="I182">
            <v>0</v>
          </cell>
          <cell r="J182">
            <v>32</v>
          </cell>
          <cell r="K182">
            <v>17</v>
          </cell>
          <cell r="L182">
            <v>0</v>
          </cell>
          <cell r="M182">
            <v>16</v>
          </cell>
          <cell r="N182">
            <v>6</v>
          </cell>
          <cell r="O182">
            <v>8</v>
          </cell>
          <cell r="P182">
            <v>0</v>
          </cell>
          <cell r="Q182">
            <v>31</v>
          </cell>
          <cell r="R182">
            <v>14</v>
          </cell>
          <cell r="S182">
            <v>0</v>
          </cell>
          <cell r="T182">
            <v>0</v>
          </cell>
          <cell r="U182">
            <v>37</v>
          </cell>
          <cell r="V182">
            <v>62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21</v>
          </cell>
          <cell r="AC182">
            <v>16</v>
          </cell>
          <cell r="AD182">
            <v>7</v>
          </cell>
          <cell r="AE182">
            <v>21</v>
          </cell>
          <cell r="AF182">
            <v>0</v>
          </cell>
          <cell r="AG182">
            <v>0</v>
          </cell>
          <cell r="AH182"/>
          <cell r="AI182">
            <v>330</v>
          </cell>
          <cell r="AJ182">
            <v>62</v>
          </cell>
          <cell r="AK182">
            <v>16</v>
          </cell>
        </row>
        <row r="183">
          <cell r="C183">
            <v>350621023</v>
          </cell>
          <cell r="D183">
            <v>0</v>
          </cell>
          <cell r="E183">
            <v>21.5</v>
          </cell>
          <cell r="F183">
            <v>22</v>
          </cell>
          <cell r="G183">
            <v>4</v>
          </cell>
          <cell r="H183">
            <v>9.9</v>
          </cell>
          <cell r="I183">
            <v>12</v>
          </cell>
          <cell r="J183">
            <v>14</v>
          </cell>
          <cell r="K183">
            <v>18.5</v>
          </cell>
          <cell r="L183">
            <v>0</v>
          </cell>
          <cell r="M183">
            <v>7</v>
          </cell>
          <cell r="N183">
            <v>7</v>
          </cell>
          <cell r="O183">
            <v>6.3</v>
          </cell>
          <cell r="P183">
            <v>0</v>
          </cell>
          <cell r="Q183">
            <v>29.5</v>
          </cell>
          <cell r="R183">
            <v>17</v>
          </cell>
          <cell r="S183">
            <v>0</v>
          </cell>
          <cell r="T183">
            <v>0</v>
          </cell>
          <cell r="U183">
            <v>27</v>
          </cell>
          <cell r="V183">
            <v>33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24</v>
          </cell>
          <cell r="AC183">
            <v>0</v>
          </cell>
          <cell r="AD183">
            <v>17</v>
          </cell>
          <cell r="AE183">
            <v>14</v>
          </cell>
          <cell r="AF183">
            <v>0</v>
          </cell>
          <cell r="AG183">
            <v>0</v>
          </cell>
          <cell r="AH183"/>
          <cell r="AI183">
            <v>283.7</v>
          </cell>
          <cell r="AJ183">
            <v>33</v>
          </cell>
          <cell r="AK183">
            <v>17</v>
          </cell>
        </row>
        <row r="184">
          <cell r="C184">
            <v>350621024</v>
          </cell>
          <cell r="D184">
            <v>0</v>
          </cell>
          <cell r="E184">
            <v>50</v>
          </cell>
          <cell r="F184">
            <v>17</v>
          </cell>
          <cell r="G184">
            <v>0</v>
          </cell>
          <cell r="H184">
            <v>15</v>
          </cell>
          <cell r="I184">
            <v>3</v>
          </cell>
          <cell r="J184">
            <v>17</v>
          </cell>
          <cell r="K184">
            <v>36</v>
          </cell>
          <cell r="L184">
            <v>0</v>
          </cell>
          <cell r="M184">
            <v>3</v>
          </cell>
          <cell r="N184">
            <v>20</v>
          </cell>
          <cell r="O184">
            <v>0</v>
          </cell>
          <cell r="P184">
            <v>9</v>
          </cell>
          <cell r="Q184">
            <v>5</v>
          </cell>
          <cell r="R184">
            <v>14</v>
          </cell>
          <cell r="S184">
            <v>0</v>
          </cell>
          <cell r="T184">
            <v>0</v>
          </cell>
          <cell r="U184">
            <v>5</v>
          </cell>
          <cell r="V184">
            <v>16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14</v>
          </cell>
          <cell r="AC184">
            <v>15</v>
          </cell>
          <cell r="AD184">
            <v>5</v>
          </cell>
          <cell r="AE184">
            <v>17</v>
          </cell>
          <cell r="AF184">
            <v>0</v>
          </cell>
          <cell r="AG184">
            <v>0</v>
          </cell>
          <cell r="AH184"/>
          <cell r="AI184">
            <v>261</v>
          </cell>
          <cell r="AJ184">
            <v>50</v>
          </cell>
          <cell r="AK184">
            <v>17</v>
          </cell>
        </row>
        <row r="185">
          <cell r="C185">
            <v>350621025</v>
          </cell>
          <cell r="D185">
            <v>0</v>
          </cell>
          <cell r="E185">
            <v>54</v>
          </cell>
          <cell r="F185">
            <v>2</v>
          </cell>
          <cell r="G185">
            <v>0</v>
          </cell>
          <cell r="H185">
            <v>12</v>
          </cell>
          <cell r="I185">
            <v>0</v>
          </cell>
          <cell r="J185">
            <v>49</v>
          </cell>
          <cell r="K185">
            <v>20</v>
          </cell>
          <cell r="L185">
            <v>0</v>
          </cell>
          <cell r="M185">
            <v>2</v>
          </cell>
          <cell r="N185">
            <v>17</v>
          </cell>
          <cell r="O185">
            <v>11</v>
          </cell>
          <cell r="P185">
            <v>5</v>
          </cell>
          <cell r="Q185">
            <v>32</v>
          </cell>
          <cell r="R185">
            <v>2</v>
          </cell>
          <cell r="S185">
            <v>2</v>
          </cell>
          <cell r="T185">
            <v>0</v>
          </cell>
          <cell r="U185">
            <v>21</v>
          </cell>
          <cell r="V185">
            <v>81</v>
          </cell>
          <cell r="W185">
            <v>0</v>
          </cell>
          <cell r="X185">
            <v>34</v>
          </cell>
          <cell r="Y185">
            <v>0</v>
          </cell>
          <cell r="Z185">
            <v>0</v>
          </cell>
          <cell r="AA185">
            <v>4</v>
          </cell>
          <cell r="AB185">
            <v>52</v>
          </cell>
          <cell r="AC185">
            <v>39</v>
          </cell>
          <cell r="AD185">
            <v>5</v>
          </cell>
          <cell r="AE185">
            <v>11</v>
          </cell>
          <cell r="AF185">
            <v>0</v>
          </cell>
          <cell r="AG185">
            <v>0</v>
          </cell>
          <cell r="AH185"/>
          <cell r="AI185">
            <v>455</v>
          </cell>
          <cell r="AJ185">
            <v>81</v>
          </cell>
          <cell r="AK185">
            <v>20</v>
          </cell>
        </row>
        <row r="186">
          <cell r="C186">
            <v>350621026</v>
          </cell>
          <cell r="D186">
            <v>0</v>
          </cell>
          <cell r="E186">
            <v>72</v>
          </cell>
          <cell r="F186">
            <v>17</v>
          </cell>
          <cell r="G186">
            <v>7</v>
          </cell>
          <cell r="H186">
            <v>17</v>
          </cell>
          <cell r="I186">
            <v>12</v>
          </cell>
          <cell r="J186">
            <v>14</v>
          </cell>
          <cell r="K186">
            <v>0</v>
          </cell>
          <cell r="L186">
            <v>0</v>
          </cell>
          <cell r="M186">
            <v>9</v>
          </cell>
          <cell r="N186">
            <v>34</v>
          </cell>
          <cell r="O186">
            <v>8</v>
          </cell>
          <cell r="P186">
            <v>0</v>
          </cell>
          <cell r="Q186">
            <v>18</v>
          </cell>
          <cell r="R186">
            <v>34</v>
          </cell>
          <cell r="S186">
            <v>0</v>
          </cell>
          <cell r="T186">
            <v>0</v>
          </cell>
          <cell r="U186">
            <v>24</v>
          </cell>
          <cell r="V186">
            <v>54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15</v>
          </cell>
          <cell r="AC186">
            <v>20</v>
          </cell>
          <cell r="AD186">
            <v>46</v>
          </cell>
          <cell r="AE186">
            <v>27</v>
          </cell>
          <cell r="AF186">
            <v>0</v>
          </cell>
          <cell r="AG186">
            <v>12</v>
          </cell>
          <cell r="AH186"/>
          <cell r="AI186">
            <v>440</v>
          </cell>
          <cell r="AJ186">
            <v>72</v>
          </cell>
          <cell r="AK186">
            <v>18</v>
          </cell>
        </row>
        <row r="187">
          <cell r="C187">
            <v>350602001</v>
          </cell>
          <cell r="D187">
            <v>0</v>
          </cell>
          <cell r="E187">
            <v>38</v>
          </cell>
          <cell r="F187">
            <v>1.5</v>
          </cell>
          <cell r="G187">
            <v>14</v>
          </cell>
          <cell r="H187">
            <v>1</v>
          </cell>
          <cell r="I187">
            <v>0</v>
          </cell>
          <cell r="J187">
            <v>2.5</v>
          </cell>
          <cell r="K187">
            <v>4.5</v>
          </cell>
          <cell r="L187">
            <v>1</v>
          </cell>
          <cell r="M187">
            <v>14</v>
          </cell>
          <cell r="N187">
            <v>12.5</v>
          </cell>
          <cell r="O187">
            <v>1</v>
          </cell>
          <cell r="P187">
            <v>8.5</v>
          </cell>
          <cell r="Q187">
            <v>22</v>
          </cell>
          <cell r="R187">
            <v>14</v>
          </cell>
          <cell r="S187">
            <v>0</v>
          </cell>
          <cell r="T187">
            <v>4</v>
          </cell>
          <cell r="U187">
            <v>9</v>
          </cell>
          <cell r="V187">
            <v>27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53</v>
          </cell>
          <cell r="AB187">
            <v>20</v>
          </cell>
          <cell r="AC187">
            <v>1.5</v>
          </cell>
          <cell r="AD187">
            <v>2.5</v>
          </cell>
          <cell r="AE187">
            <v>3</v>
          </cell>
          <cell r="AF187">
            <v>0</v>
          </cell>
          <cell r="AG187">
            <v>0</v>
          </cell>
          <cell r="AH187"/>
          <cell r="AI187">
            <v>254.5</v>
          </cell>
          <cell r="AJ187">
            <v>53</v>
          </cell>
          <cell r="AK187">
            <v>21</v>
          </cell>
        </row>
        <row r="188">
          <cell r="C188">
            <v>350602002</v>
          </cell>
          <cell r="D188">
            <v>0</v>
          </cell>
          <cell r="E188">
            <v>42</v>
          </cell>
          <cell r="F188">
            <v>2</v>
          </cell>
          <cell r="G188">
            <v>9</v>
          </cell>
          <cell r="H188">
            <v>7</v>
          </cell>
          <cell r="I188">
            <v>3</v>
          </cell>
          <cell r="J188">
            <v>3</v>
          </cell>
          <cell r="K188">
            <v>3</v>
          </cell>
          <cell r="L188">
            <v>0</v>
          </cell>
          <cell r="M188">
            <v>5</v>
          </cell>
          <cell r="N188">
            <v>1</v>
          </cell>
          <cell r="O188">
            <v>1</v>
          </cell>
          <cell r="P188">
            <v>11</v>
          </cell>
          <cell r="Q188">
            <v>26</v>
          </cell>
          <cell r="R188">
            <v>37</v>
          </cell>
          <cell r="S188">
            <v>0</v>
          </cell>
          <cell r="T188">
            <v>5</v>
          </cell>
          <cell r="U188">
            <v>7</v>
          </cell>
          <cell r="V188">
            <v>51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37</v>
          </cell>
          <cell r="AB188">
            <v>57</v>
          </cell>
          <cell r="AC188">
            <v>5</v>
          </cell>
          <cell r="AD188">
            <v>5</v>
          </cell>
          <cell r="AE188">
            <v>2</v>
          </cell>
          <cell r="AF188">
            <v>0</v>
          </cell>
          <cell r="AG188">
            <v>0</v>
          </cell>
          <cell r="AH188"/>
          <cell r="AI188">
            <v>319</v>
          </cell>
          <cell r="AJ188">
            <v>57</v>
          </cell>
          <cell r="AK188">
            <v>21</v>
          </cell>
        </row>
        <row r="189">
          <cell r="C189">
            <v>350602003</v>
          </cell>
          <cell r="D189">
            <v>0</v>
          </cell>
          <cell r="E189">
            <v>28</v>
          </cell>
          <cell r="F189">
            <v>9</v>
          </cell>
          <cell r="G189">
            <v>21</v>
          </cell>
          <cell r="H189">
            <v>24</v>
          </cell>
          <cell r="I189">
            <v>19</v>
          </cell>
          <cell r="J189">
            <v>37</v>
          </cell>
          <cell r="K189">
            <v>3</v>
          </cell>
          <cell r="L189">
            <v>10</v>
          </cell>
          <cell r="M189">
            <v>12</v>
          </cell>
          <cell r="N189">
            <v>47</v>
          </cell>
          <cell r="O189">
            <v>3</v>
          </cell>
          <cell r="P189">
            <v>5</v>
          </cell>
          <cell r="Q189">
            <v>73</v>
          </cell>
          <cell r="R189">
            <v>13</v>
          </cell>
          <cell r="S189">
            <v>0</v>
          </cell>
          <cell r="T189">
            <v>5</v>
          </cell>
          <cell r="U189">
            <v>7</v>
          </cell>
          <cell r="V189">
            <v>109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4</v>
          </cell>
          <cell r="AB189">
            <v>16</v>
          </cell>
          <cell r="AC189">
            <v>6</v>
          </cell>
          <cell r="AD189">
            <v>7</v>
          </cell>
          <cell r="AE189">
            <v>53</v>
          </cell>
          <cell r="AF189">
            <v>0</v>
          </cell>
          <cell r="AG189">
            <v>0</v>
          </cell>
          <cell r="AH189"/>
          <cell r="AI189">
            <v>511</v>
          </cell>
          <cell r="AJ189">
            <v>109</v>
          </cell>
          <cell r="AK189">
            <v>22</v>
          </cell>
        </row>
        <row r="190">
          <cell r="C190">
            <v>350602004</v>
          </cell>
          <cell r="D190">
            <v>0</v>
          </cell>
          <cell r="E190">
            <v>20</v>
          </cell>
          <cell r="F190">
            <v>25</v>
          </cell>
          <cell r="G190">
            <v>18</v>
          </cell>
          <cell r="H190">
            <v>9</v>
          </cell>
          <cell r="I190">
            <v>5</v>
          </cell>
          <cell r="J190">
            <v>37</v>
          </cell>
          <cell r="K190">
            <v>45</v>
          </cell>
          <cell r="L190">
            <v>15</v>
          </cell>
          <cell r="M190">
            <v>71</v>
          </cell>
          <cell r="N190">
            <v>27</v>
          </cell>
          <cell r="O190">
            <v>2</v>
          </cell>
          <cell r="P190">
            <v>23</v>
          </cell>
          <cell r="Q190">
            <v>29</v>
          </cell>
          <cell r="R190">
            <v>31</v>
          </cell>
          <cell r="S190">
            <v>0</v>
          </cell>
          <cell r="T190">
            <v>5</v>
          </cell>
          <cell r="U190">
            <v>6</v>
          </cell>
          <cell r="V190">
            <v>128</v>
          </cell>
          <cell r="W190">
            <v>0</v>
          </cell>
          <cell r="X190">
            <v>0</v>
          </cell>
          <cell r="Y190">
            <v>0</v>
          </cell>
          <cell r="Z190">
            <v>5</v>
          </cell>
          <cell r="AA190">
            <v>2</v>
          </cell>
          <cell r="AB190">
            <v>17</v>
          </cell>
          <cell r="AC190">
            <v>2</v>
          </cell>
          <cell r="AD190">
            <v>55</v>
          </cell>
          <cell r="AE190">
            <v>44</v>
          </cell>
          <cell r="AF190">
            <v>0</v>
          </cell>
          <cell r="AG190">
            <v>0</v>
          </cell>
          <cell r="AH190"/>
          <cell r="AI190">
            <v>621</v>
          </cell>
          <cell r="AJ190">
            <v>128</v>
          </cell>
          <cell r="AK190">
            <v>23</v>
          </cell>
        </row>
        <row r="191">
          <cell r="C191">
            <v>350602005</v>
          </cell>
          <cell r="D191">
            <v>0</v>
          </cell>
          <cell r="E191">
            <v>21</v>
          </cell>
          <cell r="F191">
            <v>6</v>
          </cell>
          <cell r="G191">
            <v>6</v>
          </cell>
          <cell r="H191">
            <v>12</v>
          </cell>
          <cell r="I191">
            <v>3</v>
          </cell>
          <cell r="J191">
            <v>7</v>
          </cell>
          <cell r="K191">
            <v>14</v>
          </cell>
          <cell r="L191">
            <v>19</v>
          </cell>
          <cell r="M191">
            <v>19</v>
          </cell>
          <cell r="N191">
            <v>7</v>
          </cell>
          <cell r="O191">
            <v>9</v>
          </cell>
          <cell r="P191">
            <v>5</v>
          </cell>
          <cell r="Q191">
            <v>25</v>
          </cell>
          <cell r="R191">
            <v>85</v>
          </cell>
          <cell r="S191">
            <v>15</v>
          </cell>
          <cell r="T191">
            <v>8</v>
          </cell>
          <cell r="U191">
            <v>8</v>
          </cell>
          <cell r="V191">
            <v>50</v>
          </cell>
          <cell r="W191">
            <v>0</v>
          </cell>
          <cell r="X191">
            <v>0</v>
          </cell>
          <cell r="Y191">
            <v>4</v>
          </cell>
          <cell r="Z191">
            <v>0</v>
          </cell>
          <cell r="AA191">
            <v>63</v>
          </cell>
          <cell r="AB191">
            <v>18</v>
          </cell>
          <cell r="AC191">
            <v>26</v>
          </cell>
          <cell r="AD191">
            <v>26</v>
          </cell>
          <cell r="AE191">
            <v>76</v>
          </cell>
          <cell r="AF191">
            <v>0</v>
          </cell>
          <cell r="AG191">
            <v>9</v>
          </cell>
          <cell r="AH191"/>
          <cell r="AI191">
            <v>541</v>
          </cell>
          <cell r="AJ191">
            <v>85</v>
          </cell>
          <cell r="AK191">
            <v>25</v>
          </cell>
        </row>
        <row r="192">
          <cell r="C192">
            <v>350602006</v>
          </cell>
          <cell r="D192">
            <v>0</v>
          </cell>
          <cell r="E192">
            <v>21</v>
          </cell>
          <cell r="F192">
            <v>0</v>
          </cell>
          <cell r="G192">
            <v>41</v>
          </cell>
          <cell r="H192">
            <v>0</v>
          </cell>
          <cell r="I192">
            <v>10</v>
          </cell>
          <cell r="J192">
            <v>10</v>
          </cell>
          <cell r="K192">
            <v>40</v>
          </cell>
          <cell r="L192">
            <v>9</v>
          </cell>
          <cell r="M192">
            <v>13</v>
          </cell>
          <cell r="N192">
            <v>14</v>
          </cell>
          <cell r="O192">
            <v>2</v>
          </cell>
          <cell r="P192">
            <v>16</v>
          </cell>
          <cell r="Q192">
            <v>57</v>
          </cell>
          <cell r="R192">
            <v>35</v>
          </cell>
          <cell r="S192">
            <v>15</v>
          </cell>
          <cell r="T192">
            <v>9</v>
          </cell>
          <cell r="U192">
            <v>8</v>
          </cell>
          <cell r="V192">
            <v>67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6</v>
          </cell>
          <cell r="AB192">
            <v>13</v>
          </cell>
          <cell r="AC192">
            <v>29</v>
          </cell>
          <cell r="AD192">
            <v>30</v>
          </cell>
          <cell r="AE192">
            <v>49</v>
          </cell>
          <cell r="AF192">
            <v>0</v>
          </cell>
          <cell r="AG192">
            <v>5</v>
          </cell>
          <cell r="AH192"/>
          <cell r="AI192">
            <v>499</v>
          </cell>
          <cell r="AJ192">
            <v>67</v>
          </cell>
          <cell r="AK192">
            <v>22</v>
          </cell>
        </row>
        <row r="193">
          <cell r="C193">
            <v>350602007</v>
          </cell>
          <cell r="D193">
            <v>0</v>
          </cell>
          <cell r="E193">
            <v>17</v>
          </cell>
          <cell r="F193">
            <v>0</v>
          </cell>
          <cell r="G193">
            <v>8</v>
          </cell>
          <cell r="H193">
            <v>0</v>
          </cell>
          <cell r="I193">
            <v>0</v>
          </cell>
          <cell r="J193">
            <v>8</v>
          </cell>
          <cell r="K193">
            <v>49</v>
          </cell>
          <cell r="L193">
            <v>2</v>
          </cell>
          <cell r="M193">
            <v>26</v>
          </cell>
          <cell r="N193">
            <v>0</v>
          </cell>
          <cell r="O193">
            <v>5</v>
          </cell>
          <cell r="P193">
            <v>23</v>
          </cell>
          <cell r="Q193">
            <v>41</v>
          </cell>
          <cell r="R193">
            <v>49</v>
          </cell>
          <cell r="S193">
            <v>0</v>
          </cell>
          <cell r="T193">
            <v>18</v>
          </cell>
          <cell r="U193">
            <v>21</v>
          </cell>
          <cell r="V193">
            <v>67</v>
          </cell>
          <cell r="W193">
            <v>0</v>
          </cell>
          <cell r="X193">
            <v>13</v>
          </cell>
          <cell r="Y193">
            <v>0</v>
          </cell>
          <cell r="Z193">
            <v>0</v>
          </cell>
          <cell r="AA193">
            <v>13</v>
          </cell>
          <cell r="AB193">
            <v>9</v>
          </cell>
          <cell r="AC193">
            <v>0</v>
          </cell>
          <cell r="AD193">
            <v>75</v>
          </cell>
          <cell r="AE193">
            <v>5</v>
          </cell>
          <cell r="AF193">
            <v>0</v>
          </cell>
          <cell r="AG193">
            <v>0</v>
          </cell>
          <cell r="AH193"/>
          <cell r="AI193">
            <v>449</v>
          </cell>
          <cell r="AJ193">
            <v>75</v>
          </cell>
          <cell r="AK193">
            <v>18</v>
          </cell>
        </row>
        <row r="194">
          <cell r="C194">
            <v>350602008</v>
          </cell>
          <cell r="D194">
            <v>0</v>
          </cell>
          <cell r="E194">
            <v>24</v>
          </cell>
          <cell r="F194">
            <v>0</v>
          </cell>
          <cell r="G194">
            <v>25</v>
          </cell>
          <cell r="H194">
            <v>0</v>
          </cell>
          <cell r="I194">
            <v>0</v>
          </cell>
          <cell r="J194">
            <v>10</v>
          </cell>
          <cell r="K194">
            <v>35</v>
          </cell>
          <cell r="L194">
            <v>1</v>
          </cell>
          <cell r="M194">
            <v>76</v>
          </cell>
          <cell r="N194">
            <v>0</v>
          </cell>
          <cell r="O194">
            <v>9</v>
          </cell>
          <cell r="P194">
            <v>11</v>
          </cell>
          <cell r="Q194">
            <v>17</v>
          </cell>
          <cell r="R194">
            <v>16</v>
          </cell>
          <cell r="S194">
            <v>0</v>
          </cell>
          <cell r="T194">
            <v>4</v>
          </cell>
          <cell r="U194">
            <v>24</v>
          </cell>
          <cell r="V194">
            <v>52</v>
          </cell>
          <cell r="W194">
            <v>0</v>
          </cell>
          <cell r="X194">
            <v>3</v>
          </cell>
          <cell r="Y194">
            <v>0</v>
          </cell>
          <cell r="Z194">
            <v>0</v>
          </cell>
          <cell r="AA194">
            <v>20</v>
          </cell>
          <cell r="AB194">
            <v>55</v>
          </cell>
          <cell r="AC194">
            <v>1</v>
          </cell>
          <cell r="AD194">
            <v>15</v>
          </cell>
          <cell r="AE194">
            <v>2</v>
          </cell>
          <cell r="AF194">
            <v>0</v>
          </cell>
          <cell r="AG194">
            <v>0</v>
          </cell>
          <cell r="AH194"/>
          <cell r="AI194">
            <v>400</v>
          </cell>
          <cell r="AJ194">
            <v>76</v>
          </cell>
          <cell r="AK194">
            <v>19</v>
          </cell>
        </row>
        <row r="195">
          <cell r="C195">
            <v>350602009</v>
          </cell>
          <cell r="D195">
            <v>0</v>
          </cell>
          <cell r="E195">
            <v>36</v>
          </cell>
          <cell r="F195">
            <v>2</v>
          </cell>
          <cell r="G195">
            <v>19</v>
          </cell>
          <cell r="H195">
            <v>0</v>
          </cell>
          <cell r="I195">
            <v>0</v>
          </cell>
          <cell r="J195">
            <v>5</v>
          </cell>
          <cell r="K195">
            <v>7</v>
          </cell>
          <cell r="L195">
            <v>1</v>
          </cell>
          <cell r="M195">
            <v>29</v>
          </cell>
          <cell r="N195">
            <v>0</v>
          </cell>
          <cell r="O195">
            <v>33</v>
          </cell>
          <cell r="P195">
            <v>3</v>
          </cell>
          <cell r="Q195">
            <v>63</v>
          </cell>
          <cell r="R195">
            <v>18</v>
          </cell>
          <cell r="S195">
            <v>0</v>
          </cell>
          <cell r="T195">
            <v>5</v>
          </cell>
          <cell r="U195">
            <v>13</v>
          </cell>
          <cell r="V195">
            <v>36</v>
          </cell>
          <cell r="W195">
            <v>1</v>
          </cell>
          <cell r="X195">
            <v>0</v>
          </cell>
          <cell r="Y195">
            <v>0</v>
          </cell>
          <cell r="Z195">
            <v>0</v>
          </cell>
          <cell r="AA195">
            <v>8</v>
          </cell>
          <cell r="AB195">
            <v>28</v>
          </cell>
          <cell r="AC195">
            <v>1</v>
          </cell>
          <cell r="AD195">
            <v>18</v>
          </cell>
          <cell r="AE195">
            <v>3</v>
          </cell>
          <cell r="AF195">
            <v>0</v>
          </cell>
          <cell r="AG195">
            <v>0</v>
          </cell>
          <cell r="AH195"/>
          <cell r="AI195">
            <v>329</v>
          </cell>
          <cell r="AJ195">
            <v>63</v>
          </cell>
          <cell r="AK195">
            <v>20</v>
          </cell>
        </row>
        <row r="196">
          <cell r="C196">
            <v>350602010</v>
          </cell>
          <cell r="D196">
            <v>0</v>
          </cell>
          <cell r="E196">
            <v>20</v>
          </cell>
          <cell r="F196">
            <v>0</v>
          </cell>
          <cell r="G196">
            <v>2</v>
          </cell>
          <cell r="H196">
            <v>3</v>
          </cell>
          <cell r="I196">
            <v>1</v>
          </cell>
          <cell r="J196">
            <v>42</v>
          </cell>
          <cell r="K196">
            <v>1</v>
          </cell>
          <cell r="L196">
            <v>2</v>
          </cell>
          <cell r="M196">
            <v>92</v>
          </cell>
          <cell r="N196">
            <v>1</v>
          </cell>
          <cell r="O196">
            <v>0</v>
          </cell>
          <cell r="P196">
            <v>12</v>
          </cell>
          <cell r="Q196">
            <v>44</v>
          </cell>
          <cell r="R196">
            <v>63</v>
          </cell>
          <cell r="S196">
            <v>45</v>
          </cell>
          <cell r="T196">
            <v>17</v>
          </cell>
          <cell r="U196">
            <v>5</v>
          </cell>
          <cell r="V196">
            <v>54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10</v>
          </cell>
          <cell r="AC196">
            <v>1</v>
          </cell>
          <cell r="AD196">
            <v>2</v>
          </cell>
          <cell r="AE196">
            <v>11</v>
          </cell>
          <cell r="AF196">
            <v>0</v>
          </cell>
          <cell r="AG196">
            <v>0</v>
          </cell>
          <cell r="AH196"/>
          <cell r="AI196">
            <v>428</v>
          </cell>
          <cell r="AJ196">
            <v>92</v>
          </cell>
          <cell r="AK196">
            <v>20</v>
          </cell>
        </row>
        <row r="197">
          <cell r="C197">
            <v>350602011</v>
          </cell>
          <cell r="D197">
            <v>0</v>
          </cell>
          <cell r="E197">
            <v>25</v>
          </cell>
          <cell r="F197">
            <v>5</v>
          </cell>
          <cell r="G197">
            <v>8</v>
          </cell>
          <cell r="H197">
            <v>12</v>
          </cell>
          <cell r="I197">
            <v>6</v>
          </cell>
          <cell r="J197">
            <v>5</v>
          </cell>
          <cell r="K197">
            <v>10</v>
          </cell>
          <cell r="L197">
            <v>15</v>
          </cell>
          <cell r="M197">
            <v>26</v>
          </cell>
          <cell r="N197">
            <v>24</v>
          </cell>
          <cell r="O197">
            <v>3</v>
          </cell>
          <cell r="P197">
            <v>14</v>
          </cell>
          <cell r="Q197">
            <v>6</v>
          </cell>
          <cell r="R197">
            <v>28</v>
          </cell>
          <cell r="S197">
            <v>28</v>
          </cell>
          <cell r="T197">
            <v>11</v>
          </cell>
          <cell r="U197">
            <v>21</v>
          </cell>
          <cell r="V197">
            <v>32</v>
          </cell>
          <cell r="W197">
            <v>9</v>
          </cell>
          <cell r="X197">
            <v>4</v>
          </cell>
          <cell r="Y197">
            <v>12</v>
          </cell>
          <cell r="Z197">
            <v>0</v>
          </cell>
          <cell r="AA197">
            <v>16</v>
          </cell>
          <cell r="AB197">
            <v>38</v>
          </cell>
          <cell r="AC197">
            <v>21</v>
          </cell>
          <cell r="AD197">
            <v>23</v>
          </cell>
          <cell r="AE197">
            <v>29</v>
          </cell>
          <cell r="AF197">
            <v>8</v>
          </cell>
          <cell r="AG197">
            <v>0</v>
          </cell>
          <cell r="AH197"/>
          <cell r="AI197">
            <v>439</v>
          </cell>
          <cell r="AJ197">
            <v>38</v>
          </cell>
          <cell r="AK197">
            <v>27</v>
          </cell>
        </row>
        <row r="198">
          <cell r="C198">
            <v>350602012</v>
          </cell>
          <cell r="D198">
            <v>0</v>
          </cell>
          <cell r="E198">
            <v>31</v>
          </cell>
          <cell r="F198">
            <v>0</v>
          </cell>
          <cell r="G198">
            <v>2</v>
          </cell>
          <cell r="H198">
            <v>12</v>
          </cell>
          <cell r="I198">
            <v>10</v>
          </cell>
          <cell r="J198">
            <v>4</v>
          </cell>
          <cell r="K198">
            <v>8</v>
          </cell>
          <cell r="L198">
            <v>2</v>
          </cell>
          <cell r="M198">
            <v>87</v>
          </cell>
          <cell r="N198">
            <v>0</v>
          </cell>
          <cell r="O198">
            <v>22</v>
          </cell>
          <cell r="P198">
            <v>22</v>
          </cell>
          <cell r="Q198">
            <v>40</v>
          </cell>
          <cell r="R198">
            <v>9</v>
          </cell>
          <cell r="S198">
            <v>2</v>
          </cell>
          <cell r="T198">
            <v>8</v>
          </cell>
          <cell r="U198">
            <v>35</v>
          </cell>
          <cell r="V198">
            <v>28</v>
          </cell>
          <cell r="W198">
            <v>1</v>
          </cell>
          <cell r="X198">
            <v>3</v>
          </cell>
          <cell r="Y198">
            <v>11</v>
          </cell>
          <cell r="Z198">
            <v>0</v>
          </cell>
          <cell r="AA198">
            <v>17</v>
          </cell>
          <cell r="AB198">
            <v>12</v>
          </cell>
          <cell r="AC198">
            <v>1</v>
          </cell>
          <cell r="AD198">
            <v>2</v>
          </cell>
          <cell r="AE198">
            <v>31</v>
          </cell>
          <cell r="AF198">
            <v>0</v>
          </cell>
          <cell r="AG198">
            <v>0</v>
          </cell>
          <cell r="AH198"/>
          <cell r="AI198">
            <v>400</v>
          </cell>
          <cell r="AJ198">
            <v>87</v>
          </cell>
          <cell r="AK198">
            <v>24</v>
          </cell>
        </row>
        <row r="199">
          <cell r="C199">
            <v>350602013</v>
          </cell>
          <cell r="D199">
            <v>0</v>
          </cell>
          <cell r="E199">
            <v>19</v>
          </cell>
          <cell r="F199">
            <v>0</v>
          </cell>
          <cell r="G199">
            <v>2</v>
          </cell>
          <cell r="H199">
            <v>3</v>
          </cell>
          <cell r="I199">
            <v>3</v>
          </cell>
          <cell r="J199">
            <v>1</v>
          </cell>
          <cell r="K199">
            <v>3</v>
          </cell>
          <cell r="L199">
            <v>1</v>
          </cell>
          <cell r="M199">
            <v>12</v>
          </cell>
          <cell r="N199">
            <v>0</v>
          </cell>
          <cell r="O199">
            <v>4</v>
          </cell>
          <cell r="P199">
            <v>6</v>
          </cell>
          <cell r="Q199">
            <v>2</v>
          </cell>
          <cell r="R199">
            <v>8</v>
          </cell>
          <cell r="S199">
            <v>7</v>
          </cell>
          <cell r="T199">
            <v>3</v>
          </cell>
          <cell r="U199">
            <v>15</v>
          </cell>
          <cell r="V199">
            <v>22</v>
          </cell>
          <cell r="W199">
            <v>1</v>
          </cell>
          <cell r="X199">
            <v>0</v>
          </cell>
          <cell r="Y199">
            <v>0</v>
          </cell>
          <cell r="Z199">
            <v>19</v>
          </cell>
          <cell r="AA199">
            <v>2</v>
          </cell>
          <cell r="AB199">
            <v>17</v>
          </cell>
          <cell r="AC199">
            <v>2</v>
          </cell>
          <cell r="AD199">
            <v>4</v>
          </cell>
          <cell r="AE199">
            <v>10</v>
          </cell>
          <cell r="AF199">
            <v>7</v>
          </cell>
          <cell r="AG199">
            <v>1</v>
          </cell>
          <cell r="AH199"/>
          <cell r="AI199">
            <v>174</v>
          </cell>
          <cell r="AJ199">
            <v>22</v>
          </cell>
          <cell r="AK199">
            <v>25</v>
          </cell>
        </row>
        <row r="200">
          <cell r="C200">
            <v>350602014</v>
          </cell>
          <cell r="D200">
            <v>0</v>
          </cell>
          <cell r="E200">
            <v>13</v>
          </cell>
          <cell r="F200">
            <v>0</v>
          </cell>
          <cell r="G200">
            <v>1</v>
          </cell>
          <cell r="H200">
            <v>3</v>
          </cell>
          <cell r="I200">
            <v>3</v>
          </cell>
          <cell r="J200">
            <v>7</v>
          </cell>
          <cell r="K200">
            <v>3</v>
          </cell>
          <cell r="L200">
            <v>2</v>
          </cell>
          <cell r="M200">
            <v>6</v>
          </cell>
          <cell r="N200">
            <v>12</v>
          </cell>
          <cell r="O200">
            <v>1</v>
          </cell>
          <cell r="P200">
            <v>9</v>
          </cell>
          <cell r="Q200">
            <v>3</v>
          </cell>
          <cell r="R200">
            <v>20</v>
          </cell>
          <cell r="S200">
            <v>20</v>
          </cell>
          <cell r="T200">
            <v>10</v>
          </cell>
          <cell r="U200">
            <v>10</v>
          </cell>
          <cell r="V200">
            <v>27</v>
          </cell>
          <cell r="W200">
            <v>2</v>
          </cell>
          <cell r="X200">
            <v>1</v>
          </cell>
          <cell r="Y200">
            <v>0</v>
          </cell>
          <cell r="Z200">
            <v>0</v>
          </cell>
          <cell r="AA200">
            <v>0</v>
          </cell>
          <cell r="AB200">
            <v>18</v>
          </cell>
          <cell r="AC200">
            <v>51</v>
          </cell>
          <cell r="AD200">
            <v>5</v>
          </cell>
          <cell r="AE200">
            <v>3</v>
          </cell>
          <cell r="AF200">
            <v>1</v>
          </cell>
          <cell r="AG200">
            <v>0</v>
          </cell>
          <cell r="AH200"/>
          <cell r="AI200">
            <v>231</v>
          </cell>
          <cell r="AJ200">
            <v>51</v>
          </cell>
          <cell r="AK200">
            <v>24</v>
          </cell>
        </row>
        <row r="201">
          <cell r="C201">
            <v>350602015</v>
          </cell>
          <cell r="D201">
            <v>0</v>
          </cell>
          <cell r="E201">
            <v>30</v>
          </cell>
          <cell r="F201">
            <v>16</v>
          </cell>
          <cell r="G201">
            <v>0</v>
          </cell>
          <cell r="H201">
            <v>50</v>
          </cell>
          <cell r="I201">
            <v>25</v>
          </cell>
          <cell r="J201">
            <v>41</v>
          </cell>
          <cell r="K201">
            <v>3</v>
          </cell>
          <cell r="L201">
            <v>2</v>
          </cell>
          <cell r="M201">
            <v>8</v>
          </cell>
          <cell r="N201">
            <v>7</v>
          </cell>
          <cell r="O201">
            <v>2</v>
          </cell>
          <cell r="P201">
            <v>10</v>
          </cell>
          <cell r="Q201">
            <v>3</v>
          </cell>
          <cell r="R201">
            <v>24</v>
          </cell>
          <cell r="S201">
            <v>0</v>
          </cell>
          <cell r="T201">
            <v>0</v>
          </cell>
          <cell r="U201">
            <v>12</v>
          </cell>
          <cell r="V201">
            <v>43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17</v>
          </cell>
          <cell r="AC201">
            <v>5</v>
          </cell>
          <cell r="AD201">
            <v>34</v>
          </cell>
          <cell r="AE201">
            <v>7</v>
          </cell>
          <cell r="AF201">
            <v>0</v>
          </cell>
          <cell r="AG201">
            <v>0</v>
          </cell>
          <cell r="AH201"/>
          <cell r="AI201">
            <v>340</v>
          </cell>
          <cell r="AJ201">
            <v>50</v>
          </cell>
          <cell r="AK201">
            <v>20</v>
          </cell>
        </row>
        <row r="202">
          <cell r="C202">
            <v>350602016</v>
          </cell>
          <cell r="D202">
            <v>0</v>
          </cell>
          <cell r="E202">
            <v>25</v>
          </cell>
          <cell r="F202">
            <v>4</v>
          </cell>
          <cell r="G202">
            <v>23</v>
          </cell>
          <cell r="H202">
            <v>34</v>
          </cell>
          <cell r="I202">
            <v>30</v>
          </cell>
          <cell r="J202">
            <v>53</v>
          </cell>
          <cell r="K202">
            <v>8</v>
          </cell>
          <cell r="L202">
            <v>16</v>
          </cell>
          <cell r="M202">
            <v>15</v>
          </cell>
          <cell r="N202">
            <v>46</v>
          </cell>
          <cell r="O202">
            <v>3</v>
          </cell>
          <cell r="P202">
            <v>13</v>
          </cell>
          <cell r="Q202">
            <v>9</v>
          </cell>
          <cell r="R202">
            <v>43</v>
          </cell>
          <cell r="S202">
            <v>1</v>
          </cell>
          <cell r="T202">
            <v>10</v>
          </cell>
          <cell r="U202">
            <v>12</v>
          </cell>
          <cell r="V202">
            <v>50</v>
          </cell>
          <cell r="W202">
            <v>0</v>
          </cell>
          <cell r="X202">
            <v>1</v>
          </cell>
          <cell r="Y202">
            <v>0</v>
          </cell>
          <cell r="Z202">
            <v>0</v>
          </cell>
          <cell r="AA202">
            <v>33</v>
          </cell>
          <cell r="AB202">
            <v>17</v>
          </cell>
          <cell r="AC202">
            <v>9</v>
          </cell>
          <cell r="AD202">
            <v>38</v>
          </cell>
          <cell r="AE202">
            <v>12</v>
          </cell>
          <cell r="AF202">
            <v>0</v>
          </cell>
          <cell r="AG202">
            <v>2</v>
          </cell>
          <cell r="AH202"/>
          <cell r="AI202">
            <v>507</v>
          </cell>
          <cell r="AJ202">
            <v>53</v>
          </cell>
          <cell r="AK202">
            <v>25</v>
          </cell>
        </row>
        <row r="203">
          <cell r="C203">
            <v>350602017</v>
          </cell>
          <cell r="D203">
            <v>0</v>
          </cell>
          <cell r="E203">
            <v>47</v>
          </cell>
          <cell r="F203">
            <v>25</v>
          </cell>
          <cell r="G203">
            <v>7</v>
          </cell>
          <cell r="H203">
            <v>8</v>
          </cell>
          <cell r="I203">
            <v>4</v>
          </cell>
          <cell r="J203">
            <v>6</v>
          </cell>
          <cell r="K203">
            <v>3</v>
          </cell>
          <cell r="L203">
            <v>0</v>
          </cell>
          <cell r="M203">
            <v>5</v>
          </cell>
          <cell r="N203">
            <v>3</v>
          </cell>
          <cell r="O203">
            <v>2</v>
          </cell>
          <cell r="P203">
            <v>73</v>
          </cell>
          <cell r="Q203">
            <v>37</v>
          </cell>
          <cell r="R203">
            <v>9</v>
          </cell>
          <cell r="S203">
            <v>0</v>
          </cell>
          <cell r="T203">
            <v>2</v>
          </cell>
          <cell r="U203">
            <v>5</v>
          </cell>
          <cell r="V203">
            <v>60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12</v>
          </cell>
          <cell r="AB203">
            <v>102</v>
          </cell>
          <cell r="AC203">
            <v>3</v>
          </cell>
          <cell r="AD203">
            <v>9</v>
          </cell>
          <cell r="AE203">
            <v>8</v>
          </cell>
          <cell r="AF203">
            <v>0</v>
          </cell>
          <cell r="AG203">
            <v>0</v>
          </cell>
          <cell r="AH203"/>
          <cell r="AI203">
            <v>430</v>
          </cell>
          <cell r="AJ203">
            <v>102</v>
          </cell>
          <cell r="AK203">
            <v>21</v>
          </cell>
        </row>
        <row r="204">
          <cell r="C204">
            <v>350602018</v>
          </cell>
          <cell r="D204">
            <v>0</v>
          </cell>
          <cell r="E204">
            <v>25</v>
          </cell>
          <cell r="F204">
            <v>1</v>
          </cell>
          <cell r="G204">
            <v>27</v>
          </cell>
          <cell r="H204">
            <v>0</v>
          </cell>
          <cell r="I204">
            <v>0</v>
          </cell>
          <cell r="J204">
            <v>9</v>
          </cell>
          <cell r="K204">
            <v>12</v>
          </cell>
          <cell r="L204">
            <v>1</v>
          </cell>
          <cell r="M204">
            <v>122</v>
          </cell>
          <cell r="N204">
            <v>0</v>
          </cell>
          <cell r="O204">
            <v>54</v>
          </cell>
          <cell r="P204">
            <v>16</v>
          </cell>
          <cell r="Q204">
            <v>25</v>
          </cell>
          <cell r="R204">
            <v>16</v>
          </cell>
          <cell r="S204">
            <v>1</v>
          </cell>
          <cell r="T204">
            <v>6</v>
          </cell>
          <cell r="U204">
            <v>27</v>
          </cell>
          <cell r="V204">
            <v>41</v>
          </cell>
          <cell r="W204">
            <v>1</v>
          </cell>
          <cell r="X204">
            <v>3</v>
          </cell>
          <cell r="Y204">
            <v>1</v>
          </cell>
          <cell r="Z204">
            <v>0</v>
          </cell>
          <cell r="AA204">
            <v>25</v>
          </cell>
          <cell r="AB204">
            <v>46</v>
          </cell>
          <cell r="AC204">
            <v>1</v>
          </cell>
          <cell r="AD204">
            <v>15</v>
          </cell>
          <cell r="AE204">
            <v>2</v>
          </cell>
          <cell r="AF204">
            <v>0</v>
          </cell>
          <cell r="AG204">
            <v>0</v>
          </cell>
          <cell r="AH204"/>
          <cell r="AI204">
            <v>477</v>
          </cell>
          <cell r="AJ204">
            <v>122</v>
          </cell>
          <cell r="AK204">
            <v>23</v>
          </cell>
        </row>
        <row r="205">
          <cell r="C205">
            <v>350602019</v>
          </cell>
          <cell r="D205">
            <v>0</v>
          </cell>
          <cell r="E205">
            <v>23</v>
          </cell>
          <cell r="F205">
            <v>0</v>
          </cell>
          <cell r="G205">
            <v>1</v>
          </cell>
          <cell r="H205">
            <v>12</v>
          </cell>
          <cell r="I205">
            <v>1</v>
          </cell>
          <cell r="J205">
            <v>5</v>
          </cell>
          <cell r="K205">
            <v>34</v>
          </cell>
          <cell r="L205">
            <v>1</v>
          </cell>
          <cell r="M205">
            <v>94</v>
          </cell>
          <cell r="N205">
            <v>0</v>
          </cell>
          <cell r="O205">
            <v>21</v>
          </cell>
          <cell r="P205">
            <v>11</v>
          </cell>
          <cell r="Q205">
            <v>33</v>
          </cell>
          <cell r="R205">
            <v>20</v>
          </cell>
          <cell r="S205">
            <v>5</v>
          </cell>
          <cell r="T205">
            <v>41</v>
          </cell>
          <cell r="U205">
            <v>24</v>
          </cell>
          <cell r="V205">
            <v>26</v>
          </cell>
          <cell r="W205">
            <v>1</v>
          </cell>
          <cell r="X205">
            <v>5</v>
          </cell>
          <cell r="Y205">
            <v>0</v>
          </cell>
          <cell r="Z205">
            <v>0</v>
          </cell>
          <cell r="AA205">
            <v>13</v>
          </cell>
          <cell r="AB205">
            <v>11</v>
          </cell>
          <cell r="AC205">
            <v>0</v>
          </cell>
          <cell r="AD205">
            <v>2</v>
          </cell>
          <cell r="AE205">
            <v>24</v>
          </cell>
          <cell r="AF205">
            <v>0</v>
          </cell>
          <cell r="AG205">
            <v>0</v>
          </cell>
          <cell r="AH205"/>
          <cell r="AI205">
            <v>408</v>
          </cell>
          <cell r="AJ205">
            <v>94</v>
          </cell>
          <cell r="AK205">
            <v>22</v>
          </cell>
        </row>
        <row r="206">
          <cell r="C206">
            <v>350602020</v>
          </cell>
          <cell r="D206">
            <v>0</v>
          </cell>
          <cell r="E206">
            <v>18</v>
          </cell>
          <cell r="F206">
            <v>0</v>
          </cell>
          <cell r="G206">
            <v>6</v>
          </cell>
          <cell r="H206">
            <v>0</v>
          </cell>
          <cell r="I206">
            <v>2</v>
          </cell>
          <cell r="J206">
            <v>3</v>
          </cell>
          <cell r="K206">
            <v>3</v>
          </cell>
          <cell r="L206">
            <v>0</v>
          </cell>
          <cell r="M206">
            <v>7</v>
          </cell>
          <cell r="N206">
            <v>0</v>
          </cell>
          <cell r="O206">
            <v>0</v>
          </cell>
          <cell r="P206">
            <v>5</v>
          </cell>
          <cell r="Q206">
            <v>0</v>
          </cell>
          <cell r="R206">
            <v>25</v>
          </cell>
          <cell r="S206">
            <v>0</v>
          </cell>
          <cell r="T206">
            <v>6</v>
          </cell>
          <cell r="U206">
            <v>8</v>
          </cell>
          <cell r="V206">
            <v>15</v>
          </cell>
          <cell r="W206">
            <v>10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23</v>
          </cell>
          <cell r="AC206">
            <v>3</v>
          </cell>
          <cell r="AD206">
            <v>0</v>
          </cell>
          <cell r="AE206">
            <v>10</v>
          </cell>
          <cell r="AF206">
            <v>0</v>
          </cell>
          <cell r="AG206">
            <v>0</v>
          </cell>
          <cell r="AH206"/>
          <cell r="AI206">
            <v>144</v>
          </cell>
          <cell r="AJ206">
            <v>25</v>
          </cell>
          <cell r="AK206">
            <v>15</v>
          </cell>
        </row>
        <row r="207">
          <cell r="C207">
            <v>350602021</v>
          </cell>
          <cell r="D207">
            <v>0</v>
          </cell>
          <cell r="E207">
            <v>15</v>
          </cell>
          <cell r="F207">
            <v>0</v>
          </cell>
          <cell r="G207">
            <v>1</v>
          </cell>
          <cell r="H207">
            <v>2</v>
          </cell>
          <cell r="I207">
            <v>4</v>
          </cell>
          <cell r="J207">
            <v>1</v>
          </cell>
          <cell r="K207">
            <v>4</v>
          </cell>
          <cell r="L207">
            <v>2</v>
          </cell>
          <cell r="M207">
            <v>7</v>
          </cell>
          <cell r="N207">
            <v>0</v>
          </cell>
          <cell r="O207">
            <v>1</v>
          </cell>
          <cell r="P207">
            <v>7</v>
          </cell>
          <cell r="Q207">
            <v>3</v>
          </cell>
          <cell r="R207">
            <v>8</v>
          </cell>
          <cell r="S207">
            <v>18</v>
          </cell>
          <cell r="T207">
            <v>15</v>
          </cell>
          <cell r="U207">
            <v>28</v>
          </cell>
          <cell r="V207">
            <v>29</v>
          </cell>
          <cell r="W207">
            <v>1</v>
          </cell>
          <cell r="X207">
            <v>0</v>
          </cell>
          <cell r="Y207">
            <v>0</v>
          </cell>
          <cell r="Z207">
            <v>7</v>
          </cell>
          <cell r="AA207">
            <v>2</v>
          </cell>
          <cell r="AB207">
            <v>17</v>
          </cell>
          <cell r="AC207">
            <v>34</v>
          </cell>
          <cell r="AD207">
            <v>3</v>
          </cell>
          <cell r="AE207">
            <v>8</v>
          </cell>
          <cell r="AF207">
            <v>1</v>
          </cell>
          <cell r="AG207">
            <v>0</v>
          </cell>
          <cell r="AH207"/>
          <cell r="AI207">
            <v>218</v>
          </cell>
          <cell r="AJ207">
            <v>34</v>
          </cell>
          <cell r="AK207">
            <v>24</v>
          </cell>
        </row>
        <row r="208">
          <cell r="C208">
            <v>350602022</v>
          </cell>
          <cell r="D208">
            <v>0</v>
          </cell>
          <cell r="E208">
            <v>20</v>
          </cell>
          <cell r="F208">
            <v>0</v>
          </cell>
          <cell r="G208">
            <v>1</v>
          </cell>
          <cell r="H208">
            <v>2</v>
          </cell>
          <cell r="I208">
            <v>0</v>
          </cell>
          <cell r="J208">
            <v>2</v>
          </cell>
          <cell r="K208">
            <v>6</v>
          </cell>
          <cell r="L208">
            <v>22</v>
          </cell>
          <cell r="M208">
            <v>5</v>
          </cell>
          <cell r="N208">
            <v>16</v>
          </cell>
          <cell r="O208">
            <v>1</v>
          </cell>
          <cell r="P208">
            <v>9</v>
          </cell>
          <cell r="Q208">
            <v>5</v>
          </cell>
          <cell r="R208">
            <v>13</v>
          </cell>
          <cell r="S208">
            <v>5</v>
          </cell>
          <cell r="T208">
            <v>16</v>
          </cell>
          <cell r="U208">
            <v>31</v>
          </cell>
          <cell r="V208">
            <v>30</v>
          </cell>
          <cell r="W208">
            <v>0</v>
          </cell>
          <cell r="X208">
            <v>3</v>
          </cell>
          <cell r="Y208">
            <v>0</v>
          </cell>
          <cell r="Z208">
            <v>0</v>
          </cell>
          <cell r="AA208">
            <v>0</v>
          </cell>
          <cell r="AB208">
            <v>48</v>
          </cell>
          <cell r="AC208">
            <v>70</v>
          </cell>
          <cell r="AD208">
            <v>8</v>
          </cell>
          <cell r="AE208">
            <v>21</v>
          </cell>
          <cell r="AF208">
            <v>2</v>
          </cell>
          <cell r="AG208">
            <v>0</v>
          </cell>
          <cell r="AH208"/>
          <cell r="AI208">
            <v>336</v>
          </cell>
          <cell r="AJ208">
            <v>70</v>
          </cell>
          <cell r="AK208">
            <v>22</v>
          </cell>
        </row>
        <row r="209">
          <cell r="C209">
            <v>350602023</v>
          </cell>
          <cell r="D209">
            <v>0</v>
          </cell>
          <cell r="E209">
            <v>2</v>
          </cell>
          <cell r="F209">
            <v>0</v>
          </cell>
          <cell r="G209">
            <v>0</v>
          </cell>
          <cell r="H209">
            <v>0</v>
          </cell>
          <cell r="I209">
            <v>31</v>
          </cell>
          <cell r="J209">
            <v>3</v>
          </cell>
          <cell r="K209">
            <v>36</v>
          </cell>
          <cell r="L209">
            <v>12</v>
          </cell>
          <cell r="M209">
            <v>118</v>
          </cell>
          <cell r="N209">
            <v>0</v>
          </cell>
          <cell r="O209">
            <v>5</v>
          </cell>
          <cell r="P209">
            <v>36</v>
          </cell>
          <cell r="Q209">
            <v>18</v>
          </cell>
          <cell r="R209">
            <v>156</v>
          </cell>
          <cell r="S209">
            <v>62</v>
          </cell>
          <cell r="T209">
            <v>28</v>
          </cell>
          <cell r="U209">
            <v>35</v>
          </cell>
          <cell r="V209">
            <v>49</v>
          </cell>
          <cell r="W209">
            <v>0</v>
          </cell>
          <cell r="X209">
            <v>1</v>
          </cell>
          <cell r="Y209">
            <v>2</v>
          </cell>
          <cell r="Z209">
            <v>0</v>
          </cell>
          <cell r="AA209">
            <v>4</v>
          </cell>
          <cell r="AB209">
            <v>9</v>
          </cell>
          <cell r="AC209">
            <v>2</v>
          </cell>
          <cell r="AD209">
            <v>1</v>
          </cell>
          <cell r="AE209">
            <v>0</v>
          </cell>
          <cell r="AF209">
            <v>0</v>
          </cell>
          <cell r="AG209">
            <v>1</v>
          </cell>
          <cell r="AH209"/>
          <cell r="AI209">
            <v>611</v>
          </cell>
          <cell r="AJ209">
            <v>156</v>
          </cell>
          <cell r="AK209">
            <v>21</v>
          </cell>
        </row>
        <row r="210">
          <cell r="C210">
            <v>350601001</v>
          </cell>
          <cell r="D210">
            <v>22</v>
          </cell>
          <cell r="E210">
            <v>26</v>
          </cell>
          <cell r="F210">
            <v>0</v>
          </cell>
          <cell r="G210">
            <v>20</v>
          </cell>
          <cell r="H210">
            <v>0</v>
          </cell>
          <cell r="I210">
            <v>174</v>
          </cell>
          <cell r="J210">
            <v>4</v>
          </cell>
          <cell r="K210">
            <v>23</v>
          </cell>
          <cell r="L210">
            <v>6</v>
          </cell>
          <cell r="M210">
            <v>21</v>
          </cell>
          <cell r="N210">
            <v>37</v>
          </cell>
          <cell r="O210">
            <v>0</v>
          </cell>
          <cell r="P210">
            <v>5</v>
          </cell>
          <cell r="Q210">
            <v>24</v>
          </cell>
          <cell r="R210">
            <v>43</v>
          </cell>
          <cell r="S210">
            <v>11</v>
          </cell>
          <cell r="T210">
            <v>58</v>
          </cell>
          <cell r="U210">
            <v>51</v>
          </cell>
          <cell r="V210">
            <v>42</v>
          </cell>
          <cell r="W210">
            <v>4</v>
          </cell>
          <cell r="X210">
            <v>17</v>
          </cell>
          <cell r="Y210">
            <v>5</v>
          </cell>
          <cell r="Z210">
            <v>5</v>
          </cell>
          <cell r="AA210">
            <v>0</v>
          </cell>
          <cell r="AB210">
            <v>1</v>
          </cell>
          <cell r="AC210">
            <v>20</v>
          </cell>
          <cell r="AD210">
            <v>22</v>
          </cell>
          <cell r="AE210">
            <v>1</v>
          </cell>
          <cell r="AF210">
            <v>56</v>
          </cell>
          <cell r="AG210">
            <v>4</v>
          </cell>
          <cell r="AH210"/>
          <cell r="AI210">
            <v>702</v>
          </cell>
          <cell r="AJ210">
            <v>174</v>
          </cell>
          <cell r="AK210">
            <v>26</v>
          </cell>
        </row>
        <row r="211">
          <cell r="C211">
            <v>350601002</v>
          </cell>
          <cell r="D211">
            <v>45</v>
          </cell>
          <cell r="E211">
            <v>40</v>
          </cell>
          <cell r="F211">
            <v>4</v>
          </cell>
          <cell r="G211">
            <v>36</v>
          </cell>
          <cell r="H211">
            <v>0</v>
          </cell>
          <cell r="I211">
            <v>161</v>
          </cell>
          <cell r="J211">
            <v>25</v>
          </cell>
          <cell r="K211">
            <v>22</v>
          </cell>
          <cell r="L211">
            <v>20</v>
          </cell>
          <cell r="M211">
            <v>47</v>
          </cell>
          <cell r="N211">
            <v>36</v>
          </cell>
          <cell r="O211">
            <v>0</v>
          </cell>
          <cell r="P211">
            <v>2</v>
          </cell>
          <cell r="Q211">
            <v>14</v>
          </cell>
          <cell r="R211">
            <v>48</v>
          </cell>
          <cell r="S211">
            <v>21</v>
          </cell>
          <cell r="T211">
            <v>54</v>
          </cell>
          <cell r="U211">
            <v>37</v>
          </cell>
          <cell r="V211">
            <v>39</v>
          </cell>
          <cell r="W211">
            <v>3</v>
          </cell>
          <cell r="X211">
            <v>33</v>
          </cell>
          <cell r="Y211">
            <v>7</v>
          </cell>
          <cell r="Z211">
            <v>4</v>
          </cell>
          <cell r="AA211">
            <v>1</v>
          </cell>
          <cell r="AB211">
            <v>1</v>
          </cell>
          <cell r="AC211">
            <v>6</v>
          </cell>
          <cell r="AD211">
            <v>36</v>
          </cell>
          <cell r="AE211">
            <v>1</v>
          </cell>
          <cell r="AF211">
            <v>23</v>
          </cell>
          <cell r="AG211">
            <v>1</v>
          </cell>
          <cell r="AH211"/>
          <cell r="AI211">
            <v>767</v>
          </cell>
          <cell r="AJ211">
            <v>161</v>
          </cell>
          <cell r="AK211">
            <v>28</v>
          </cell>
        </row>
        <row r="212">
          <cell r="C212">
            <v>350601003</v>
          </cell>
          <cell r="D212">
            <v>5</v>
          </cell>
          <cell r="E212">
            <v>15</v>
          </cell>
          <cell r="F212">
            <v>3</v>
          </cell>
          <cell r="G212">
            <v>3</v>
          </cell>
          <cell r="H212">
            <v>0</v>
          </cell>
          <cell r="I212">
            <v>16</v>
          </cell>
          <cell r="J212">
            <v>5</v>
          </cell>
          <cell r="K212">
            <v>20</v>
          </cell>
          <cell r="L212">
            <v>18</v>
          </cell>
          <cell r="M212">
            <v>5</v>
          </cell>
          <cell r="N212">
            <v>7</v>
          </cell>
          <cell r="O212">
            <v>0</v>
          </cell>
          <cell r="P212">
            <v>6</v>
          </cell>
          <cell r="Q212">
            <v>62</v>
          </cell>
          <cell r="R212">
            <v>60</v>
          </cell>
          <cell r="S212">
            <v>5</v>
          </cell>
          <cell r="T212">
            <v>120</v>
          </cell>
          <cell r="U212">
            <v>50</v>
          </cell>
          <cell r="V212">
            <v>76</v>
          </cell>
          <cell r="W212">
            <v>2</v>
          </cell>
          <cell r="X212">
            <v>4</v>
          </cell>
          <cell r="Y212">
            <v>2</v>
          </cell>
          <cell r="Z212">
            <v>10</v>
          </cell>
          <cell r="AA212">
            <v>0</v>
          </cell>
          <cell r="AB212">
            <v>18</v>
          </cell>
          <cell r="AC212">
            <v>10</v>
          </cell>
          <cell r="AD212">
            <v>8</v>
          </cell>
          <cell r="AE212">
            <v>0</v>
          </cell>
          <cell r="AF212">
            <v>0</v>
          </cell>
          <cell r="AG212">
            <v>5</v>
          </cell>
          <cell r="AH212"/>
          <cell r="AI212">
            <v>535</v>
          </cell>
          <cell r="AJ212">
            <v>120</v>
          </cell>
          <cell r="AK212">
            <v>25</v>
          </cell>
        </row>
        <row r="213">
          <cell r="C213">
            <v>350601004</v>
          </cell>
          <cell r="D213">
            <v>1</v>
          </cell>
          <cell r="E213">
            <v>4</v>
          </cell>
          <cell r="F213">
            <v>0</v>
          </cell>
          <cell r="G213">
            <v>0</v>
          </cell>
          <cell r="H213">
            <v>1</v>
          </cell>
          <cell r="I213">
            <v>65</v>
          </cell>
          <cell r="J213">
            <v>3</v>
          </cell>
          <cell r="K213">
            <v>7</v>
          </cell>
          <cell r="L213">
            <v>25</v>
          </cell>
          <cell r="M213">
            <v>12</v>
          </cell>
          <cell r="N213">
            <v>1</v>
          </cell>
          <cell r="O213">
            <v>4</v>
          </cell>
          <cell r="P213">
            <v>25</v>
          </cell>
          <cell r="Q213">
            <v>14</v>
          </cell>
          <cell r="R213">
            <v>26</v>
          </cell>
          <cell r="S213">
            <v>8</v>
          </cell>
          <cell r="T213">
            <v>64</v>
          </cell>
          <cell r="U213">
            <v>28</v>
          </cell>
          <cell r="V213">
            <v>35</v>
          </cell>
          <cell r="W213">
            <v>0</v>
          </cell>
          <cell r="X213">
            <v>5</v>
          </cell>
          <cell r="Y213">
            <v>2</v>
          </cell>
          <cell r="Z213">
            <v>16</v>
          </cell>
          <cell r="AA213">
            <v>1</v>
          </cell>
          <cell r="AB213">
            <v>5</v>
          </cell>
          <cell r="AC213">
            <v>25</v>
          </cell>
          <cell r="AD213">
            <v>12</v>
          </cell>
          <cell r="AE213">
            <v>4</v>
          </cell>
          <cell r="AF213">
            <v>1</v>
          </cell>
          <cell r="AG213">
            <v>1</v>
          </cell>
          <cell r="AH213"/>
          <cell r="AI213">
            <v>395</v>
          </cell>
          <cell r="AJ213">
            <v>65</v>
          </cell>
          <cell r="AK213">
            <v>27</v>
          </cell>
        </row>
        <row r="214">
          <cell r="C214">
            <v>350601005</v>
          </cell>
          <cell r="D214">
            <v>12</v>
          </cell>
          <cell r="E214">
            <v>10</v>
          </cell>
          <cell r="F214">
            <v>3</v>
          </cell>
          <cell r="G214">
            <v>8</v>
          </cell>
          <cell r="H214">
            <v>0</v>
          </cell>
          <cell r="I214">
            <v>33</v>
          </cell>
          <cell r="J214">
            <v>20</v>
          </cell>
          <cell r="K214">
            <v>31</v>
          </cell>
          <cell r="L214">
            <v>8</v>
          </cell>
          <cell r="M214">
            <v>9</v>
          </cell>
          <cell r="N214">
            <v>34</v>
          </cell>
          <cell r="O214">
            <v>2</v>
          </cell>
          <cell r="P214">
            <v>0</v>
          </cell>
          <cell r="Q214">
            <v>33</v>
          </cell>
          <cell r="R214">
            <v>42</v>
          </cell>
          <cell r="S214">
            <v>4</v>
          </cell>
          <cell r="T214">
            <v>68</v>
          </cell>
          <cell r="U214">
            <v>38</v>
          </cell>
          <cell r="V214">
            <v>28</v>
          </cell>
          <cell r="W214">
            <v>6</v>
          </cell>
          <cell r="X214">
            <v>13</v>
          </cell>
          <cell r="Y214">
            <v>6</v>
          </cell>
          <cell r="Z214">
            <v>4</v>
          </cell>
          <cell r="AA214">
            <v>0</v>
          </cell>
          <cell r="AB214">
            <v>0</v>
          </cell>
          <cell r="AC214">
            <v>49</v>
          </cell>
          <cell r="AD214">
            <v>0</v>
          </cell>
          <cell r="AE214">
            <v>0</v>
          </cell>
          <cell r="AF214">
            <v>6</v>
          </cell>
          <cell r="AG214">
            <v>6</v>
          </cell>
          <cell r="AH214"/>
          <cell r="AI214">
            <v>473</v>
          </cell>
          <cell r="AJ214">
            <v>68</v>
          </cell>
          <cell r="AK214">
            <v>24</v>
          </cell>
        </row>
        <row r="215">
          <cell r="C215">
            <v>350601006</v>
          </cell>
          <cell r="D215">
            <v>25</v>
          </cell>
          <cell r="E215">
            <v>28</v>
          </cell>
          <cell r="F215">
            <v>0</v>
          </cell>
          <cell r="G215">
            <v>48</v>
          </cell>
          <cell r="H215">
            <v>92</v>
          </cell>
          <cell r="I215">
            <v>5</v>
          </cell>
          <cell r="J215">
            <v>52</v>
          </cell>
          <cell r="K215">
            <v>2</v>
          </cell>
          <cell r="L215">
            <v>5</v>
          </cell>
          <cell r="M215">
            <v>11</v>
          </cell>
          <cell r="N215">
            <v>41</v>
          </cell>
          <cell r="O215">
            <v>0</v>
          </cell>
          <cell r="P215">
            <v>4</v>
          </cell>
          <cell r="Q215">
            <v>29</v>
          </cell>
          <cell r="R215">
            <v>9</v>
          </cell>
          <cell r="S215">
            <v>20</v>
          </cell>
          <cell r="T215">
            <v>35</v>
          </cell>
          <cell r="U215">
            <v>28</v>
          </cell>
          <cell r="V215">
            <v>34</v>
          </cell>
          <cell r="W215">
            <v>4</v>
          </cell>
          <cell r="X215">
            <v>20</v>
          </cell>
          <cell r="Y215">
            <v>5</v>
          </cell>
          <cell r="Z215">
            <v>0</v>
          </cell>
          <cell r="AA215">
            <v>0</v>
          </cell>
          <cell r="AB215">
            <v>0</v>
          </cell>
          <cell r="AC215">
            <v>14</v>
          </cell>
          <cell r="AD215">
            <v>5</v>
          </cell>
          <cell r="AE215">
            <v>0</v>
          </cell>
          <cell r="AF215">
            <v>16</v>
          </cell>
          <cell r="AG215">
            <v>5</v>
          </cell>
          <cell r="AH215"/>
          <cell r="AI215">
            <v>537</v>
          </cell>
          <cell r="AJ215">
            <v>92</v>
          </cell>
          <cell r="AK215">
            <v>24</v>
          </cell>
        </row>
        <row r="216">
          <cell r="C216">
            <v>350601007</v>
          </cell>
          <cell r="D216">
            <v>10</v>
          </cell>
          <cell r="E216">
            <v>5</v>
          </cell>
          <cell r="F216">
            <v>0</v>
          </cell>
          <cell r="G216">
            <v>25</v>
          </cell>
          <cell r="H216">
            <v>10</v>
          </cell>
          <cell r="I216">
            <v>45</v>
          </cell>
          <cell r="J216">
            <v>40</v>
          </cell>
          <cell r="K216">
            <v>40</v>
          </cell>
          <cell r="L216">
            <v>5</v>
          </cell>
          <cell r="M216">
            <v>5</v>
          </cell>
          <cell r="N216">
            <v>10</v>
          </cell>
          <cell r="O216">
            <v>0</v>
          </cell>
          <cell r="P216">
            <v>35</v>
          </cell>
          <cell r="Q216">
            <v>5</v>
          </cell>
          <cell r="R216">
            <v>70</v>
          </cell>
          <cell r="S216">
            <v>5</v>
          </cell>
          <cell r="T216">
            <v>60</v>
          </cell>
          <cell r="U216">
            <v>40</v>
          </cell>
          <cell r="V216">
            <v>50</v>
          </cell>
          <cell r="W216">
            <v>10</v>
          </cell>
          <cell r="X216">
            <v>10</v>
          </cell>
          <cell r="Y216">
            <v>20</v>
          </cell>
          <cell r="Z216">
            <v>0</v>
          </cell>
          <cell r="AA216">
            <v>0</v>
          </cell>
          <cell r="AB216">
            <v>5</v>
          </cell>
          <cell r="AC216">
            <v>30</v>
          </cell>
          <cell r="AD216">
            <v>0</v>
          </cell>
          <cell r="AE216">
            <v>0</v>
          </cell>
          <cell r="AF216">
            <v>5</v>
          </cell>
          <cell r="AG216">
            <v>15</v>
          </cell>
          <cell r="AH216"/>
          <cell r="AI216">
            <v>555</v>
          </cell>
          <cell r="AJ216">
            <v>70</v>
          </cell>
          <cell r="AK216">
            <v>24</v>
          </cell>
        </row>
        <row r="217">
          <cell r="C217">
            <v>350601008</v>
          </cell>
          <cell r="D217">
            <v>30</v>
          </cell>
          <cell r="E217">
            <v>46</v>
          </cell>
          <cell r="F217">
            <v>2</v>
          </cell>
          <cell r="G217">
            <v>13</v>
          </cell>
          <cell r="H217">
            <v>0</v>
          </cell>
          <cell r="I217">
            <v>61</v>
          </cell>
          <cell r="J217">
            <v>48</v>
          </cell>
          <cell r="K217">
            <v>26</v>
          </cell>
          <cell r="L217">
            <v>11</v>
          </cell>
          <cell r="M217">
            <v>5</v>
          </cell>
          <cell r="N217">
            <v>12</v>
          </cell>
          <cell r="O217">
            <v>1</v>
          </cell>
          <cell r="P217">
            <v>8</v>
          </cell>
          <cell r="Q217">
            <v>32</v>
          </cell>
          <cell r="R217">
            <v>54</v>
          </cell>
          <cell r="S217">
            <v>4</v>
          </cell>
          <cell r="T217">
            <v>48</v>
          </cell>
          <cell r="U217">
            <v>27</v>
          </cell>
          <cell r="V217">
            <v>22</v>
          </cell>
          <cell r="W217">
            <v>2</v>
          </cell>
          <cell r="X217">
            <v>6</v>
          </cell>
          <cell r="Y217">
            <v>5</v>
          </cell>
          <cell r="Z217">
            <v>7</v>
          </cell>
          <cell r="AA217">
            <v>17</v>
          </cell>
          <cell r="AB217">
            <v>2</v>
          </cell>
          <cell r="AC217">
            <v>17</v>
          </cell>
          <cell r="AD217">
            <v>4</v>
          </cell>
          <cell r="AE217">
            <v>8</v>
          </cell>
          <cell r="AF217">
            <v>2</v>
          </cell>
          <cell r="AG217">
            <v>3</v>
          </cell>
          <cell r="AH217"/>
          <cell r="AI217">
            <v>523</v>
          </cell>
          <cell r="AJ217">
            <v>61</v>
          </cell>
          <cell r="AK217">
            <v>29</v>
          </cell>
        </row>
        <row r="218">
          <cell r="C218">
            <v>350601009</v>
          </cell>
          <cell r="D218">
            <v>24</v>
          </cell>
          <cell r="E218">
            <v>27</v>
          </cell>
          <cell r="F218">
            <v>3</v>
          </cell>
          <cell r="G218">
            <v>9</v>
          </cell>
          <cell r="H218">
            <v>0</v>
          </cell>
          <cell r="I218">
            <v>55</v>
          </cell>
          <cell r="J218">
            <v>87</v>
          </cell>
          <cell r="K218">
            <v>39</v>
          </cell>
          <cell r="L218">
            <v>29</v>
          </cell>
          <cell r="M218">
            <v>38</v>
          </cell>
          <cell r="N218">
            <v>6</v>
          </cell>
          <cell r="O218">
            <v>2</v>
          </cell>
          <cell r="P218">
            <v>5</v>
          </cell>
          <cell r="Q218">
            <v>61</v>
          </cell>
          <cell r="R218">
            <v>34</v>
          </cell>
          <cell r="S218">
            <v>7</v>
          </cell>
          <cell r="T218">
            <v>59</v>
          </cell>
          <cell r="U218">
            <v>40</v>
          </cell>
          <cell r="V218">
            <v>26</v>
          </cell>
          <cell r="W218">
            <v>3</v>
          </cell>
          <cell r="X218">
            <v>6</v>
          </cell>
          <cell r="Y218">
            <v>3</v>
          </cell>
          <cell r="Z218">
            <v>1</v>
          </cell>
          <cell r="AA218">
            <v>10</v>
          </cell>
          <cell r="AB218">
            <v>1</v>
          </cell>
          <cell r="AC218">
            <v>2</v>
          </cell>
          <cell r="AD218">
            <v>17</v>
          </cell>
          <cell r="AE218">
            <v>9</v>
          </cell>
          <cell r="AF218">
            <v>4</v>
          </cell>
          <cell r="AG218">
            <v>3</v>
          </cell>
          <cell r="AH218"/>
          <cell r="AI218">
            <v>610</v>
          </cell>
          <cell r="AJ218">
            <v>87</v>
          </cell>
          <cell r="AK218">
            <v>29</v>
          </cell>
        </row>
        <row r="219">
          <cell r="C219">
            <v>350601010</v>
          </cell>
          <cell r="D219">
            <v>26</v>
          </cell>
          <cell r="E219">
            <v>47</v>
          </cell>
          <cell r="F219">
            <v>9</v>
          </cell>
          <cell r="G219">
            <v>6</v>
          </cell>
          <cell r="H219">
            <v>0</v>
          </cell>
          <cell r="I219">
            <v>24</v>
          </cell>
          <cell r="J219">
            <v>54</v>
          </cell>
          <cell r="K219">
            <v>37</v>
          </cell>
          <cell r="L219">
            <v>8</v>
          </cell>
          <cell r="M219">
            <v>4</v>
          </cell>
          <cell r="N219">
            <v>1</v>
          </cell>
          <cell r="O219">
            <v>7</v>
          </cell>
          <cell r="P219">
            <v>20</v>
          </cell>
          <cell r="Q219">
            <v>49</v>
          </cell>
          <cell r="R219">
            <v>43</v>
          </cell>
          <cell r="S219">
            <v>12</v>
          </cell>
          <cell r="T219">
            <v>58</v>
          </cell>
          <cell r="U219">
            <v>24</v>
          </cell>
          <cell r="V219">
            <v>23</v>
          </cell>
          <cell r="W219">
            <v>1</v>
          </cell>
          <cell r="X219">
            <v>7</v>
          </cell>
          <cell r="Y219">
            <v>5</v>
          </cell>
          <cell r="Z219">
            <v>21</v>
          </cell>
          <cell r="AA219">
            <v>1</v>
          </cell>
          <cell r="AB219">
            <v>3</v>
          </cell>
          <cell r="AC219">
            <v>7</v>
          </cell>
          <cell r="AD219">
            <v>4</v>
          </cell>
          <cell r="AE219">
            <v>7</v>
          </cell>
          <cell r="AF219">
            <v>3</v>
          </cell>
          <cell r="AG219">
            <v>6</v>
          </cell>
          <cell r="AH219"/>
          <cell r="AI219">
            <v>517</v>
          </cell>
          <cell r="AJ219">
            <v>58</v>
          </cell>
          <cell r="AK219">
            <v>29</v>
          </cell>
        </row>
        <row r="220">
          <cell r="C220">
            <v>350601011</v>
          </cell>
          <cell r="D220">
            <v>1</v>
          </cell>
          <cell r="E220">
            <v>15</v>
          </cell>
          <cell r="F220">
            <v>2</v>
          </cell>
          <cell r="G220">
            <v>1</v>
          </cell>
          <cell r="H220">
            <v>0</v>
          </cell>
          <cell r="I220">
            <v>5</v>
          </cell>
          <cell r="J220">
            <v>26</v>
          </cell>
          <cell r="K220">
            <v>5</v>
          </cell>
          <cell r="L220">
            <v>3</v>
          </cell>
          <cell r="M220">
            <v>27</v>
          </cell>
          <cell r="N220">
            <v>1</v>
          </cell>
          <cell r="O220">
            <v>0</v>
          </cell>
          <cell r="P220">
            <v>25</v>
          </cell>
          <cell r="Q220">
            <v>70</v>
          </cell>
          <cell r="R220">
            <v>30</v>
          </cell>
          <cell r="S220">
            <v>16</v>
          </cell>
          <cell r="T220">
            <v>72</v>
          </cell>
          <cell r="U220">
            <v>54</v>
          </cell>
          <cell r="V220">
            <v>37</v>
          </cell>
          <cell r="W220">
            <v>1</v>
          </cell>
          <cell r="X220">
            <v>3</v>
          </cell>
          <cell r="Y220">
            <v>0</v>
          </cell>
          <cell r="Z220">
            <v>3</v>
          </cell>
          <cell r="AA220">
            <v>1</v>
          </cell>
          <cell r="AB220">
            <v>1</v>
          </cell>
          <cell r="AC220">
            <v>0</v>
          </cell>
          <cell r="AD220">
            <v>1</v>
          </cell>
          <cell r="AE220">
            <v>32</v>
          </cell>
          <cell r="AF220">
            <v>0</v>
          </cell>
          <cell r="AG220">
            <v>5</v>
          </cell>
          <cell r="AH220"/>
          <cell r="AI220">
            <v>437</v>
          </cell>
          <cell r="AJ220">
            <v>72</v>
          </cell>
          <cell r="AK220">
            <v>25</v>
          </cell>
        </row>
        <row r="221">
          <cell r="C221">
            <v>350601012</v>
          </cell>
          <cell r="D221">
            <v>1</v>
          </cell>
          <cell r="E221">
            <v>18</v>
          </cell>
          <cell r="F221">
            <v>5</v>
          </cell>
          <cell r="G221">
            <v>0</v>
          </cell>
          <cell r="H221">
            <v>9</v>
          </cell>
          <cell r="I221">
            <v>13</v>
          </cell>
          <cell r="J221">
            <v>65</v>
          </cell>
          <cell r="K221">
            <v>3</v>
          </cell>
          <cell r="L221">
            <v>0</v>
          </cell>
          <cell r="M221">
            <v>40</v>
          </cell>
          <cell r="N221">
            <v>3</v>
          </cell>
          <cell r="O221">
            <v>1</v>
          </cell>
          <cell r="P221">
            <v>4</v>
          </cell>
          <cell r="Q221">
            <v>2</v>
          </cell>
          <cell r="R221">
            <v>83</v>
          </cell>
          <cell r="S221">
            <v>45</v>
          </cell>
          <cell r="T221">
            <v>12</v>
          </cell>
          <cell r="U221">
            <v>23</v>
          </cell>
          <cell r="V221">
            <v>41</v>
          </cell>
          <cell r="W221">
            <v>0</v>
          </cell>
          <cell r="X221">
            <v>7</v>
          </cell>
          <cell r="Y221">
            <v>0</v>
          </cell>
          <cell r="Z221">
            <v>1</v>
          </cell>
          <cell r="AA221">
            <v>0</v>
          </cell>
          <cell r="AB221">
            <v>8</v>
          </cell>
          <cell r="AC221">
            <v>0</v>
          </cell>
          <cell r="AD221">
            <v>0</v>
          </cell>
          <cell r="AE221">
            <v>62</v>
          </cell>
          <cell r="AF221">
            <v>2</v>
          </cell>
          <cell r="AG221">
            <v>3</v>
          </cell>
          <cell r="AH221"/>
          <cell r="AI221">
            <v>451</v>
          </cell>
          <cell r="AJ221">
            <v>83</v>
          </cell>
          <cell r="AK221">
            <v>23</v>
          </cell>
        </row>
        <row r="222">
          <cell r="C222">
            <v>350601013</v>
          </cell>
          <cell r="D222">
            <v>2</v>
          </cell>
          <cell r="E222">
            <v>18</v>
          </cell>
          <cell r="F222">
            <v>2</v>
          </cell>
          <cell r="G222">
            <v>2</v>
          </cell>
          <cell r="H222">
            <v>1</v>
          </cell>
          <cell r="I222">
            <v>8</v>
          </cell>
          <cell r="J222">
            <v>93</v>
          </cell>
          <cell r="K222">
            <v>7</v>
          </cell>
          <cell r="L222">
            <v>5</v>
          </cell>
          <cell r="M222">
            <v>6</v>
          </cell>
          <cell r="N222">
            <v>37</v>
          </cell>
          <cell r="O222">
            <v>6</v>
          </cell>
          <cell r="P222">
            <v>14</v>
          </cell>
          <cell r="Q222">
            <v>60</v>
          </cell>
          <cell r="R222">
            <v>48</v>
          </cell>
          <cell r="S222">
            <v>11</v>
          </cell>
          <cell r="T222">
            <v>56</v>
          </cell>
          <cell r="U222">
            <v>5</v>
          </cell>
          <cell r="V222">
            <v>66</v>
          </cell>
          <cell r="W222">
            <v>2</v>
          </cell>
          <cell r="X222">
            <v>9</v>
          </cell>
          <cell r="Y222">
            <v>3</v>
          </cell>
          <cell r="Z222">
            <v>2</v>
          </cell>
          <cell r="AA222">
            <v>2</v>
          </cell>
          <cell r="AB222">
            <v>3</v>
          </cell>
          <cell r="AC222">
            <v>8</v>
          </cell>
          <cell r="AD222">
            <v>16</v>
          </cell>
          <cell r="AE222">
            <v>19</v>
          </cell>
          <cell r="AF222">
            <v>2</v>
          </cell>
          <cell r="AG222">
            <v>9</v>
          </cell>
          <cell r="AH222"/>
          <cell r="AI222">
            <v>522</v>
          </cell>
          <cell r="AJ222">
            <v>93</v>
          </cell>
          <cell r="AK222">
            <v>30</v>
          </cell>
        </row>
        <row r="223">
          <cell r="C223">
            <v>350601014</v>
          </cell>
          <cell r="D223">
            <v>0</v>
          </cell>
          <cell r="E223">
            <v>7</v>
          </cell>
          <cell r="F223">
            <v>16</v>
          </cell>
          <cell r="G223">
            <v>1</v>
          </cell>
          <cell r="H223">
            <v>3</v>
          </cell>
          <cell r="I223">
            <v>9</v>
          </cell>
          <cell r="J223">
            <v>44</v>
          </cell>
          <cell r="K223">
            <v>18</v>
          </cell>
          <cell r="L223">
            <v>25</v>
          </cell>
          <cell r="M223">
            <v>6</v>
          </cell>
          <cell r="N223">
            <v>34</v>
          </cell>
          <cell r="O223">
            <v>2</v>
          </cell>
          <cell r="P223">
            <v>35</v>
          </cell>
          <cell r="Q223">
            <v>60</v>
          </cell>
          <cell r="R223">
            <v>61</v>
          </cell>
          <cell r="S223">
            <v>8</v>
          </cell>
          <cell r="T223">
            <v>9</v>
          </cell>
          <cell r="U223">
            <v>11</v>
          </cell>
          <cell r="V223">
            <v>43</v>
          </cell>
          <cell r="W223">
            <v>0</v>
          </cell>
          <cell r="X223">
            <v>0</v>
          </cell>
          <cell r="Y223">
            <v>10</v>
          </cell>
          <cell r="Z223">
            <v>13</v>
          </cell>
          <cell r="AA223">
            <v>1</v>
          </cell>
          <cell r="AB223">
            <v>5</v>
          </cell>
          <cell r="AC223">
            <v>11</v>
          </cell>
          <cell r="AD223">
            <v>6</v>
          </cell>
          <cell r="AE223">
            <v>5</v>
          </cell>
          <cell r="AF223">
            <v>0</v>
          </cell>
          <cell r="AG223">
            <v>10</v>
          </cell>
          <cell r="AH223"/>
          <cell r="AI223">
            <v>453</v>
          </cell>
          <cell r="AJ223">
            <v>61</v>
          </cell>
          <cell r="AK223">
            <v>26</v>
          </cell>
        </row>
        <row r="224">
          <cell r="C224">
            <v>350601015</v>
          </cell>
          <cell r="D224">
            <v>2</v>
          </cell>
          <cell r="E224">
            <v>7</v>
          </cell>
          <cell r="F224">
            <v>2</v>
          </cell>
          <cell r="G224">
            <v>2</v>
          </cell>
          <cell r="H224">
            <v>0</v>
          </cell>
          <cell r="I224">
            <v>17</v>
          </cell>
          <cell r="J224">
            <v>53</v>
          </cell>
          <cell r="K224">
            <v>45</v>
          </cell>
          <cell r="L224">
            <v>47</v>
          </cell>
          <cell r="M224">
            <v>20</v>
          </cell>
          <cell r="N224">
            <v>14</v>
          </cell>
          <cell r="O224">
            <v>0</v>
          </cell>
          <cell r="P224">
            <v>1</v>
          </cell>
          <cell r="Q224">
            <v>42</v>
          </cell>
          <cell r="R224">
            <v>53</v>
          </cell>
          <cell r="S224">
            <v>14</v>
          </cell>
          <cell r="T224">
            <v>129</v>
          </cell>
          <cell r="U224">
            <v>75</v>
          </cell>
          <cell r="V224">
            <v>138</v>
          </cell>
          <cell r="W224">
            <v>34</v>
          </cell>
          <cell r="X224">
            <v>7</v>
          </cell>
          <cell r="Y224">
            <v>3</v>
          </cell>
          <cell r="Z224">
            <v>2</v>
          </cell>
          <cell r="AA224">
            <v>0</v>
          </cell>
          <cell r="AB224">
            <v>4</v>
          </cell>
          <cell r="AC224">
            <v>16</v>
          </cell>
          <cell r="AD224">
            <v>14</v>
          </cell>
          <cell r="AE224">
            <v>0</v>
          </cell>
          <cell r="AF224">
            <v>7</v>
          </cell>
          <cell r="AG224">
            <v>9</v>
          </cell>
          <cell r="AH224"/>
          <cell r="AI224">
            <v>757</v>
          </cell>
          <cell r="AJ224">
            <v>138</v>
          </cell>
          <cell r="AK224">
            <v>26</v>
          </cell>
        </row>
        <row r="225">
          <cell r="C225">
            <v>350125006</v>
          </cell>
          <cell r="D225">
            <v>0</v>
          </cell>
          <cell r="E225">
            <v>1</v>
          </cell>
          <cell r="F225">
            <v>0</v>
          </cell>
          <cell r="G225">
            <v>0</v>
          </cell>
          <cell r="H225">
            <v>0</v>
          </cell>
          <cell r="I225">
            <v>10</v>
          </cell>
          <cell r="J225">
            <v>0</v>
          </cell>
          <cell r="K225">
            <v>6</v>
          </cell>
          <cell r="L225">
            <v>0</v>
          </cell>
          <cell r="M225">
            <v>0</v>
          </cell>
          <cell r="N225">
            <v>3</v>
          </cell>
          <cell r="O225">
            <v>20</v>
          </cell>
          <cell r="P225">
            <v>7</v>
          </cell>
          <cell r="Q225">
            <v>15</v>
          </cell>
          <cell r="R225">
            <v>0</v>
          </cell>
          <cell r="S225">
            <v>0</v>
          </cell>
          <cell r="T225">
            <v>1</v>
          </cell>
          <cell r="U225">
            <v>0</v>
          </cell>
          <cell r="V225">
            <v>47</v>
          </cell>
          <cell r="W225">
            <v>0</v>
          </cell>
          <cell r="X225">
            <v>6</v>
          </cell>
          <cell r="Y225">
            <v>0</v>
          </cell>
          <cell r="Z225">
            <v>0</v>
          </cell>
          <cell r="AA225">
            <v>0</v>
          </cell>
          <cell r="AB225">
            <v>4</v>
          </cell>
          <cell r="AC225">
            <v>0</v>
          </cell>
          <cell r="AD225">
            <v>0</v>
          </cell>
          <cell r="AE225">
            <v>15</v>
          </cell>
          <cell r="AF225">
            <v>2</v>
          </cell>
          <cell r="AG225">
            <v>6</v>
          </cell>
          <cell r="AH225"/>
          <cell r="AI225">
            <v>143</v>
          </cell>
          <cell r="AJ225">
            <v>47</v>
          </cell>
          <cell r="AK225">
            <v>14</v>
          </cell>
        </row>
        <row r="226">
          <cell r="C226">
            <v>350125007</v>
          </cell>
          <cell r="D226">
            <v>25</v>
          </cell>
          <cell r="E226">
            <v>0</v>
          </cell>
          <cell r="F226">
            <v>5</v>
          </cell>
          <cell r="G226">
            <v>5</v>
          </cell>
          <cell r="H226">
            <v>0</v>
          </cell>
          <cell r="I226">
            <v>0</v>
          </cell>
          <cell r="J226">
            <v>0</v>
          </cell>
          <cell r="K226">
            <v>2</v>
          </cell>
          <cell r="L226">
            <v>0</v>
          </cell>
          <cell r="M226">
            <v>30</v>
          </cell>
          <cell r="N226">
            <v>0</v>
          </cell>
          <cell r="O226">
            <v>30</v>
          </cell>
          <cell r="P226">
            <v>0</v>
          </cell>
          <cell r="Q226">
            <v>10</v>
          </cell>
          <cell r="R226">
            <v>5</v>
          </cell>
          <cell r="S226">
            <v>0</v>
          </cell>
          <cell r="T226">
            <v>0</v>
          </cell>
          <cell r="U226">
            <v>0</v>
          </cell>
          <cell r="V226">
            <v>25</v>
          </cell>
          <cell r="W226">
            <v>5</v>
          </cell>
          <cell r="X226">
            <v>15</v>
          </cell>
          <cell r="Y226">
            <v>3</v>
          </cell>
          <cell r="Z226">
            <v>1</v>
          </cell>
          <cell r="AA226">
            <v>0</v>
          </cell>
          <cell r="AB226">
            <v>35</v>
          </cell>
          <cell r="AC226">
            <v>0</v>
          </cell>
          <cell r="AD226">
            <v>5</v>
          </cell>
          <cell r="AE226">
            <v>15</v>
          </cell>
          <cell r="AF226">
            <v>0</v>
          </cell>
          <cell r="AG226">
            <v>55</v>
          </cell>
          <cell r="AH226"/>
          <cell r="AI226">
            <v>271</v>
          </cell>
          <cell r="AJ226">
            <v>55</v>
          </cell>
          <cell r="AK226">
            <v>17</v>
          </cell>
        </row>
        <row r="227">
          <cell r="C227">
            <v>350125008</v>
          </cell>
          <cell r="D227">
            <v>0</v>
          </cell>
          <cell r="E227">
            <v>8</v>
          </cell>
          <cell r="F227">
            <v>0</v>
          </cell>
          <cell r="G227">
            <v>0</v>
          </cell>
          <cell r="H227">
            <v>0</v>
          </cell>
          <cell r="I227">
            <v>11</v>
          </cell>
          <cell r="J227">
            <v>1</v>
          </cell>
          <cell r="K227">
            <v>23</v>
          </cell>
          <cell r="L227">
            <v>0</v>
          </cell>
          <cell r="M227">
            <v>0</v>
          </cell>
          <cell r="N227">
            <v>2</v>
          </cell>
          <cell r="O227">
            <v>13</v>
          </cell>
          <cell r="P227">
            <v>3</v>
          </cell>
          <cell r="Q227">
            <v>13</v>
          </cell>
          <cell r="R227">
            <v>0</v>
          </cell>
          <cell r="S227">
            <v>0</v>
          </cell>
          <cell r="T227">
            <v>3</v>
          </cell>
          <cell r="U227">
            <v>0</v>
          </cell>
          <cell r="V227">
            <v>43</v>
          </cell>
          <cell r="W227">
            <v>2</v>
          </cell>
          <cell r="X227">
            <v>7</v>
          </cell>
          <cell r="Y227">
            <v>0</v>
          </cell>
          <cell r="Z227">
            <v>0</v>
          </cell>
          <cell r="AA227">
            <v>0</v>
          </cell>
          <cell r="AB227">
            <v>13</v>
          </cell>
          <cell r="AC227">
            <v>0</v>
          </cell>
          <cell r="AD227">
            <v>0</v>
          </cell>
          <cell r="AE227">
            <v>3</v>
          </cell>
          <cell r="AF227">
            <v>1</v>
          </cell>
          <cell r="AG227">
            <v>3</v>
          </cell>
          <cell r="AH227"/>
          <cell r="AI227">
            <v>149</v>
          </cell>
          <cell r="AJ227">
            <v>43</v>
          </cell>
          <cell r="AK227">
            <v>16</v>
          </cell>
        </row>
        <row r="228">
          <cell r="C228">
            <v>350125009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14</v>
          </cell>
          <cell r="J228">
            <v>0</v>
          </cell>
          <cell r="K228">
            <v>19</v>
          </cell>
          <cell r="L228">
            <v>0</v>
          </cell>
          <cell r="M228">
            <v>0</v>
          </cell>
          <cell r="N228">
            <v>0</v>
          </cell>
          <cell r="O228">
            <v>21</v>
          </cell>
          <cell r="P228">
            <v>26</v>
          </cell>
          <cell r="Q228">
            <v>22</v>
          </cell>
          <cell r="R228">
            <v>0</v>
          </cell>
          <cell r="S228">
            <v>3</v>
          </cell>
          <cell r="T228">
            <v>0</v>
          </cell>
          <cell r="U228">
            <v>0</v>
          </cell>
          <cell r="V228">
            <v>28</v>
          </cell>
          <cell r="W228">
            <v>37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9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/>
          <cell r="AI228">
            <v>179</v>
          </cell>
          <cell r="AJ228">
            <v>37</v>
          </cell>
          <cell r="AK228">
            <v>9</v>
          </cell>
        </row>
        <row r="229">
          <cell r="C229">
            <v>350125010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2</v>
          </cell>
          <cell r="I229">
            <v>0</v>
          </cell>
          <cell r="J229">
            <v>0</v>
          </cell>
          <cell r="K229">
            <v>17</v>
          </cell>
          <cell r="L229">
            <v>0</v>
          </cell>
          <cell r="M229">
            <v>0</v>
          </cell>
          <cell r="N229">
            <v>4</v>
          </cell>
          <cell r="O229">
            <v>0</v>
          </cell>
          <cell r="P229">
            <v>5</v>
          </cell>
          <cell r="Q229">
            <v>4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56</v>
          </cell>
          <cell r="W229">
            <v>0</v>
          </cell>
          <cell r="X229">
            <v>4</v>
          </cell>
          <cell r="Y229">
            <v>0</v>
          </cell>
          <cell r="Z229">
            <v>0</v>
          </cell>
          <cell r="AA229">
            <v>0</v>
          </cell>
          <cell r="AB229">
            <v>4</v>
          </cell>
          <cell r="AC229">
            <v>0</v>
          </cell>
          <cell r="AD229">
            <v>1</v>
          </cell>
          <cell r="AE229">
            <v>3</v>
          </cell>
          <cell r="AF229">
            <v>0</v>
          </cell>
          <cell r="AG229">
            <v>1</v>
          </cell>
          <cell r="AH229"/>
          <cell r="AI229">
            <v>101</v>
          </cell>
          <cell r="AJ229">
            <v>56</v>
          </cell>
          <cell r="AK229">
            <v>11</v>
          </cell>
        </row>
        <row r="230">
          <cell r="C230">
            <v>350125011</v>
          </cell>
          <cell r="D230">
            <v>12</v>
          </cell>
          <cell r="E230">
            <v>0</v>
          </cell>
          <cell r="F230">
            <v>2</v>
          </cell>
          <cell r="G230">
            <v>1</v>
          </cell>
          <cell r="H230">
            <v>0</v>
          </cell>
          <cell r="I230">
            <v>0</v>
          </cell>
          <cell r="J230">
            <v>8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11</v>
          </cell>
          <cell r="P230">
            <v>10</v>
          </cell>
          <cell r="Q230">
            <v>6</v>
          </cell>
          <cell r="R230">
            <v>17</v>
          </cell>
          <cell r="S230">
            <v>3</v>
          </cell>
          <cell r="T230">
            <v>0</v>
          </cell>
          <cell r="U230">
            <v>0</v>
          </cell>
          <cell r="V230">
            <v>25</v>
          </cell>
          <cell r="W230">
            <v>37</v>
          </cell>
          <cell r="X230">
            <v>0</v>
          </cell>
          <cell r="Y230">
            <v>0</v>
          </cell>
          <cell r="Z230">
            <v>44</v>
          </cell>
          <cell r="AA230">
            <v>12</v>
          </cell>
          <cell r="AB230">
            <v>42</v>
          </cell>
          <cell r="AC230">
            <v>1</v>
          </cell>
          <cell r="AD230">
            <v>0</v>
          </cell>
          <cell r="AE230">
            <v>1</v>
          </cell>
          <cell r="AF230">
            <v>1</v>
          </cell>
          <cell r="AG230">
            <v>2</v>
          </cell>
          <cell r="AH230"/>
          <cell r="AI230">
            <v>236</v>
          </cell>
          <cell r="AJ230">
            <v>44</v>
          </cell>
          <cell r="AK230">
            <v>19</v>
          </cell>
        </row>
        <row r="231">
          <cell r="C231">
            <v>350125012</v>
          </cell>
          <cell r="D231">
            <v>13</v>
          </cell>
          <cell r="E231">
            <v>18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2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1</v>
          </cell>
          <cell r="R231">
            <v>12</v>
          </cell>
          <cell r="S231">
            <v>5</v>
          </cell>
          <cell r="T231">
            <v>0</v>
          </cell>
          <cell r="U231">
            <v>0</v>
          </cell>
          <cell r="V231">
            <v>62</v>
          </cell>
          <cell r="W231">
            <v>3</v>
          </cell>
          <cell r="X231">
            <v>5</v>
          </cell>
          <cell r="Y231">
            <v>0</v>
          </cell>
          <cell r="Z231">
            <v>13</v>
          </cell>
          <cell r="AA231">
            <v>0</v>
          </cell>
          <cell r="AB231">
            <v>4</v>
          </cell>
          <cell r="AC231">
            <v>6</v>
          </cell>
          <cell r="AD231">
            <v>0</v>
          </cell>
          <cell r="AE231">
            <v>3</v>
          </cell>
          <cell r="AF231">
            <v>3</v>
          </cell>
          <cell r="AG231">
            <v>2</v>
          </cell>
          <cell r="AH231"/>
          <cell r="AI231">
            <v>152</v>
          </cell>
          <cell r="AJ231">
            <v>62</v>
          </cell>
          <cell r="AK231">
            <v>15</v>
          </cell>
        </row>
        <row r="232">
          <cell r="C232">
            <v>350125013</v>
          </cell>
          <cell r="D232">
            <v>0</v>
          </cell>
          <cell r="E232">
            <v>10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10</v>
          </cell>
          <cell r="L232">
            <v>0</v>
          </cell>
          <cell r="M232">
            <v>15</v>
          </cell>
          <cell r="N232">
            <v>0</v>
          </cell>
          <cell r="O232">
            <v>0</v>
          </cell>
          <cell r="P232">
            <v>15</v>
          </cell>
          <cell r="Q232">
            <v>0</v>
          </cell>
          <cell r="R232">
            <v>5</v>
          </cell>
          <cell r="S232">
            <v>5</v>
          </cell>
          <cell r="T232">
            <v>0</v>
          </cell>
          <cell r="U232">
            <v>0</v>
          </cell>
          <cell r="V232">
            <v>25</v>
          </cell>
          <cell r="W232">
            <v>5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/>
          <cell r="AI232">
            <v>90</v>
          </cell>
          <cell r="AJ232">
            <v>25</v>
          </cell>
          <cell r="AK232">
            <v>8</v>
          </cell>
        </row>
        <row r="233">
          <cell r="C233">
            <v>350125014</v>
          </cell>
          <cell r="D233">
            <v>0</v>
          </cell>
          <cell r="E233">
            <v>57</v>
          </cell>
          <cell r="F233">
            <v>4</v>
          </cell>
          <cell r="G233">
            <v>16</v>
          </cell>
          <cell r="H233">
            <v>0</v>
          </cell>
          <cell r="I233">
            <v>0</v>
          </cell>
          <cell r="J233">
            <v>0</v>
          </cell>
          <cell r="K233">
            <v>14</v>
          </cell>
          <cell r="L233">
            <v>0</v>
          </cell>
          <cell r="M233">
            <v>0</v>
          </cell>
          <cell r="N233">
            <v>0</v>
          </cell>
          <cell r="O233">
            <v>24</v>
          </cell>
          <cell r="P233">
            <v>8</v>
          </cell>
          <cell r="Q233">
            <v>0</v>
          </cell>
          <cell r="R233">
            <v>36</v>
          </cell>
          <cell r="S233">
            <v>0</v>
          </cell>
          <cell r="T233">
            <v>5</v>
          </cell>
          <cell r="U233">
            <v>2</v>
          </cell>
          <cell r="V233">
            <v>29</v>
          </cell>
          <cell r="W233">
            <v>4</v>
          </cell>
          <cell r="X233">
            <v>36</v>
          </cell>
          <cell r="Y233">
            <v>9</v>
          </cell>
          <cell r="Z233">
            <v>0</v>
          </cell>
          <cell r="AA233">
            <v>0</v>
          </cell>
          <cell r="AB233">
            <v>87</v>
          </cell>
          <cell r="AC233">
            <v>1</v>
          </cell>
          <cell r="AD233">
            <v>0</v>
          </cell>
          <cell r="AE233">
            <v>0</v>
          </cell>
          <cell r="AF233">
            <v>0</v>
          </cell>
          <cell r="AG233">
            <v>29</v>
          </cell>
          <cell r="AH233"/>
          <cell r="AI233">
            <v>361</v>
          </cell>
          <cell r="AJ233">
            <v>87</v>
          </cell>
          <cell r="AK233">
            <v>16</v>
          </cell>
        </row>
        <row r="234">
          <cell r="C234">
            <v>350125015</v>
          </cell>
          <cell r="D234">
            <v>0</v>
          </cell>
          <cell r="E234">
            <v>1</v>
          </cell>
          <cell r="F234">
            <v>20</v>
          </cell>
          <cell r="G234">
            <v>0</v>
          </cell>
          <cell r="H234">
            <v>2</v>
          </cell>
          <cell r="I234">
            <v>0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35</v>
          </cell>
          <cell r="O234">
            <v>25</v>
          </cell>
          <cell r="P234">
            <v>9</v>
          </cell>
          <cell r="Q234">
            <v>0</v>
          </cell>
          <cell r="R234">
            <v>5</v>
          </cell>
          <cell r="S234">
            <v>0</v>
          </cell>
          <cell r="T234">
            <v>0</v>
          </cell>
          <cell r="U234">
            <v>6</v>
          </cell>
          <cell r="V234">
            <v>52</v>
          </cell>
          <cell r="W234">
            <v>2</v>
          </cell>
          <cell r="X234">
            <v>8</v>
          </cell>
          <cell r="Y234">
            <v>16</v>
          </cell>
          <cell r="Z234">
            <v>0</v>
          </cell>
          <cell r="AA234">
            <v>2</v>
          </cell>
          <cell r="AB234">
            <v>123</v>
          </cell>
          <cell r="AC234">
            <v>1</v>
          </cell>
          <cell r="AD234">
            <v>11</v>
          </cell>
          <cell r="AE234">
            <v>1</v>
          </cell>
          <cell r="AF234">
            <v>0</v>
          </cell>
          <cell r="AG234">
            <v>5</v>
          </cell>
          <cell r="AH234"/>
          <cell r="AI234">
            <v>325</v>
          </cell>
          <cell r="AJ234">
            <v>123</v>
          </cell>
          <cell r="AK234">
            <v>19</v>
          </cell>
        </row>
        <row r="235">
          <cell r="C235">
            <v>350122032</v>
          </cell>
          <cell r="D235">
            <v>0</v>
          </cell>
          <cell r="E235">
            <v>53</v>
          </cell>
          <cell r="F235">
            <v>1</v>
          </cell>
          <cell r="G235">
            <v>0</v>
          </cell>
          <cell r="H235">
            <v>8</v>
          </cell>
          <cell r="I235">
            <v>0</v>
          </cell>
          <cell r="J235">
            <v>23</v>
          </cell>
          <cell r="K235">
            <v>33</v>
          </cell>
          <cell r="L235">
            <v>0</v>
          </cell>
          <cell r="M235">
            <v>0</v>
          </cell>
          <cell r="N235">
            <v>24</v>
          </cell>
          <cell r="O235">
            <v>21</v>
          </cell>
          <cell r="P235">
            <v>6</v>
          </cell>
          <cell r="Q235">
            <v>5</v>
          </cell>
          <cell r="R235">
            <v>0</v>
          </cell>
          <cell r="S235">
            <v>0</v>
          </cell>
          <cell r="T235">
            <v>0</v>
          </cell>
          <cell r="U235">
            <v>10</v>
          </cell>
          <cell r="V235">
            <v>33</v>
          </cell>
          <cell r="W235">
            <v>0</v>
          </cell>
          <cell r="X235">
            <v>4</v>
          </cell>
          <cell r="Y235">
            <v>0</v>
          </cell>
          <cell r="Z235">
            <v>0</v>
          </cell>
          <cell r="AA235">
            <v>8</v>
          </cell>
          <cell r="AB235">
            <v>43</v>
          </cell>
          <cell r="AC235">
            <v>49</v>
          </cell>
          <cell r="AD235">
            <v>3</v>
          </cell>
          <cell r="AE235">
            <v>0</v>
          </cell>
          <cell r="AF235">
            <v>97</v>
          </cell>
          <cell r="AG235">
            <v>8</v>
          </cell>
          <cell r="AH235"/>
          <cell r="AI235">
            <v>429</v>
          </cell>
          <cell r="AJ235">
            <v>97</v>
          </cell>
          <cell r="AK235">
            <v>18</v>
          </cell>
        </row>
      </sheetData>
      <sheetData sheetId="13">
        <row r="8">
          <cell r="C8">
            <v>350125005</v>
          </cell>
          <cell r="D8">
            <v>37</v>
          </cell>
          <cell r="E8">
            <v>9</v>
          </cell>
          <cell r="F8">
            <v>0</v>
          </cell>
          <cell r="G8">
            <v>0</v>
          </cell>
          <cell r="H8">
            <v>0</v>
          </cell>
          <cell r="I8">
            <v>59</v>
          </cell>
          <cell r="J8">
            <v>13</v>
          </cell>
          <cell r="K8">
            <v>0</v>
          </cell>
          <cell r="L8">
            <v>0</v>
          </cell>
          <cell r="M8">
            <v>25</v>
          </cell>
          <cell r="N8">
            <v>0</v>
          </cell>
          <cell r="O8">
            <v>0</v>
          </cell>
          <cell r="P8">
            <v>16</v>
          </cell>
          <cell r="Q8">
            <v>0</v>
          </cell>
          <cell r="R8">
            <v>0</v>
          </cell>
          <cell r="S8">
            <v>11</v>
          </cell>
          <cell r="T8">
            <v>36</v>
          </cell>
          <cell r="U8">
            <v>0</v>
          </cell>
          <cell r="V8">
            <v>37</v>
          </cell>
          <cell r="W8">
            <v>28</v>
          </cell>
          <cell r="X8">
            <v>39</v>
          </cell>
          <cell r="Y8">
            <v>46</v>
          </cell>
          <cell r="Z8">
            <v>39</v>
          </cell>
          <cell r="AA8">
            <v>17</v>
          </cell>
          <cell r="AB8">
            <v>6</v>
          </cell>
          <cell r="AC8">
            <v>0</v>
          </cell>
          <cell r="AD8">
            <v>16</v>
          </cell>
          <cell r="AE8">
            <v>0</v>
          </cell>
          <cell r="AF8">
            <v>32</v>
          </cell>
          <cell r="AG8">
            <v>0</v>
          </cell>
          <cell r="AH8">
            <v>43</v>
          </cell>
          <cell r="AI8">
            <v>509</v>
          </cell>
          <cell r="AJ8">
            <v>59</v>
          </cell>
          <cell r="AK8">
            <v>18</v>
          </cell>
        </row>
        <row r="9">
          <cell r="C9">
            <v>350125004</v>
          </cell>
          <cell r="D9">
            <v>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5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8</v>
          </cell>
          <cell r="V9">
            <v>0</v>
          </cell>
          <cell r="W9">
            <v>0</v>
          </cell>
          <cell r="X9">
            <v>24</v>
          </cell>
          <cell r="Y9">
            <v>3</v>
          </cell>
          <cell r="Z9">
            <v>7</v>
          </cell>
          <cell r="AA9">
            <v>8</v>
          </cell>
          <cell r="AB9">
            <v>0</v>
          </cell>
          <cell r="AC9">
            <v>0</v>
          </cell>
          <cell r="AD9">
            <v>2</v>
          </cell>
          <cell r="AE9">
            <v>0</v>
          </cell>
          <cell r="AF9">
            <v>21</v>
          </cell>
          <cell r="AG9">
            <v>0</v>
          </cell>
          <cell r="AH9">
            <v>10</v>
          </cell>
          <cell r="AI9">
            <v>90</v>
          </cell>
          <cell r="AJ9">
            <v>24</v>
          </cell>
          <cell r="AK9">
            <v>10</v>
          </cell>
        </row>
        <row r="10">
          <cell r="C10">
            <v>350125003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16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2</v>
          </cell>
          <cell r="U10">
            <v>3</v>
          </cell>
          <cell r="V10">
            <v>1</v>
          </cell>
          <cell r="W10">
            <v>21</v>
          </cell>
          <cell r="X10">
            <v>14</v>
          </cell>
          <cell r="Y10">
            <v>2</v>
          </cell>
          <cell r="Z10">
            <v>0</v>
          </cell>
          <cell r="AA10">
            <v>6</v>
          </cell>
          <cell r="AB10">
            <v>0</v>
          </cell>
          <cell r="AC10">
            <v>2</v>
          </cell>
          <cell r="AD10">
            <v>9</v>
          </cell>
          <cell r="AE10">
            <v>0</v>
          </cell>
          <cell r="AF10">
            <v>14</v>
          </cell>
          <cell r="AG10">
            <v>0</v>
          </cell>
          <cell r="AH10">
            <v>4</v>
          </cell>
          <cell r="AI10">
            <v>101</v>
          </cell>
          <cell r="AJ10">
            <v>21</v>
          </cell>
          <cell r="AK10">
            <v>16</v>
          </cell>
        </row>
        <row r="11">
          <cell r="C11">
            <v>350125002</v>
          </cell>
          <cell r="D11">
            <v>0</v>
          </cell>
          <cell r="E11">
            <v>0</v>
          </cell>
          <cell r="F11">
            <v>6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</v>
          </cell>
          <cell r="R11">
            <v>0</v>
          </cell>
          <cell r="S11">
            <v>0</v>
          </cell>
          <cell r="T11">
            <v>17</v>
          </cell>
          <cell r="U11">
            <v>0</v>
          </cell>
          <cell r="V11">
            <v>0</v>
          </cell>
          <cell r="W11">
            <v>12</v>
          </cell>
          <cell r="X11">
            <v>1</v>
          </cell>
          <cell r="Y11">
            <v>6</v>
          </cell>
          <cell r="Z11">
            <v>6</v>
          </cell>
          <cell r="AA11">
            <v>6</v>
          </cell>
          <cell r="AB11">
            <v>5</v>
          </cell>
          <cell r="AC11">
            <v>0</v>
          </cell>
          <cell r="AD11">
            <v>0</v>
          </cell>
          <cell r="AE11">
            <v>0</v>
          </cell>
          <cell r="AF11">
            <v>12</v>
          </cell>
          <cell r="AG11">
            <v>0</v>
          </cell>
          <cell r="AH11">
            <v>2</v>
          </cell>
          <cell r="AI11">
            <v>75</v>
          </cell>
          <cell r="AJ11">
            <v>17</v>
          </cell>
          <cell r="AK11">
            <v>11</v>
          </cell>
        </row>
        <row r="12">
          <cell r="C12">
            <v>350125001</v>
          </cell>
          <cell r="D12">
            <v>0</v>
          </cell>
          <cell r="E12">
            <v>7</v>
          </cell>
          <cell r="F12">
            <v>0</v>
          </cell>
          <cell r="G12">
            <v>23</v>
          </cell>
          <cell r="H12">
            <v>0</v>
          </cell>
          <cell r="I12">
            <v>0</v>
          </cell>
          <cell r="J12">
            <v>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17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18</v>
          </cell>
          <cell r="W12">
            <v>31</v>
          </cell>
          <cell r="X12">
            <v>60</v>
          </cell>
          <cell r="Y12">
            <v>4</v>
          </cell>
          <cell r="Z12">
            <v>0</v>
          </cell>
          <cell r="AA12">
            <v>6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10</v>
          </cell>
          <cell r="AI12">
            <v>184</v>
          </cell>
          <cell r="AJ12">
            <v>60</v>
          </cell>
          <cell r="AK12">
            <v>10</v>
          </cell>
        </row>
        <row r="13">
          <cell r="C13">
            <v>350124024</v>
          </cell>
          <cell r="D13">
            <v>28</v>
          </cell>
          <cell r="E13">
            <v>20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4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12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2</v>
          </cell>
          <cell r="Y13">
            <v>7</v>
          </cell>
          <cell r="Z13">
            <v>0</v>
          </cell>
          <cell r="AA13">
            <v>13</v>
          </cell>
          <cell r="AB13">
            <v>0</v>
          </cell>
          <cell r="AC13">
            <v>0</v>
          </cell>
          <cell r="AD13">
            <v>3</v>
          </cell>
          <cell r="AE13">
            <v>0</v>
          </cell>
          <cell r="AF13">
            <v>12</v>
          </cell>
          <cell r="AG13">
            <v>2</v>
          </cell>
          <cell r="AH13">
            <v>13</v>
          </cell>
          <cell r="AI13">
            <v>121</v>
          </cell>
          <cell r="AJ13">
            <v>28</v>
          </cell>
          <cell r="AK13">
            <v>13</v>
          </cell>
        </row>
        <row r="14">
          <cell r="C14">
            <v>350124023</v>
          </cell>
          <cell r="D14">
            <v>0</v>
          </cell>
          <cell r="E14">
            <v>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</v>
          </cell>
          <cell r="T14">
            <v>1</v>
          </cell>
          <cell r="U14">
            <v>0</v>
          </cell>
          <cell r="V14">
            <v>38</v>
          </cell>
          <cell r="W14">
            <v>18</v>
          </cell>
          <cell r="X14">
            <v>36</v>
          </cell>
          <cell r="Y14">
            <v>17</v>
          </cell>
          <cell r="Z14">
            <v>12</v>
          </cell>
          <cell r="AA14">
            <v>14</v>
          </cell>
          <cell r="AB14">
            <v>0</v>
          </cell>
          <cell r="AC14">
            <v>0</v>
          </cell>
          <cell r="AD14">
            <v>8</v>
          </cell>
          <cell r="AE14">
            <v>0</v>
          </cell>
          <cell r="AF14">
            <v>19</v>
          </cell>
          <cell r="AG14">
            <v>0</v>
          </cell>
          <cell r="AH14">
            <v>28</v>
          </cell>
          <cell r="AI14">
            <v>196</v>
          </cell>
          <cell r="AJ14">
            <v>38</v>
          </cell>
          <cell r="AK14">
            <v>12</v>
          </cell>
        </row>
        <row r="15">
          <cell r="C15">
            <v>350124022</v>
          </cell>
          <cell r="D15">
            <v>56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0</v>
          </cell>
          <cell r="L15">
            <v>0</v>
          </cell>
          <cell r="M15">
            <v>21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11</v>
          </cell>
          <cell r="T15">
            <v>2</v>
          </cell>
          <cell r="U15">
            <v>34.5</v>
          </cell>
          <cell r="V15">
            <v>12</v>
          </cell>
          <cell r="W15">
            <v>7.5</v>
          </cell>
          <cell r="X15">
            <v>1</v>
          </cell>
          <cell r="Y15">
            <v>6.5</v>
          </cell>
          <cell r="Z15">
            <v>2</v>
          </cell>
          <cell r="AA15">
            <v>18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2</v>
          </cell>
          <cell r="AG15">
            <v>0</v>
          </cell>
          <cell r="AH15">
            <v>5</v>
          </cell>
          <cell r="AI15">
            <v>185.5</v>
          </cell>
          <cell r="AJ15">
            <v>56</v>
          </cell>
          <cell r="AK15">
            <v>14</v>
          </cell>
        </row>
        <row r="16">
          <cell r="C16">
            <v>350124021</v>
          </cell>
          <cell r="D16">
            <v>23</v>
          </cell>
          <cell r="E16">
            <v>22</v>
          </cell>
          <cell r="F16">
            <v>0</v>
          </cell>
          <cell r="G16">
            <v>0</v>
          </cell>
          <cell r="H16">
            <v>5</v>
          </cell>
          <cell r="I16">
            <v>4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14</v>
          </cell>
          <cell r="T16">
            <v>0</v>
          </cell>
          <cell r="U16">
            <v>4</v>
          </cell>
          <cell r="V16">
            <v>2</v>
          </cell>
          <cell r="W16">
            <v>0</v>
          </cell>
          <cell r="X16">
            <v>12</v>
          </cell>
          <cell r="Y16">
            <v>3</v>
          </cell>
          <cell r="Z16">
            <v>9</v>
          </cell>
          <cell r="AA16">
            <v>13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</v>
          </cell>
          <cell r="AG16">
            <v>0</v>
          </cell>
          <cell r="AH16">
            <v>15</v>
          </cell>
          <cell r="AI16">
            <v>138</v>
          </cell>
          <cell r="AJ16">
            <v>23</v>
          </cell>
          <cell r="AK16">
            <v>14</v>
          </cell>
        </row>
        <row r="17">
          <cell r="C17">
            <v>350124020</v>
          </cell>
          <cell r="D17">
            <v>46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5</v>
          </cell>
          <cell r="U17">
            <v>25</v>
          </cell>
          <cell r="V17">
            <v>31</v>
          </cell>
          <cell r="W17">
            <v>3</v>
          </cell>
          <cell r="X17">
            <v>5</v>
          </cell>
          <cell r="Y17">
            <v>13</v>
          </cell>
          <cell r="Z17">
            <v>0</v>
          </cell>
          <cell r="AA17">
            <v>13</v>
          </cell>
          <cell r="AB17">
            <v>0</v>
          </cell>
          <cell r="AC17">
            <v>0</v>
          </cell>
          <cell r="AD17">
            <v>6</v>
          </cell>
          <cell r="AE17">
            <v>0</v>
          </cell>
          <cell r="AF17">
            <v>0</v>
          </cell>
          <cell r="AG17">
            <v>0</v>
          </cell>
          <cell r="AH17">
            <v>10</v>
          </cell>
          <cell r="AI17">
            <v>158</v>
          </cell>
          <cell r="AJ17">
            <v>46</v>
          </cell>
          <cell r="AK17">
            <v>11</v>
          </cell>
        </row>
        <row r="18">
          <cell r="C18">
            <v>350124019</v>
          </cell>
          <cell r="D18">
            <v>58</v>
          </cell>
          <cell r="E18">
            <v>0</v>
          </cell>
          <cell r="F18">
            <v>0</v>
          </cell>
          <cell r="G18">
            <v>0</v>
          </cell>
          <cell r="H18">
            <v>38</v>
          </cell>
          <cell r="I18">
            <v>0</v>
          </cell>
          <cell r="J18">
            <v>0</v>
          </cell>
          <cell r="K18">
            <v>0</v>
          </cell>
          <cell r="L18">
            <v>5</v>
          </cell>
          <cell r="M18">
            <v>4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120</v>
          </cell>
          <cell r="T18">
            <v>0</v>
          </cell>
          <cell r="U18">
            <v>0</v>
          </cell>
          <cell r="V18">
            <v>16</v>
          </cell>
          <cell r="W18">
            <v>20</v>
          </cell>
          <cell r="X18">
            <v>0</v>
          </cell>
          <cell r="Y18">
            <v>9</v>
          </cell>
          <cell r="Z18">
            <v>30</v>
          </cell>
          <cell r="AA18">
            <v>18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</v>
          </cell>
          <cell r="AG18">
            <v>0</v>
          </cell>
          <cell r="AH18">
            <v>8</v>
          </cell>
          <cell r="AI18">
            <v>331</v>
          </cell>
          <cell r="AJ18">
            <v>120</v>
          </cell>
          <cell r="AK18">
            <v>12</v>
          </cell>
        </row>
        <row r="19">
          <cell r="C19">
            <v>350124018</v>
          </cell>
          <cell r="D19">
            <v>62</v>
          </cell>
          <cell r="E19">
            <v>0</v>
          </cell>
          <cell r="F19">
            <v>0</v>
          </cell>
          <cell r="G19">
            <v>0</v>
          </cell>
          <cell r="H19">
            <v>14</v>
          </cell>
          <cell r="I19">
            <v>18</v>
          </cell>
          <cell r="J19">
            <v>0</v>
          </cell>
          <cell r="K19">
            <v>0</v>
          </cell>
          <cell r="L19">
            <v>0</v>
          </cell>
          <cell r="M19">
            <v>8</v>
          </cell>
          <cell r="N19">
            <v>0</v>
          </cell>
          <cell r="O19">
            <v>2</v>
          </cell>
          <cell r="P19">
            <v>0</v>
          </cell>
          <cell r="Q19">
            <v>4</v>
          </cell>
          <cell r="R19">
            <v>0</v>
          </cell>
          <cell r="S19">
            <v>20</v>
          </cell>
          <cell r="T19">
            <v>2</v>
          </cell>
          <cell r="U19">
            <v>13</v>
          </cell>
          <cell r="V19">
            <v>9</v>
          </cell>
          <cell r="W19">
            <v>6</v>
          </cell>
          <cell r="X19">
            <v>2</v>
          </cell>
          <cell r="Y19">
            <v>6</v>
          </cell>
          <cell r="Z19">
            <v>5</v>
          </cell>
          <cell r="AA19">
            <v>21</v>
          </cell>
          <cell r="AB19">
            <v>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15</v>
          </cell>
          <cell r="AI19">
            <v>210</v>
          </cell>
          <cell r="AJ19">
            <v>62</v>
          </cell>
          <cell r="AK19">
            <v>17</v>
          </cell>
        </row>
        <row r="20">
          <cell r="C20">
            <v>350124017</v>
          </cell>
          <cell r="D20">
            <v>15</v>
          </cell>
          <cell r="E20">
            <v>0</v>
          </cell>
          <cell r="F20">
            <v>0</v>
          </cell>
          <cell r="G20">
            <v>1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12</v>
          </cell>
          <cell r="M20">
            <v>3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4</v>
          </cell>
          <cell r="S20">
            <v>0</v>
          </cell>
          <cell r="T20">
            <v>10</v>
          </cell>
          <cell r="U20">
            <v>22</v>
          </cell>
          <cell r="V20">
            <v>31</v>
          </cell>
          <cell r="W20">
            <v>0</v>
          </cell>
          <cell r="X20">
            <v>23</v>
          </cell>
          <cell r="Y20">
            <v>24</v>
          </cell>
          <cell r="Z20">
            <v>0</v>
          </cell>
          <cell r="AA20">
            <v>10</v>
          </cell>
          <cell r="AB20">
            <v>5</v>
          </cell>
          <cell r="AC20">
            <v>2</v>
          </cell>
          <cell r="AD20">
            <v>0</v>
          </cell>
          <cell r="AE20">
            <v>4</v>
          </cell>
          <cell r="AF20">
            <v>0</v>
          </cell>
          <cell r="AG20">
            <v>0</v>
          </cell>
          <cell r="AH20">
            <v>54</v>
          </cell>
          <cell r="AI20">
            <v>220</v>
          </cell>
          <cell r="AJ20">
            <v>54</v>
          </cell>
          <cell r="AK20">
            <v>15</v>
          </cell>
        </row>
        <row r="21">
          <cell r="C21">
            <v>350124016</v>
          </cell>
          <cell r="D21">
            <v>44</v>
          </cell>
          <cell r="E21">
            <v>0</v>
          </cell>
          <cell r="F21">
            <v>0</v>
          </cell>
          <cell r="G21">
            <v>2</v>
          </cell>
          <cell r="H21">
            <v>21</v>
          </cell>
          <cell r="I21">
            <v>2</v>
          </cell>
          <cell r="J21">
            <v>4</v>
          </cell>
          <cell r="K21">
            <v>0</v>
          </cell>
          <cell r="L21">
            <v>0</v>
          </cell>
          <cell r="M21">
            <v>0</v>
          </cell>
          <cell r="N21">
            <v>3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30</v>
          </cell>
          <cell r="T21">
            <v>19</v>
          </cell>
          <cell r="U21">
            <v>0</v>
          </cell>
          <cell r="V21">
            <v>0</v>
          </cell>
          <cell r="W21">
            <v>29</v>
          </cell>
          <cell r="X21">
            <v>0</v>
          </cell>
          <cell r="Y21">
            <v>10</v>
          </cell>
          <cell r="Z21">
            <v>23</v>
          </cell>
          <cell r="AA21">
            <v>14</v>
          </cell>
          <cell r="AB21">
            <v>2</v>
          </cell>
          <cell r="AC21">
            <v>0</v>
          </cell>
          <cell r="AD21">
            <v>3</v>
          </cell>
          <cell r="AE21">
            <v>0</v>
          </cell>
          <cell r="AF21">
            <v>4</v>
          </cell>
          <cell r="AG21">
            <v>0</v>
          </cell>
          <cell r="AH21">
            <v>6</v>
          </cell>
          <cell r="AI21">
            <v>216</v>
          </cell>
          <cell r="AJ21">
            <v>44</v>
          </cell>
          <cell r="AK21">
            <v>16</v>
          </cell>
        </row>
        <row r="22">
          <cell r="C22">
            <v>350124015</v>
          </cell>
          <cell r="D22">
            <v>21</v>
          </cell>
          <cell r="E22">
            <v>5</v>
          </cell>
          <cell r="F22">
            <v>0</v>
          </cell>
          <cell r="G22">
            <v>1</v>
          </cell>
          <cell r="H22">
            <v>0</v>
          </cell>
          <cell r="I22">
            <v>34</v>
          </cell>
          <cell r="J22">
            <v>0</v>
          </cell>
          <cell r="K22">
            <v>0</v>
          </cell>
          <cell r="L22">
            <v>0</v>
          </cell>
          <cell r="M22">
            <v>2</v>
          </cell>
          <cell r="N22">
            <v>3</v>
          </cell>
          <cell r="O22">
            <v>0</v>
          </cell>
          <cell r="P22">
            <v>0</v>
          </cell>
          <cell r="Q22">
            <v>0</v>
          </cell>
          <cell r="R22">
            <v>13</v>
          </cell>
          <cell r="S22">
            <v>5</v>
          </cell>
          <cell r="T22">
            <v>0</v>
          </cell>
          <cell r="U22">
            <v>29</v>
          </cell>
          <cell r="V22">
            <v>2</v>
          </cell>
          <cell r="W22">
            <v>0</v>
          </cell>
          <cell r="X22">
            <v>11</v>
          </cell>
          <cell r="Y22">
            <v>21</v>
          </cell>
          <cell r="Z22">
            <v>6</v>
          </cell>
          <cell r="AA22">
            <v>13</v>
          </cell>
          <cell r="AB22">
            <v>0</v>
          </cell>
          <cell r="AC22">
            <v>0</v>
          </cell>
          <cell r="AD22">
            <v>2</v>
          </cell>
          <cell r="AE22">
            <v>0</v>
          </cell>
          <cell r="AF22">
            <v>29</v>
          </cell>
          <cell r="AG22">
            <v>0</v>
          </cell>
          <cell r="AH22">
            <v>24</v>
          </cell>
          <cell r="AI22">
            <v>221</v>
          </cell>
          <cell r="AJ22">
            <v>34</v>
          </cell>
          <cell r="AK22">
            <v>17</v>
          </cell>
        </row>
        <row r="23">
          <cell r="C23">
            <v>350124014</v>
          </cell>
          <cell r="D23">
            <v>24</v>
          </cell>
          <cell r="E23">
            <v>0</v>
          </cell>
          <cell r="F23">
            <v>4</v>
          </cell>
          <cell r="G23">
            <v>21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22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10</v>
          </cell>
          <cell r="T23">
            <v>0</v>
          </cell>
          <cell r="U23">
            <v>20</v>
          </cell>
          <cell r="V23">
            <v>22</v>
          </cell>
          <cell r="W23">
            <v>5</v>
          </cell>
          <cell r="X23">
            <v>15</v>
          </cell>
          <cell r="Y23">
            <v>10</v>
          </cell>
          <cell r="Z23">
            <v>0</v>
          </cell>
          <cell r="AA23">
            <v>11</v>
          </cell>
          <cell r="AB23">
            <v>0</v>
          </cell>
          <cell r="AC23">
            <v>2</v>
          </cell>
          <cell r="AD23">
            <v>0</v>
          </cell>
          <cell r="AE23">
            <v>1</v>
          </cell>
          <cell r="AF23">
            <v>3</v>
          </cell>
          <cell r="AG23">
            <v>0</v>
          </cell>
          <cell r="AH23">
            <v>0</v>
          </cell>
          <cell r="AI23">
            <v>170</v>
          </cell>
          <cell r="AJ23">
            <v>24</v>
          </cell>
          <cell r="AK23">
            <v>14</v>
          </cell>
        </row>
        <row r="24">
          <cell r="C24">
            <v>350124013</v>
          </cell>
          <cell r="D24">
            <v>5</v>
          </cell>
          <cell r="E24">
            <v>0</v>
          </cell>
          <cell r="F24">
            <v>0</v>
          </cell>
          <cell r="G24">
            <v>25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</v>
          </cell>
          <cell r="M24">
            <v>8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30</v>
          </cell>
          <cell r="T24">
            <v>0</v>
          </cell>
          <cell r="U24">
            <v>2</v>
          </cell>
          <cell r="V24">
            <v>4</v>
          </cell>
          <cell r="W24">
            <v>0</v>
          </cell>
          <cell r="X24">
            <v>31</v>
          </cell>
          <cell r="Y24">
            <v>10</v>
          </cell>
          <cell r="Z24">
            <v>0</v>
          </cell>
          <cell r="AA24">
            <v>15</v>
          </cell>
          <cell r="AB24">
            <v>1</v>
          </cell>
          <cell r="AC24">
            <v>0</v>
          </cell>
          <cell r="AD24">
            <v>3</v>
          </cell>
          <cell r="AE24">
            <v>3</v>
          </cell>
          <cell r="AF24">
            <v>6</v>
          </cell>
          <cell r="AG24">
            <v>0</v>
          </cell>
          <cell r="AH24">
            <v>17</v>
          </cell>
          <cell r="AI24">
            <v>162</v>
          </cell>
          <cell r="AJ24">
            <v>31</v>
          </cell>
          <cell r="AK24">
            <v>15</v>
          </cell>
        </row>
        <row r="25">
          <cell r="C25">
            <v>350124012</v>
          </cell>
          <cell r="D25">
            <v>29</v>
          </cell>
          <cell r="E25">
            <v>14</v>
          </cell>
          <cell r="F25">
            <v>0</v>
          </cell>
          <cell r="G25">
            <v>0</v>
          </cell>
          <cell r="H25">
            <v>0</v>
          </cell>
          <cell r="I25">
            <v>3</v>
          </cell>
          <cell r="J25">
            <v>0</v>
          </cell>
          <cell r="K25">
            <v>0</v>
          </cell>
          <cell r="L25">
            <v>0</v>
          </cell>
          <cell r="M25">
            <v>5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34</v>
          </cell>
          <cell r="T25">
            <v>2</v>
          </cell>
          <cell r="U25">
            <v>29</v>
          </cell>
          <cell r="V25">
            <v>25</v>
          </cell>
          <cell r="W25">
            <v>3</v>
          </cell>
          <cell r="X25">
            <v>30</v>
          </cell>
          <cell r="Y25">
            <v>2</v>
          </cell>
          <cell r="Z25">
            <v>13</v>
          </cell>
          <cell r="AA25">
            <v>22</v>
          </cell>
          <cell r="AB25">
            <v>0</v>
          </cell>
          <cell r="AC25">
            <v>0</v>
          </cell>
          <cell r="AD25">
            <v>11</v>
          </cell>
          <cell r="AE25">
            <v>0</v>
          </cell>
          <cell r="AF25">
            <v>7</v>
          </cell>
          <cell r="AG25">
            <v>0</v>
          </cell>
          <cell r="AH25">
            <v>6</v>
          </cell>
          <cell r="AI25">
            <v>235</v>
          </cell>
          <cell r="AJ25">
            <v>34</v>
          </cell>
          <cell r="AK25">
            <v>16</v>
          </cell>
        </row>
        <row r="26">
          <cell r="C26">
            <v>350124011</v>
          </cell>
          <cell r="D26">
            <v>31</v>
          </cell>
          <cell r="E26">
            <v>0</v>
          </cell>
          <cell r="F26">
            <v>0</v>
          </cell>
          <cell r="G26">
            <v>0</v>
          </cell>
          <cell r="H26">
            <v>40</v>
          </cell>
          <cell r="I26">
            <v>5</v>
          </cell>
          <cell r="J26">
            <v>0</v>
          </cell>
          <cell r="K26">
            <v>0</v>
          </cell>
          <cell r="L26">
            <v>0</v>
          </cell>
          <cell r="M26">
            <v>25</v>
          </cell>
          <cell r="N26">
            <v>0</v>
          </cell>
          <cell r="O26">
            <v>1</v>
          </cell>
          <cell r="P26">
            <v>0</v>
          </cell>
          <cell r="Q26">
            <v>1</v>
          </cell>
          <cell r="R26">
            <v>0</v>
          </cell>
          <cell r="S26">
            <v>12</v>
          </cell>
          <cell r="T26">
            <v>22</v>
          </cell>
          <cell r="U26">
            <v>25</v>
          </cell>
          <cell r="V26">
            <v>5</v>
          </cell>
          <cell r="W26">
            <v>0</v>
          </cell>
          <cell r="X26">
            <v>0</v>
          </cell>
          <cell r="Y26">
            <v>13</v>
          </cell>
          <cell r="Z26">
            <v>4</v>
          </cell>
          <cell r="AA26">
            <v>25</v>
          </cell>
          <cell r="AB26">
            <v>2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3</v>
          </cell>
          <cell r="AI26">
            <v>214</v>
          </cell>
          <cell r="AJ26">
            <v>40</v>
          </cell>
          <cell r="AK26">
            <v>15</v>
          </cell>
        </row>
        <row r="27">
          <cell r="C27">
            <v>350124010</v>
          </cell>
          <cell r="D27">
            <v>9</v>
          </cell>
          <cell r="E27">
            <v>0</v>
          </cell>
          <cell r="F27">
            <v>8</v>
          </cell>
          <cell r="G27">
            <v>0</v>
          </cell>
          <cell r="H27">
            <v>7</v>
          </cell>
          <cell r="I27">
            <v>5</v>
          </cell>
          <cell r="J27">
            <v>3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19</v>
          </cell>
          <cell r="S27">
            <v>3</v>
          </cell>
          <cell r="T27">
            <v>4</v>
          </cell>
          <cell r="U27">
            <v>24</v>
          </cell>
          <cell r="V27">
            <v>2</v>
          </cell>
          <cell r="W27">
            <v>0</v>
          </cell>
          <cell r="X27">
            <v>50</v>
          </cell>
          <cell r="Y27">
            <v>13</v>
          </cell>
          <cell r="Z27">
            <v>0</v>
          </cell>
          <cell r="AA27">
            <v>11</v>
          </cell>
          <cell r="AB27">
            <v>3</v>
          </cell>
          <cell r="AC27">
            <v>0</v>
          </cell>
          <cell r="AD27">
            <v>1</v>
          </cell>
          <cell r="AE27">
            <v>0</v>
          </cell>
          <cell r="AF27">
            <v>7</v>
          </cell>
          <cell r="AG27">
            <v>0</v>
          </cell>
          <cell r="AH27">
            <v>15</v>
          </cell>
          <cell r="AI27">
            <v>184</v>
          </cell>
          <cell r="AJ27">
            <v>50</v>
          </cell>
          <cell r="AK27">
            <v>17</v>
          </cell>
        </row>
        <row r="28">
          <cell r="C28">
            <v>350124009</v>
          </cell>
          <cell r="D28">
            <v>10</v>
          </cell>
          <cell r="E28">
            <v>2</v>
          </cell>
          <cell r="F28">
            <v>0</v>
          </cell>
          <cell r="G28">
            <v>0</v>
          </cell>
          <cell r="H28">
            <v>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3</v>
          </cell>
          <cell r="U28">
            <v>4</v>
          </cell>
          <cell r="V28">
            <v>0</v>
          </cell>
          <cell r="W28">
            <v>0</v>
          </cell>
          <cell r="X28">
            <v>3</v>
          </cell>
          <cell r="Y28">
            <v>31</v>
          </cell>
          <cell r="Z28">
            <v>0</v>
          </cell>
          <cell r="AA28">
            <v>6</v>
          </cell>
          <cell r="AB28">
            <v>0</v>
          </cell>
          <cell r="AC28">
            <v>0</v>
          </cell>
          <cell r="AD28">
            <v>2</v>
          </cell>
          <cell r="AE28">
            <v>0</v>
          </cell>
          <cell r="AF28">
            <v>0</v>
          </cell>
          <cell r="AG28">
            <v>0</v>
          </cell>
          <cell r="AH28">
            <v>26</v>
          </cell>
          <cell r="AI28">
            <v>97</v>
          </cell>
          <cell r="AJ28">
            <v>31</v>
          </cell>
          <cell r="AK28">
            <v>11</v>
          </cell>
        </row>
        <row r="29">
          <cell r="C29">
            <v>350124008</v>
          </cell>
          <cell r="D29">
            <v>80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46.6</v>
          </cell>
          <cell r="J29">
            <v>0</v>
          </cell>
          <cell r="K29">
            <v>0</v>
          </cell>
          <cell r="L29">
            <v>0</v>
          </cell>
          <cell r="M29">
            <v>16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</v>
          </cell>
          <cell r="T29">
            <v>0</v>
          </cell>
          <cell r="U29">
            <v>39</v>
          </cell>
          <cell r="V29">
            <v>36</v>
          </cell>
          <cell r="W29">
            <v>0</v>
          </cell>
          <cell r="X29">
            <v>0</v>
          </cell>
          <cell r="Y29">
            <v>2</v>
          </cell>
          <cell r="Z29">
            <v>6</v>
          </cell>
          <cell r="AA29">
            <v>16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</v>
          </cell>
          <cell r="AG29">
            <v>0</v>
          </cell>
          <cell r="AH29">
            <v>3</v>
          </cell>
          <cell r="AI29">
            <v>250.6</v>
          </cell>
          <cell r="AJ29">
            <v>80</v>
          </cell>
          <cell r="AK29">
            <v>11</v>
          </cell>
        </row>
        <row r="30">
          <cell r="C30">
            <v>350124007</v>
          </cell>
          <cell r="D30">
            <v>64</v>
          </cell>
          <cell r="E30">
            <v>0</v>
          </cell>
          <cell r="F30">
            <v>0</v>
          </cell>
          <cell r="G30">
            <v>19</v>
          </cell>
          <cell r="H30">
            <v>17</v>
          </cell>
          <cell r="I30">
            <v>10</v>
          </cell>
          <cell r="J30">
            <v>4</v>
          </cell>
          <cell r="K30">
            <v>0</v>
          </cell>
          <cell r="L30">
            <v>0</v>
          </cell>
          <cell r="M30">
            <v>29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3</v>
          </cell>
          <cell r="T30">
            <v>8</v>
          </cell>
          <cell r="U30">
            <v>8</v>
          </cell>
          <cell r="V30">
            <v>0</v>
          </cell>
          <cell r="W30">
            <v>0</v>
          </cell>
          <cell r="X30">
            <v>15</v>
          </cell>
          <cell r="Y30">
            <v>10</v>
          </cell>
          <cell r="Z30">
            <v>16</v>
          </cell>
          <cell r="AA30">
            <v>5</v>
          </cell>
          <cell r="AB30">
            <v>3</v>
          </cell>
          <cell r="AC30">
            <v>0</v>
          </cell>
          <cell r="AD30">
            <v>0</v>
          </cell>
          <cell r="AE30">
            <v>0</v>
          </cell>
          <cell r="AF30">
            <v>2</v>
          </cell>
          <cell r="AG30">
            <v>0</v>
          </cell>
          <cell r="AH30">
            <v>4</v>
          </cell>
          <cell r="AI30">
            <v>217</v>
          </cell>
          <cell r="AJ30">
            <v>64</v>
          </cell>
          <cell r="AK30">
            <v>16</v>
          </cell>
        </row>
        <row r="31">
          <cell r="C31">
            <v>350124006</v>
          </cell>
          <cell r="D31">
            <v>66</v>
          </cell>
          <cell r="E31">
            <v>1</v>
          </cell>
          <cell r="F31">
            <v>1</v>
          </cell>
          <cell r="G31">
            <v>1</v>
          </cell>
          <cell r="H31">
            <v>3</v>
          </cell>
          <cell r="I31">
            <v>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8</v>
          </cell>
          <cell r="U31">
            <v>21</v>
          </cell>
          <cell r="V31">
            <v>25</v>
          </cell>
          <cell r="W31">
            <v>10</v>
          </cell>
          <cell r="X31">
            <v>5</v>
          </cell>
          <cell r="Y31">
            <v>16</v>
          </cell>
          <cell r="Z31">
            <v>1</v>
          </cell>
          <cell r="AA31">
            <v>10</v>
          </cell>
          <cell r="AB31">
            <v>0</v>
          </cell>
          <cell r="AC31">
            <v>1</v>
          </cell>
          <cell r="AD31">
            <v>12</v>
          </cell>
          <cell r="AE31">
            <v>0</v>
          </cell>
          <cell r="AF31">
            <v>8</v>
          </cell>
          <cell r="AG31">
            <v>0</v>
          </cell>
          <cell r="AH31">
            <v>12</v>
          </cell>
          <cell r="AI31">
            <v>204</v>
          </cell>
          <cell r="AJ31">
            <v>66</v>
          </cell>
          <cell r="AK31">
            <v>18</v>
          </cell>
        </row>
        <row r="32">
          <cell r="C32">
            <v>350124005</v>
          </cell>
          <cell r="D32">
            <v>4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5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  <cell r="S32">
            <v>0</v>
          </cell>
          <cell r="T32">
            <v>12</v>
          </cell>
          <cell r="U32">
            <v>8</v>
          </cell>
          <cell r="V32">
            <v>16</v>
          </cell>
          <cell r="W32">
            <v>0</v>
          </cell>
          <cell r="X32">
            <v>24</v>
          </cell>
          <cell r="Y32">
            <v>10</v>
          </cell>
          <cell r="Z32">
            <v>0</v>
          </cell>
          <cell r="AA32">
            <v>12</v>
          </cell>
          <cell r="AB32">
            <v>0</v>
          </cell>
          <cell r="AC32">
            <v>4</v>
          </cell>
          <cell r="AD32">
            <v>0</v>
          </cell>
          <cell r="AE32">
            <v>0</v>
          </cell>
          <cell r="AF32">
            <v>6</v>
          </cell>
          <cell r="AG32">
            <v>0</v>
          </cell>
          <cell r="AH32">
            <v>24</v>
          </cell>
          <cell r="AI32">
            <v>127</v>
          </cell>
          <cell r="AJ32">
            <v>24</v>
          </cell>
          <cell r="AK32">
            <v>12</v>
          </cell>
        </row>
        <row r="33">
          <cell r="C33">
            <v>350124004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2</v>
          </cell>
          <cell r="J33">
            <v>0</v>
          </cell>
          <cell r="K33">
            <v>0</v>
          </cell>
          <cell r="L33">
            <v>0</v>
          </cell>
          <cell r="M33">
            <v>8</v>
          </cell>
          <cell r="N33">
            <v>0</v>
          </cell>
          <cell r="O33">
            <v>4</v>
          </cell>
          <cell r="P33">
            <v>0</v>
          </cell>
          <cell r="Q33">
            <v>0</v>
          </cell>
          <cell r="R33">
            <v>0</v>
          </cell>
          <cell r="S33">
            <v>2</v>
          </cell>
          <cell r="T33">
            <v>20</v>
          </cell>
          <cell r="U33">
            <v>10</v>
          </cell>
          <cell r="V33">
            <v>0</v>
          </cell>
          <cell r="W33">
            <v>0</v>
          </cell>
          <cell r="X33">
            <v>50</v>
          </cell>
          <cell r="Y33">
            <v>14</v>
          </cell>
          <cell r="Z33">
            <v>0</v>
          </cell>
          <cell r="AA33">
            <v>19</v>
          </cell>
          <cell r="AB33">
            <v>0</v>
          </cell>
          <cell r="AC33">
            <v>5</v>
          </cell>
          <cell r="AD33">
            <v>0</v>
          </cell>
          <cell r="AE33">
            <v>0</v>
          </cell>
          <cell r="AF33">
            <v>16</v>
          </cell>
          <cell r="AG33">
            <v>3</v>
          </cell>
          <cell r="AH33">
            <v>45</v>
          </cell>
          <cell r="AI33">
            <v>198</v>
          </cell>
          <cell r="AJ33">
            <v>50</v>
          </cell>
          <cell r="AK33">
            <v>13</v>
          </cell>
        </row>
        <row r="34">
          <cell r="C34">
            <v>350124003</v>
          </cell>
          <cell r="D34">
            <v>12</v>
          </cell>
          <cell r="E34">
            <v>0</v>
          </cell>
          <cell r="F34">
            <v>2</v>
          </cell>
          <cell r="G34">
            <v>22</v>
          </cell>
          <cell r="H34">
            <v>3</v>
          </cell>
          <cell r="I34">
            <v>19</v>
          </cell>
          <cell r="J34">
            <v>0</v>
          </cell>
          <cell r="K34">
            <v>0</v>
          </cell>
          <cell r="L34">
            <v>0</v>
          </cell>
          <cell r="M34">
            <v>14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24</v>
          </cell>
          <cell r="T34">
            <v>21</v>
          </cell>
          <cell r="U34">
            <v>12</v>
          </cell>
          <cell r="V34">
            <v>2</v>
          </cell>
          <cell r="W34">
            <v>0</v>
          </cell>
          <cell r="X34">
            <v>0</v>
          </cell>
          <cell r="Y34">
            <v>21</v>
          </cell>
          <cell r="Z34">
            <v>36</v>
          </cell>
          <cell r="AA34">
            <v>16</v>
          </cell>
          <cell r="AB34">
            <v>2</v>
          </cell>
          <cell r="AC34">
            <v>4</v>
          </cell>
          <cell r="AD34">
            <v>0</v>
          </cell>
          <cell r="AE34">
            <v>0</v>
          </cell>
          <cell r="AF34">
            <v>1</v>
          </cell>
          <cell r="AG34">
            <v>5</v>
          </cell>
          <cell r="AH34">
            <v>4</v>
          </cell>
          <cell r="AI34">
            <v>220</v>
          </cell>
          <cell r="AJ34">
            <v>36</v>
          </cell>
          <cell r="AK34">
            <v>18</v>
          </cell>
        </row>
        <row r="35">
          <cell r="C35">
            <v>350124002</v>
          </cell>
          <cell r="D35">
            <v>14</v>
          </cell>
          <cell r="E35">
            <v>0</v>
          </cell>
          <cell r="F35">
            <v>0</v>
          </cell>
          <cell r="G35">
            <v>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38</v>
          </cell>
          <cell r="T35">
            <v>0</v>
          </cell>
          <cell r="U35">
            <v>8</v>
          </cell>
          <cell r="V35">
            <v>22</v>
          </cell>
          <cell r="W35">
            <v>0</v>
          </cell>
          <cell r="X35">
            <v>20</v>
          </cell>
          <cell r="Y35">
            <v>13</v>
          </cell>
          <cell r="Z35">
            <v>0</v>
          </cell>
          <cell r="AA35">
            <v>14</v>
          </cell>
          <cell r="AB35">
            <v>0</v>
          </cell>
          <cell r="AC35">
            <v>0</v>
          </cell>
          <cell r="AD35">
            <v>1</v>
          </cell>
          <cell r="AE35">
            <v>1</v>
          </cell>
          <cell r="AF35">
            <v>3</v>
          </cell>
          <cell r="AG35">
            <v>0</v>
          </cell>
          <cell r="AH35">
            <v>30</v>
          </cell>
          <cell r="AI35">
            <v>168</v>
          </cell>
          <cell r="AJ35">
            <v>38</v>
          </cell>
          <cell r="AK35">
            <v>13</v>
          </cell>
        </row>
        <row r="36">
          <cell r="C36">
            <v>350124001</v>
          </cell>
          <cell r="D36">
            <v>35</v>
          </cell>
          <cell r="E36">
            <v>0</v>
          </cell>
          <cell r="F36">
            <v>0</v>
          </cell>
          <cell r="G36">
            <v>0</v>
          </cell>
          <cell r="H36">
            <v>17</v>
          </cell>
          <cell r="I36">
            <v>25</v>
          </cell>
          <cell r="J36">
            <v>0</v>
          </cell>
          <cell r="K36">
            <v>0</v>
          </cell>
          <cell r="L36">
            <v>0</v>
          </cell>
          <cell r="M36">
            <v>4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5</v>
          </cell>
          <cell r="U36">
            <v>14</v>
          </cell>
          <cell r="V36">
            <v>0</v>
          </cell>
          <cell r="W36">
            <v>0</v>
          </cell>
          <cell r="X36">
            <v>0</v>
          </cell>
          <cell r="Y36">
            <v>7</v>
          </cell>
          <cell r="Z36">
            <v>2</v>
          </cell>
          <cell r="AA36">
            <v>15</v>
          </cell>
          <cell r="AB36">
            <v>3</v>
          </cell>
          <cell r="AC36">
            <v>1</v>
          </cell>
          <cell r="AD36">
            <v>10</v>
          </cell>
          <cell r="AE36">
            <v>0</v>
          </cell>
          <cell r="AF36">
            <v>2</v>
          </cell>
          <cell r="AG36">
            <v>0</v>
          </cell>
          <cell r="AH36">
            <v>7</v>
          </cell>
          <cell r="AI36">
            <v>148</v>
          </cell>
          <cell r="AJ36">
            <v>35</v>
          </cell>
          <cell r="AK36">
            <v>15</v>
          </cell>
        </row>
        <row r="37">
          <cell r="C37">
            <v>350123037</v>
          </cell>
          <cell r="D37">
            <v>17</v>
          </cell>
          <cell r="E37">
            <v>8</v>
          </cell>
          <cell r="F37">
            <v>0</v>
          </cell>
          <cell r="G37">
            <v>0</v>
          </cell>
          <cell r="H37">
            <v>0</v>
          </cell>
          <cell r="I37">
            <v>15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27</v>
          </cell>
          <cell r="V37">
            <v>0</v>
          </cell>
          <cell r="W37">
            <v>0</v>
          </cell>
          <cell r="X37">
            <v>2</v>
          </cell>
          <cell r="Y37">
            <v>29</v>
          </cell>
          <cell r="Z37">
            <v>0</v>
          </cell>
          <cell r="AA37">
            <v>3</v>
          </cell>
          <cell r="AB37">
            <v>0</v>
          </cell>
          <cell r="AC37">
            <v>0</v>
          </cell>
          <cell r="AD37">
            <v>2</v>
          </cell>
          <cell r="AE37">
            <v>0</v>
          </cell>
          <cell r="AF37">
            <v>2</v>
          </cell>
          <cell r="AG37">
            <v>0</v>
          </cell>
          <cell r="AH37">
            <v>59</v>
          </cell>
          <cell r="AI37">
            <v>164</v>
          </cell>
          <cell r="AJ37">
            <v>59</v>
          </cell>
          <cell r="AK37">
            <v>10</v>
          </cell>
        </row>
        <row r="38">
          <cell r="C38">
            <v>350123036</v>
          </cell>
          <cell r="D38">
            <v>11</v>
          </cell>
          <cell r="E38">
            <v>6.5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8</v>
          </cell>
          <cell r="S38">
            <v>28</v>
          </cell>
          <cell r="T38">
            <v>7</v>
          </cell>
          <cell r="U38">
            <v>9</v>
          </cell>
          <cell r="V38">
            <v>0</v>
          </cell>
          <cell r="W38">
            <v>0</v>
          </cell>
          <cell r="X38">
            <v>56</v>
          </cell>
          <cell r="Y38">
            <v>23</v>
          </cell>
          <cell r="Z38">
            <v>0</v>
          </cell>
          <cell r="AA38">
            <v>19</v>
          </cell>
          <cell r="AB38">
            <v>0</v>
          </cell>
          <cell r="AC38">
            <v>10</v>
          </cell>
          <cell r="AD38">
            <v>13</v>
          </cell>
          <cell r="AE38">
            <v>0</v>
          </cell>
          <cell r="AF38">
            <v>8</v>
          </cell>
          <cell r="AG38">
            <v>0</v>
          </cell>
          <cell r="AH38">
            <v>24</v>
          </cell>
          <cell r="AI38">
            <v>227.5</v>
          </cell>
          <cell r="AJ38">
            <v>56</v>
          </cell>
          <cell r="AK38">
            <v>14</v>
          </cell>
        </row>
        <row r="39">
          <cell r="C39">
            <v>350123035</v>
          </cell>
          <cell r="D39">
            <v>17</v>
          </cell>
          <cell r="E39">
            <v>2</v>
          </cell>
          <cell r="F39">
            <v>0</v>
          </cell>
          <cell r="G39">
            <v>0</v>
          </cell>
          <cell r="H39">
            <v>19</v>
          </cell>
          <cell r="I39">
            <v>0</v>
          </cell>
          <cell r="J39">
            <v>0</v>
          </cell>
          <cell r="K39">
            <v>2</v>
          </cell>
          <cell r="L39">
            <v>0</v>
          </cell>
          <cell r="M39">
            <v>1</v>
          </cell>
          <cell r="N39">
            <v>0</v>
          </cell>
          <cell r="O39">
            <v>0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6</v>
          </cell>
          <cell r="U39">
            <v>1</v>
          </cell>
          <cell r="V39">
            <v>0</v>
          </cell>
          <cell r="W39">
            <v>0</v>
          </cell>
          <cell r="X39">
            <v>6</v>
          </cell>
          <cell r="Y39">
            <v>70</v>
          </cell>
          <cell r="Z39">
            <v>1</v>
          </cell>
          <cell r="AA39">
            <v>3</v>
          </cell>
          <cell r="AB39">
            <v>0</v>
          </cell>
          <cell r="AC39">
            <v>1</v>
          </cell>
          <cell r="AD39">
            <v>4</v>
          </cell>
          <cell r="AE39">
            <v>0</v>
          </cell>
          <cell r="AF39">
            <v>26</v>
          </cell>
          <cell r="AG39">
            <v>1</v>
          </cell>
          <cell r="AH39">
            <v>66</v>
          </cell>
          <cell r="AI39">
            <v>227</v>
          </cell>
          <cell r="AJ39">
            <v>70</v>
          </cell>
          <cell r="AK39">
            <v>17</v>
          </cell>
        </row>
        <row r="40">
          <cell r="C40">
            <v>350123034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7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3</v>
          </cell>
          <cell r="U40">
            <v>16</v>
          </cell>
          <cell r="V40">
            <v>0</v>
          </cell>
          <cell r="W40">
            <v>0</v>
          </cell>
          <cell r="X40">
            <v>2</v>
          </cell>
          <cell r="Y40">
            <v>52</v>
          </cell>
          <cell r="Z40">
            <v>0</v>
          </cell>
          <cell r="AA40">
            <v>8</v>
          </cell>
          <cell r="AB40">
            <v>9</v>
          </cell>
          <cell r="AC40">
            <v>4</v>
          </cell>
          <cell r="AD40">
            <v>1</v>
          </cell>
          <cell r="AE40">
            <v>3</v>
          </cell>
          <cell r="AF40">
            <v>7</v>
          </cell>
          <cell r="AG40">
            <v>6</v>
          </cell>
          <cell r="AH40">
            <v>68</v>
          </cell>
          <cell r="AI40">
            <v>186</v>
          </cell>
          <cell r="AJ40">
            <v>68</v>
          </cell>
          <cell r="AK40">
            <v>13</v>
          </cell>
        </row>
        <row r="41">
          <cell r="C41">
            <v>350123033</v>
          </cell>
          <cell r="D41">
            <v>12</v>
          </cell>
          <cell r="E41">
            <v>25</v>
          </cell>
          <cell r="F41">
            <v>0</v>
          </cell>
          <cell r="G41">
            <v>0</v>
          </cell>
          <cell r="H41">
            <v>16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16</v>
          </cell>
          <cell r="T41">
            <v>3.5</v>
          </cell>
          <cell r="U41">
            <v>13</v>
          </cell>
          <cell r="V41">
            <v>0</v>
          </cell>
          <cell r="W41">
            <v>0</v>
          </cell>
          <cell r="X41">
            <v>26.5</v>
          </cell>
          <cell r="Y41">
            <v>48</v>
          </cell>
          <cell r="Z41">
            <v>0</v>
          </cell>
          <cell r="AA41">
            <v>8</v>
          </cell>
          <cell r="AB41">
            <v>0</v>
          </cell>
          <cell r="AC41">
            <v>1</v>
          </cell>
          <cell r="AD41">
            <v>0</v>
          </cell>
          <cell r="AE41">
            <v>0</v>
          </cell>
          <cell r="AF41">
            <v>6</v>
          </cell>
          <cell r="AG41">
            <v>0</v>
          </cell>
          <cell r="AH41">
            <v>64</v>
          </cell>
          <cell r="AI41">
            <v>239</v>
          </cell>
          <cell r="AJ41">
            <v>64</v>
          </cell>
          <cell r="AK41">
            <v>12</v>
          </cell>
        </row>
        <row r="42">
          <cell r="C42">
            <v>350123032</v>
          </cell>
          <cell r="D42">
            <v>87</v>
          </cell>
          <cell r="E42">
            <v>0</v>
          </cell>
          <cell r="F42">
            <v>0</v>
          </cell>
          <cell r="G42">
            <v>5</v>
          </cell>
          <cell r="H42">
            <v>0</v>
          </cell>
          <cell r="I42">
            <v>35</v>
          </cell>
          <cell r="J42">
            <v>0</v>
          </cell>
          <cell r="K42">
            <v>9</v>
          </cell>
          <cell r="L42">
            <v>0</v>
          </cell>
          <cell r="M42">
            <v>21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58</v>
          </cell>
          <cell r="U42">
            <v>24</v>
          </cell>
          <cell r="V42">
            <v>0</v>
          </cell>
          <cell r="W42">
            <v>2</v>
          </cell>
          <cell r="X42">
            <v>13</v>
          </cell>
          <cell r="Y42">
            <v>78</v>
          </cell>
          <cell r="Z42">
            <v>15</v>
          </cell>
          <cell r="AA42">
            <v>7</v>
          </cell>
          <cell r="AB42">
            <v>2</v>
          </cell>
          <cell r="AC42">
            <v>0</v>
          </cell>
          <cell r="AD42">
            <v>27</v>
          </cell>
          <cell r="AE42">
            <v>1</v>
          </cell>
          <cell r="AF42">
            <v>9</v>
          </cell>
          <cell r="AG42">
            <v>1</v>
          </cell>
          <cell r="AH42">
            <v>15</v>
          </cell>
          <cell r="AI42">
            <v>409</v>
          </cell>
          <cell r="AJ42">
            <v>87</v>
          </cell>
          <cell r="AK42">
            <v>18</v>
          </cell>
        </row>
        <row r="43">
          <cell r="C43">
            <v>350123031</v>
          </cell>
          <cell r="D43">
            <v>21</v>
          </cell>
          <cell r="E43">
            <v>0</v>
          </cell>
          <cell r="F43">
            <v>0</v>
          </cell>
          <cell r="G43">
            <v>0</v>
          </cell>
          <cell r="H43">
            <v>18</v>
          </cell>
          <cell r="I43">
            <v>21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9</v>
          </cell>
          <cell r="U43">
            <v>15</v>
          </cell>
          <cell r="V43">
            <v>0</v>
          </cell>
          <cell r="W43">
            <v>0</v>
          </cell>
          <cell r="X43">
            <v>0</v>
          </cell>
          <cell r="Y43">
            <v>13</v>
          </cell>
          <cell r="Z43">
            <v>4</v>
          </cell>
          <cell r="AA43">
            <v>4</v>
          </cell>
          <cell r="AB43">
            <v>2</v>
          </cell>
          <cell r="AC43">
            <v>0</v>
          </cell>
          <cell r="AD43">
            <v>11</v>
          </cell>
          <cell r="AE43">
            <v>0</v>
          </cell>
          <cell r="AF43">
            <v>2</v>
          </cell>
          <cell r="AG43">
            <v>2</v>
          </cell>
          <cell r="AH43">
            <v>20</v>
          </cell>
          <cell r="AI43">
            <v>142</v>
          </cell>
          <cell r="AJ43">
            <v>21</v>
          </cell>
          <cell r="AK43">
            <v>13</v>
          </cell>
        </row>
        <row r="44">
          <cell r="C44">
            <v>350123030</v>
          </cell>
          <cell r="D44">
            <v>4</v>
          </cell>
          <cell r="E44">
            <v>57</v>
          </cell>
          <cell r="F44">
            <v>0</v>
          </cell>
          <cell r="G44">
            <v>12</v>
          </cell>
          <cell r="H44">
            <v>4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6</v>
          </cell>
          <cell r="N44">
            <v>0</v>
          </cell>
          <cell r="O44">
            <v>39</v>
          </cell>
          <cell r="P44">
            <v>0</v>
          </cell>
          <cell r="Q44">
            <v>0</v>
          </cell>
          <cell r="R44">
            <v>13</v>
          </cell>
          <cell r="S44">
            <v>0</v>
          </cell>
          <cell r="T44">
            <v>36</v>
          </cell>
          <cell r="U44">
            <v>26</v>
          </cell>
          <cell r="V44">
            <v>23</v>
          </cell>
          <cell r="W44">
            <v>9</v>
          </cell>
          <cell r="X44">
            <v>38</v>
          </cell>
          <cell r="Y44">
            <v>26</v>
          </cell>
          <cell r="Z44">
            <v>16</v>
          </cell>
          <cell r="AA44">
            <v>19</v>
          </cell>
          <cell r="AB44">
            <v>0</v>
          </cell>
          <cell r="AC44">
            <v>3</v>
          </cell>
          <cell r="AD44">
            <v>17</v>
          </cell>
          <cell r="AE44">
            <v>0</v>
          </cell>
          <cell r="AF44">
            <v>14</v>
          </cell>
          <cell r="AG44">
            <v>11</v>
          </cell>
          <cell r="AH44">
            <v>5</v>
          </cell>
          <cell r="AI44">
            <v>378</v>
          </cell>
          <cell r="AJ44">
            <v>57</v>
          </cell>
          <cell r="AK44">
            <v>20</v>
          </cell>
        </row>
        <row r="45">
          <cell r="C45">
            <v>350123029</v>
          </cell>
          <cell r="D45">
            <v>49</v>
          </cell>
          <cell r="E45">
            <v>22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51</v>
          </cell>
          <cell r="V45">
            <v>0</v>
          </cell>
          <cell r="W45">
            <v>0</v>
          </cell>
          <cell r="X45">
            <v>1</v>
          </cell>
          <cell r="Y45">
            <v>41</v>
          </cell>
          <cell r="Z45">
            <v>0</v>
          </cell>
          <cell r="AA45">
            <v>16</v>
          </cell>
          <cell r="AB45">
            <v>16</v>
          </cell>
          <cell r="AC45">
            <v>1</v>
          </cell>
          <cell r="AD45">
            <v>7</v>
          </cell>
          <cell r="AE45">
            <v>0</v>
          </cell>
          <cell r="AF45">
            <v>12</v>
          </cell>
          <cell r="AG45">
            <v>7</v>
          </cell>
          <cell r="AH45">
            <v>68</v>
          </cell>
          <cell r="AI45">
            <v>291</v>
          </cell>
          <cell r="AJ45">
            <v>68</v>
          </cell>
          <cell r="AK45">
            <v>12</v>
          </cell>
        </row>
        <row r="46">
          <cell r="C46">
            <v>350123028</v>
          </cell>
          <cell r="D46">
            <v>35</v>
          </cell>
          <cell r="E46">
            <v>30</v>
          </cell>
          <cell r="F46">
            <v>1</v>
          </cell>
          <cell r="G46">
            <v>14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1</v>
          </cell>
          <cell r="S46">
            <v>5</v>
          </cell>
          <cell r="T46">
            <v>17</v>
          </cell>
          <cell r="U46">
            <v>15</v>
          </cell>
          <cell r="V46">
            <v>0</v>
          </cell>
          <cell r="W46">
            <v>0</v>
          </cell>
          <cell r="X46">
            <v>34</v>
          </cell>
          <cell r="Y46">
            <v>28</v>
          </cell>
          <cell r="Z46">
            <v>1</v>
          </cell>
          <cell r="AA46">
            <v>10</v>
          </cell>
          <cell r="AB46">
            <v>0</v>
          </cell>
          <cell r="AC46">
            <v>23</v>
          </cell>
          <cell r="AD46">
            <v>6</v>
          </cell>
          <cell r="AE46">
            <v>0</v>
          </cell>
          <cell r="AF46">
            <v>8</v>
          </cell>
          <cell r="AG46">
            <v>2</v>
          </cell>
          <cell r="AH46">
            <v>79</v>
          </cell>
          <cell r="AI46">
            <v>314</v>
          </cell>
          <cell r="AJ46">
            <v>79</v>
          </cell>
          <cell r="AK46">
            <v>18</v>
          </cell>
        </row>
        <row r="47">
          <cell r="C47">
            <v>350123027</v>
          </cell>
          <cell r="D47">
            <v>31</v>
          </cell>
          <cell r="E47">
            <v>9</v>
          </cell>
          <cell r="F47">
            <v>0</v>
          </cell>
          <cell r="G47">
            <v>26</v>
          </cell>
          <cell r="H47">
            <v>16</v>
          </cell>
          <cell r="I47">
            <v>17</v>
          </cell>
          <cell r="J47">
            <v>0</v>
          </cell>
          <cell r="K47">
            <v>0</v>
          </cell>
          <cell r="L47">
            <v>0</v>
          </cell>
          <cell r="M47">
            <v>2</v>
          </cell>
          <cell r="N47">
            <v>0</v>
          </cell>
          <cell r="O47">
            <v>0</v>
          </cell>
          <cell r="P47">
            <v>0</v>
          </cell>
          <cell r="Q47">
            <v>1</v>
          </cell>
          <cell r="R47">
            <v>30</v>
          </cell>
          <cell r="S47">
            <v>0</v>
          </cell>
          <cell r="T47">
            <v>20</v>
          </cell>
          <cell r="U47">
            <v>49</v>
          </cell>
          <cell r="V47">
            <v>1</v>
          </cell>
          <cell r="W47">
            <v>0</v>
          </cell>
          <cell r="X47">
            <v>40</v>
          </cell>
          <cell r="Y47">
            <v>3</v>
          </cell>
          <cell r="Z47">
            <v>8</v>
          </cell>
          <cell r="AA47">
            <v>5</v>
          </cell>
          <cell r="AB47">
            <v>0</v>
          </cell>
          <cell r="AC47">
            <v>10</v>
          </cell>
          <cell r="AD47">
            <v>27</v>
          </cell>
          <cell r="AE47">
            <v>0</v>
          </cell>
          <cell r="AF47">
            <v>22</v>
          </cell>
          <cell r="AG47">
            <v>15</v>
          </cell>
          <cell r="AH47">
            <v>38</v>
          </cell>
          <cell r="AI47">
            <v>370</v>
          </cell>
          <cell r="AJ47">
            <v>49</v>
          </cell>
          <cell r="AK47">
            <v>20</v>
          </cell>
        </row>
        <row r="48">
          <cell r="C48">
            <v>350123026</v>
          </cell>
          <cell r="D48">
            <v>36</v>
          </cell>
          <cell r="E48">
            <v>8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7</v>
          </cell>
          <cell r="S48">
            <v>1</v>
          </cell>
          <cell r="T48">
            <v>6</v>
          </cell>
          <cell r="U48">
            <v>7</v>
          </cell>
          <cell r="V48">
            <v>0</v>
          </cell>
          <cell r="W48">
            <v>38</v>
          </cell>
          <cell r="X48">
            <v>10</v>
          </cell>
          <cell r="Y48">
            <v>39</v>
          </cell>
          <cell r="Z48">
            <v>16</v>
          </cell>
          <cell r="AA48">
            <v>6</v>
          </cell>
          <cell r="AB48">
            <v>0</v>
          </cell>
          <cell r="AC48">
            <v>1</v>
          </cell>
          <cell r="AD48">
            <v>20</v>
          </cell>
          <cell r="AE48">
            <v>0</v>
          </cell>
          <cell r="AF48">
            <v>5</v>
          </cell>
          <cell r="AG48">
            <v>0</v>
          </cell>
          <cell r="AH48">
            <v>5</v>
          </cell>
          <cell r="AI48">
            <v>207</v>
          </cell>
          <cell r="AJ48">
            <v>39</v>
          </cell>
          <cell r="AK48">
            <v>16</v>
          </cell>
        </row>
        <row r="49">
          <cell r="C49">
            <v>350123025</v>
          </cell>
          <cell r="D49">
            <v>80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10</v>
          </cell>
          <cell r="T49">
            <v>82</v>
          </cell>
          <cell r="U49">
            <v>46</v>
          </cell>
          <cell r="V49">
            <v>52</v>
          </cell>
          <cell r="W49">
            <v>0</v>
          </cell>
          <cell r="X49">
            <v>80</v>
          </cell>
          <cell r="Y49">
            <v>42</v>
          </cell>
          <cell r="Z49">
            <v>20</v>
          </cell>
          <cell r="AA49">
            <v>16</v>
          </cell>
          <cell r="AB49">
            <v>0</v>
          </cell>
          <cell r="AC49">
            <v>10</v>
          </cell>
          <cell r="AD49">
            <v>34</v>
          </cell>
          <cell r="AE49">
            <v>0</v>
          </cell>
          <cell r="AF49">
            <v>14</v>
          </cell>
          <cell r="AG49">
            <v>22</v>
          </cell>
          <cell r="AH49">
            <v>70</v>
          </cell>
          <cell r="AI49">
            <v>578</v>
          </cell>
          <cell r="AJ49">
            <v>82</v>
          </cell>
          <cell r="AK49">
            <v>14</v>
          </cell>
        </row>
        <row r="50">
          <cell r="C50">
            <v>350123024</v>
          </cell>
          <cell r="D50">
            <v>13</v>
          </cell>
          <cell r="E50">
            <v>0</v>
          </cell>
          <cell r="F50">
            <v>0</v>
          </cell>
          <cell r="G50">
            <v>13</v>
          </cell>
          <cell r="H50">
            <v>32</v>
          </cell>
          <cell r="I50">
            <v>15</v>
          </cell>
          <cell r="J50">
            <v>0</v>
          </cell>
          <cell r="K50">
            <v>0</v>
          </cell>
          <cell r="L50">
            <v>0</v>
          </cell>
          <cell r="M50">
            <v>13.5</v>
          </cell>
          <cell r="N50">
            <v>22</v>
          </cell>
          <cell r="O50">
            <v>0</v>
          </cell>
          <cell r="P50">
            <v>2</v>
          </cell>
          <cell r="Q50">
            <v>21</v>
          </cell>
          <cell r="R50">
            <v>13.5</v>
          </cell>
          <cell r="S50">
            <v>0</v>
          </cell>
          <cell r="T50">
            <v>36.5</v>
          </cell>
          <cell r="U50">
            <v>1.5</v>
          </cell>
          <cell r="V50">
            <v>24.5</v>
          </cell>
          <cell r="W50">
            <v>4</v>
          </cell>
          <cell r="X50">
            <v>10</v>
          </cell>
          <cell r="Y50">
            <v>64</v>
          </cell>
          <cell r="Z50">
            <v>10</v>
          </cell>
          <cell r="AA50">
            <v>9</v>
          </cell>
          <cell r="AB50">
            <v>0</v>
          </cell>
          <cell r="AC50">
            <v>0</v>
          </cell>
          <cell r="AD50">
            <v>28</v>
          </cell>
          <cell r="AE50">
            <v>0</v>
          </cell>
          <cell r="AF50">
            <v>11</v>
          </cell>
          <cell r="AG50">
            <v>0</v>
          </cell>
          <cell r="AH50">
            <v>20</v>
          </cell>
          <cell r="AI50">
            <v>363.5</v>
          </cell>
          <cell r="AJ50">
            <v>64</v>
          </cell>
          <cell r="AK50">
            <v>20</v>
          </cell>
        </row>
        <row r="51">
          <cell r="C51">
            <v>350123023</v>
          </cell>
          <cell r="D51">
            <v>26</v>
          </cell>
          <cell r="E51">
            <v>23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12</v>
          </cell>
          <cell r="N51">
            <v>0</v>
          </cell>
          <cell r="O51">
            <v>8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24</v>
          </cell>
          <cell r="U51">
            <v>3</v>
          </cell>
          <cell r="V51">
            <v>5</v>
          </cell>
          <cell r="W51">
            <v>0</v>
          </cell>
          <cell r="X51">
            <v>12</v>
          </cell>
          <cell r="Y51">
            <v>8</v>
          </cell>
          <cell r="Z51">
            <v>11</v>
          </cell>
          <cell r="AA51">
            <v>5</v>
          </cell>
          <cell r="AB51">
            <v>0</v>
          </cell>
          <cell r="AC51">
            <v>8</v>
          </cell>
          <cell r="AD51">
            <v>12</v>
          </cell>
          <cell r="AE51">
            <v>0</v>
          </cell>
          <cell r="AF51">
            <v>9</v>
          </cell>
          <cell r="AG51">
            <v>5</v>
          </cell>
          <cell r="AH51">
            <v>0</v>
          </cell>
          <cell r="AI51">
            <v>171</v>
          </cell>
          <cell r="AJ51">
            <v>26</v>
          </cell>
          <cell r="AK51">
            <v>15</v>
          </cell>
        </row>
        <row r="52">
          <cell r="C52">
            <v>350123022</v>
          </cell>
          <cell r="D52">
            <v>30</v>
          </cell>
          <cell r="E52">
            <v>4</v>
          </cell>
          <cell r="F52">
            <v>0</v>
          </cell>
          <cell r="G52">
            <v>6</v>
          </cell>
          <cell r="H52">
            <v>1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</v>
          </cell>
          <cell r="U52">
            <v>3</v>
          </cell>
          <cell r="V52">
            <v>0</v>
          </cell>
          <cell r="W52">
            <v>0</v>
          </cell>
          <cell r="X52">
            <v>10</v>
          </cell>
          <cell r="Y52">
            <v>40</v>
          </cell>
          <cell r="Z52">
            <v>11</v>
          </cell>
          <cell r="AA52">
            <v>4</v>
          </cell>
          <cell r="AB52">
            <v>0</v>
          </cell>
          <cell r="AC52">
            <v>1</v>
          </cell>
          <cell r="AD52">
            <v>11</v>
          </cell>
          <cell r="AE52">
            <v>0</v>
          </cell>
          <cell r="AF52">
            <v>2</v>
          </cell>
          <cell r="AG52">
            <v>0</v>
          </cell>
          <cell r="AH52">
            <v>20</v>
          </cell>
          <cell r="AI52">
            <v>148</v>
          </cell>
          <cell r="AJ52">
            <v>40</v>
          </cell>
          <cell r="AK52">
            <v>14</v>
          </cell>
        </row>
        <row r="53">
          <cell r="C53">
            <v>350123021</v>
          </cell>
          <cell r="D53">
            <v>97</v>
          </cell>
          <cell r="E53">
            <v>0</v>
          </cell>
          <cell r="F53">
            <v>0</v>
          </cell>
          <cell r="G53">
            <v>43</v>
          </cell>
          <cell r="H53">
            <v>16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35</v>
          </cell>
          <cell r="O53">
            <v>0</v>
          </cell>
          <cell r="P53">
            <v>0</v>
          </cell>
          <cell r="Q53">
            <v>0</v>
          </cell>
          <cell r="R53">
            <v>10</v>
          </cell>
          <cell r="S53">
            <v>0</v>
          </cell>
          <cell r="T53">
            <v>25</v>
          </cell>
          <cell r="U53">
            <v>36</v>
          </cell>
          <cell r="V53">
            <v>25</v>
          </cell>
          <cell r="W53">
            <v>13</v>
          </cell>
          <cell r="X53">
            <v>21</v>
          </cell>
          <cell r="Y53">
            <v>49</v>
          </cell>
          <cell r="Z53">
            <v>7</v>
          </cell>
          <cell r="AA53">
            <v>7</v>
          </cell>
          <cell r="AB53">
            <v>0</v>
          </cell>
          <cell r="AC53">
            <v>0</v>
          </cell>
          <cell r="AD53">
            <v>34</v>
          </cell>
          <cell r="AE53">
            <v>0</v>
          </cell>
          <cell r="AF53">
            <v>12</v>
          </cell>
          <cell r="AG53">
            <v>0</v>
          </cell>
          <cell r="AH53">
            <v>13</v>
          </cell>
          <cell r="AI53">
            <v>443</v>
          </cell>
          <cell r="AJ53">
            <v>97</v>
          </cell>
          <cell r="AK53">
            <v>16</v>
          </cell>
        </row>
        <row r="54">
          <cell r="C54">
            <v>350123020</v>
          </cell>
          <cell r="D54">
            <v>3</v>
          </cell>
          <cell r="E54">
            <v>1</v>
          </cell>
          <cell r="F54">
            <v>0</v>
          </cell>
          <cell r="G54">
            <v>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80</v>
          </cell>
          <cell r="U54">
            <v>13</v>
          </cell>
          <cell r="V54">
            <v>1</v>
          </cell>
          <cell r="W54">
            <v>0</v>
          </cell>
          <cell r="X54">
            <v>71</v>
          </cell>
          <cell r="Y54">
            <v>3</v>
          </cell>
          <cell r="Z54">
            <v>3</v>
          </cell>
          <cell r="AA54">
            <v>16</v>
          </cell>
          <cell r="AB54">
            <v>6</v>
          </cell>
          <cell r="AC54">
            <v>21</v>
          </cell>
          <cell r="AD54">
            <v>23</v>
          </cell>
          <cell r="AE54">
            <v>0</v>
          </cell>
          <cell r="AF54">
            <v>7</v>
          </cell>
          <cell r="AG54">
            <v>30</v>
          </cell>
          <cell r="AH54">
            <v>27</v>
          </cell>
          <cell r="AI54">
            <v>306</v>
          </cell>
          <cell r="AJ54">
            <v>80</v>
          </cell>
          <cell r="AK54">
            <v>16</v>
          </cell>
        </row>
        <row r="55">
          <cell r="C55">
            <v>350123019</v>
          </cell>
          <cell r="D55">
            <v>9</v>
          </cell>
          <cell r="E55">
            <v>0</v>
          </cell>
          <cell r="F55">
            <v>3</v>
          </cell>
          <cell r="G55">
            <v>19</v>
          </cell>
          <cell r="H55">
            <v>5</v>
          </cell>
          <cell r="I55">
            <v>1</v>
          </cell>
          <cell r="J55">
            <v>0</v>
          </cell>
          <cell r="K55">
            <v>5</v>
          </cell>
          <cell r="L55">
            <v>1</v>
          </cell>
          <cell r="M55">
            <v>4</v>
          </cell>
          <cell r="N55">
            <v>2</v>
          </cell>
          <cell r="O55">
            <v>8</v>
          </cell>
          <cell r="P55">
            <v>5</v>
          </cell>
          <cell r="Q55">
            <v>25</v>
          </cell>
          <cell r="R55">
            <v>11</v>
          </cell>
          <cell r="S55">
            <v>0</v>
          </cell>
          <cell r="T55">
            <v>50</v>
          </cell>
          <cell r="U55">
            <v>42</v>
          </cell>
          <cell r="V55">
            <v>50</v>
          </cell>
          <cell r="W55">
            <v>24</v>
          </cell>
          <cell r="X55">
            <v>3</v>
          </cell>
          <cell r="Y55">
            <v>44</v>
          </cell>
          <cell r="Z55">
            <v>6</v>
          </cell>
          <cell r="AA55">
            <v>8</v>
          </cell>
          <cell r="AB55">
            <v>0</v>
          </cell>
          <cell r="AC55">
            <v>3</v>
          </cell>
          <cell r="AD55">
            <v>15.5</v>
          </cell>
          <cell r="AE55">
            <v>0</v>
          </cell>
          <cell r="AF55">
            <v>16.5</v>
          </cell>
          <cell r="AG55">
            <v>3</v>
          </cell>
          <cell r="AH55">
            <v>0</v>
          </cell>
          <cell r="AI55">
            <v>363</v>
          </cell>
          <cell r="AJ55">
            <v>50</v>
          </cell>
          <cell r="AK55">
            <v>25</v>
          </cell>
        </row>
        <row r="56">
          <cell r="C56">
            <v>350123018</v>
          </cell>
          <cell r="D56">
            <v>9</v>
          </cell>
          <cell r="E56">
            <v>3</v>
          </cell>
          <cell r="F56">
            <v>0</v>
          </cell>
          <cell r="G56">
            <v>30</v>
          </cell>
          <cell r="H56">
            <v>15</v>
          </cell>
          <cell r="I56">
            <v>12</v>
          </cell>
          <cell r="J56">
            <v>0</v>
          </cell>
          <cell r="K56">
            <v>14</v>
          </cell>
          <cell r="L56">
            <v>0</v>
          </cell>
          <cell r="M56">
            <v>0</v>
          </cell>
          <cell r="N56">
            <v>0</v>
          </cell>
          <cell r="O56">
            <v>24</v>
          </cell>
          <cell r="P56">
            <v>0</v>
          </cell>
          <cell r="Q56">
            <v>0</v>
          </cell>
          <cell r="R56">
            <v>7</v>
          </cell>
          <cell r="S56">
            <v>1</v>
          </cell>
          <cell r="T56">
            <v>53</v>
          </cell>
          <cell r="U56">
            <v>5</v>
          </cell>
          <cell r="V56">
            <v>4</v>
          </cell>
          <cell r="W56">
            <v>0</v>
          </cell>
          <cell r="X56">
            <v>26</v>
          </cell>
          <cell r="Y56">
            <v>9</v>
          </cell>
          <cell r="Z56">
            <v>7</v>
          </cell>
          <cell r="AA56">
            <v>8</v>
          </cell>
          <cell r="AB56">
            <v>0</v>
          </cell>
          <cell r="AC56">
            <v>3</v>
          </cell>
          <cell r="AD56">
            <v>28</v>
          </cell>
          <cell r="AE56">
            <v>0</v>
          </cell>
          <cell r="AF56">
            <v>12</v>
          </cell>
          <cell r="AG56">
            <v>0</v>
          </cell>
          <cell r="AH56">
            <v>17</v>
          </cell>
          <cell r="AI56">
            <v>287</v>
          </cell>
          <cell r="AJ56">
            <v>53</v>
          </cell>
          <cell r="AK56">
            <v>20</v>
          </cell>
        </row>
        <row r="57">
          <cell r="C57">
            <v>350123017</v>
          </cell>
          <cell r="D57">
            <v>41</v>
          </cell>
          <cell r="E57">
            <v>38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3</v>
          </cell>
          <cell r="K57">
            <v>11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</v>
          </cell>
          <cell r="Q57">
            <v>0</v>
          </cell>
          <cell r="R57">
            <v>67</v>
          </cell>
          <cell r="S57">
            <v>32</v>
          </cell>
          <cell r="T57">
            <v>11</v>
          </cell>
          <cell r="U57">
            <v>24</v>
          </cell>
          <cell r="V57">
            <v>0</v>
          </cell>
          <cell r="W57">
            <v>5</v>
          </cell>
          <cell r="X57">
            <v>10</v>
          </cell>
          <cell r="Y57">
            <v>49</v>
          </cell>
          <cell r="Z57">
            <v>0</v>
          </cell>
          <cell r="AA57">
            <v>9</v>
          </cell>
          <cell r="AB57">
            <v>0</v>
          </cell>
          <cell r="AC57">
            <v>1</v>
          </cell>
          <cell r="AD57">
            <v>14</v>
          </cell>
          <cell r="AE57">
            <v>0</v>
          </cell>
          <cell r="AF57">
            <v>6</v>
          </cell>
          <cell r="AG57">
            <v>0</v>
          </cell>
          <cell r="AH57">
            <v>86</v>
          </cell>
          <cell r="AI57">
            <v>410</v>
          </cell>
          <cell r="AJ57">
            <v>86</v>
          </cell>
          <cell r="AK57">
            <v>17</v>
          </cell>
        </row>
        <row r="58">
          <cell r="C58">
            <v>350123016</v>
          </cell>
          <cell r="D58">
            <v>14</v>
          </cell>
          <cell r="E58">
            <v>2</v>
          </cell>
          <cell r="F58">
            <v>0</v>
          </cell>
          <cell r="G58">
            <v>0</v>
          </cell>
          <cell r="H58">
            <v>42</v>
          </cell>
          <cell r="I58">
            <v>1</v>
          </cell>
          <cell r="J58">
            <v>0</v>
          </cell>
          <cell r="K58">
            <v>28</v>
          </cell>
          <cell r="L58">
            <v>8</v>
          </cell>
          <cell r="M58">
            <v>4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4</v>
          </cell>
          <cell r="S58">
            <v>0</v>
          </cell>
          <cell r="T58">
            <v>18</v>
          </cell>
          <cell r="U58">
            <v>5</v>
          </cell>
          <cell r="V58">
            <v>0</v>
          </cell>
          <cell r="W58">
            <v>0</v>
          </cell>
          <cell r="X58">
            <v>10</v>
          </cell>
          <cell r="Y58">
            <v>66</v>
          </cell>
          <cell r="Z58">
            <v>10</v>
          </cell>
          <cell r="AA58">
            <v>11.5</v>
          </cell>
          <cell r="AB58">
            <v>0</v>
          </cell>
          <cell r="AC58">
            <v>0</v>
          </cell>
          <cell r="AD58">
            <v>16</v>
          </cell>
          <cell r="AE58">
            <v>0</v>
          </cell>
          <cell r="AF58">
            <v>7</v>
          </cell>
          <cell r="AG58">
            <v>2</v>
          </cell>
          <cell r="AH58">
            <v>22</v>
          </cell>
          <cell r="AI58">
            <v>270.5</v>
          </cell>
          <cell r="AJ58">
            <v>66</v>
          </cell>
          <cell r="AK58">
            <v>18</v>
          </cell>
        </row>
        <row r="59">
          <cell r="C59">
            <v>350123015</v>
          </cell>
          <cell r="D59">
            <v>6</v>
          </cell>
          <cell r="E59">
            <v>3</v>
          </cell>
          <cell r="F59">
            <v>0</v>
          </cell>
          <cell r="G59">
            <v>0</v>
          </cell>
          <cell r="H59">
            <v>2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9</v>
          </cell>
          <cell r="P59">
            <v>0</v>
          </cell>
          <cell r="Q59">
            <v>0</v>
          </cell>
          <cell r="R59">
            <v>3</v>
          </cell>
          <cell r="S59">
            <v>11</v>
          </cell>
          <cell r="T59">
            <v>26</v>
          </cell>
          <cell r="U59">
            <v>3</v>
          </cell>
          <cell r="V59">
            <v>6</v>
          </cell>
          <cell r="W59">
            <v>0</v>
          </cell>
          <cell r="X59">
            <v>31</v>
          </cell>
          <cell r="Y59">
            <v>11</v>
          </cell>
          <cell r="Z59">
            <v>2</v>
          </cell>
          <cell r="AA59">
            <v>2</v>
          </cell>
          <cell r="AB59">
            <v>5</v>
          </cell>
          <cell r="AC59">
            <v>0</v>
          </cell>
          <cell r="AD59">
            <v>11</v>
          </cell>
          <cell r="AE59">
            <v>6</v>
          </cell>
          <cell r="AF59">
            <v>0</v>
          </cell>
          <cell r="AG59">
            <v>0</v>
          </cell>
          <cell r="AH59">
            <v>25</v>
          </cell>
          <cell r="AI59">
            <v>162</v>
          </cell>
          <cell r="AJ59">
            <v>31</v>
          </cell>
          <cell r="AK59">
            <v>17</v>
          </cell>
        </row>
        <row r="60">
          <cell r="C60">
            <v>350123014</v>
          </cell>
          <cell r="D60">
            <v>52</v>
          </cell>
          <cell r="E60">
            <v>0</v>
          </cell>
          <cell r="F60">
            <v>0</v>
          </cell>
          <cell r="G60">
            <v>0</v>
          </cell>
          <cell r="H60">
            <v>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12</v>
          </cell>
          <cell r="P60">
            <v>0</v>
          </cell>
          <cell r="Q60">
            <v>0</v>
          </cell>
          <cell r="R60">
            <v>8</v>
          </cell>
          <cell r="S60">
            <v>0</v>
          </cell>
          <cell r="T60">
            <v>6</v>
          </cell>
          <cell r="U60">
            <v>0</v>
          </cell>
          <cell r="V60">
            <v>0</v>
          </cell>
          <cell r="W60">
            <v>0</v>
          </cell>
          <cell r="X60">
            <v>32</v>
          </cell>
          <cell r="Y60">
            <v>0</v>
          </cell>
          <cell r="Z60">
            <v>0</v>
          </cell>
          <cell r="AA60">
            <v>8</v>
          </cell>
          <cell r="AB60">
            <v>0</v>
          </cell>
          <cell r="AC60">
            <v>0</v>
          </cell>
          <cell r="AD60">
            <v>14</v>
          </cell>
          <cell r="AE60">
            <v>0</v>
          </cell>
          <cell r="AF60">
            <v>22</v>
          </cell>
          <cell r="AG60">
            <v>19</v>
          </cell>
          <cell r="AH60">
            <v>42</v>
          </cell>
          <cell r="AI60">
            <v>223</v>
          </cell>
          <cell r="AJ60">
            <v>52</v>
          </cell>
          <cell r="AK60">
            <v>11</v>
          </cell>
        </row>
        <row r="61">
          <cell r="C61">
            <v>350123013</v>
          </cell>
          <cell r="D61">
            <v>39</v>
          </cell>
          <cell r="E61">
            <v>0</v>
          </cell>
          <cell r="F61">
            <v>2</v>
          </cell>
          <cell r="G61">
            <v>0</v>
          </cell>
          <cell r="H61">
            <v>6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22</v>
          </cell>
          <cell r="T61">
            <v>5</v>
          </cell>
          <cell r="U61">
            <v>27</v>
          </cell>
          <cell r="V61">
            <v>0</v>
          </cell>
          <cell r="W61">
            <v>0</v>
          </cell>
          <cell r="X61">
            <v>17</v>
          </cell>
          <cell r="Y61">
            <v>17</v>
          </cell>
          <cell r="Z61">
            <v>6</v>
          </cell>
          <cell r="AA61">
            <v>9</v>
          </cell>
          <cell r="AB61">
            <v>2</v>
          </cell>
          <cell r="AC61">
            <v>0</v>
          </cell>
          <cell r="AD61">
            <v>9</v>
          </cell>
          <cell r="AE61">
            <v>0</v>
          </cell>
          <cell r="AF61">
            <v>3</v>
          </cell>
          <cell r="AG61">
            <v>0</v>
          </cell>
          <cell r="AH61">
            <v>24</v>
          </cell>
          <cell r="AI61">
            <v>188</v>
          </cell>
          <cell r="AJ61">
            <v>39</v>
          </cell>
          <cell r="AK61">
            <v>14</v>
          </cell>
        </row>
        <row r="62">
          <cell r="C62">
            <v>350123012</v>
          </cell>
          <cell r="D62">
            <v>25</v>
          </cell>
          <cell r="E62">
            <v>29</v>
          </cell>
          <cell r="F62">
            <v>0</v>
          </cell>
          <cell r="G62">
            <v>0</v>
          </cell>
          <cell r="H62">
            <v>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38</v>
          </cell>
          <cell r="U62">
            <v>10</v>
          </cell>
          <cell r="V62">
            <v>6</v>
          </cell>
          <cell r="W62">
            <v>11</v>
          </cell>
          <cell r="X62">
            <v>43</v>
          </cell>
          <cell r="Y62">
            <v>11</v>
          </cell>
          <cell r="Z62">
            <v>2</v>
          </cell>
          <cell r="AA62">
            <v>13</v>
          </cell>
          <cell r="AB62">
            <v>0</v>
          </cell>
          <cell r="AC62">
            <v>14</v>
          </cell>
          <cell r="AD62">
            <v>11</v>
          </cell>
          <cell r="AE62">
            <v>0</v>
          </cell>
          <cell r="AF62">
            <v>11</v>
          </cell>
          <cell r="AG62">
            <v>0</v>
          </cell>
          <cell r="AH62">
            <v>60</v>
          </cell>
          <cell r="AI62">
            <v>288</v>
          </cell>
          <cell r="AJ62">
            <v>60</v>
          </cell>
          <cell r="AK62">
            <v>15</v>
          </cell>
        </row>
        <row r="63">
          <cell r="C63">
            <v>350123011</v>
          </cell>
          <cell r="D63">
            <v>12</v>
          </cell>
          <cell r="E63">
            <v>30</v>
          </cell>
          <cell r="F63">
            <v>0</v>
          </cell>
          <cell r="G63">
            <v>0</v>
          </cell>
          <cell r="H63">
            <v>6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16</v>
          </cell>
          <cell r="T63">
            <v>8</v>
          </cell>
          <cell r="U63">
            <v>24</v>
          </cell>
          <cell r="V63">
            <v>0</v>
          </cell>
          <cell r="W63">
            <v>0</v>
          </cell>
          <cell r="X63">
            <v>8</v>
          </cell>
          <cell r="Y63">
            <v>18</v>
          </cell>
          <cell r="Z63">
            <v>0</v>
          </cell>
          <cell r="AA63">
            <v>14</v>
          </cell>
          <cell r="AB63">
            <v>0</v>
          </cell>
          <cell r="AC63">
            <v>4</v>
          </cell>
          <cell r="AD63">
            <v>3</v>
          </cell>
          <cell r="AE63">
            <v>0</v>
          </cell>
          <cell r="AF63">
            <v>11</v>
          </cell>
          <cell r="AG63">
            <v>0</v>
          </cell>
          <cell r="AH63">
            <v>75</v>
          </cell>
          <cell r="AI63">
            <v>229</v>
          </cell>
          <cell r="AJ63">
            <v>75</v>
          </cell>
          <cell r="AK63">
            <v>13</v>
          </cell>
        </row>
        <row r="64">
          <cell r="C64">
            <v>350123010</v>
          </cell>
          <cell r="D64">
            <v>6</v>
          </cell>
          <cell r="E64">
            <v>9</v>
          </cell>
          <cell r="F64">
            <v>0</v>
          </cell>
          <cell r="G64">
            <v>13</v>
          </cell>
          <cell r="H64">
            <v>2</v>
          </cell>
          <cell r="I64">
            <v>13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2</v>
          </cell>
          <cell r="P64">
            <v>0</v>
          </cell>
          <cell r="Q64">
            <v>0</v>
          </cell>
          <cell r="R64">
            <v>33</v>
          </cell>
          <cell r="S64">
            <v>0</v>
          </cell>
          <cell r="T64">
            <v>52</v>
          </cell>
          <cell r="U64">
            <v>7</v>
          </cell>
          <cell r="V64">
            <v>0</v>
          </cell>
          <cell r="W64">
            <v>0</v>
          </cell>
          <cell r="X64">
            <v>28</v>
          </cell>
          <cell r="Y64">
            <v>6</v>
          </cell>
          <cell r="Z64">
            <v>3</v>
          </cell>
          <cell r="AA64">
            <v>5</v>
          </cell>
          <cell r="AB64">
            <v>0</v>
          </cell>
          <cell r="AC64">
            <v>5</v>
          </cell>
          <cell r="AD64">
            <v>32</v>
          </cell>
          <cell r="AE64">
            <v>2</v>
          </cell>
          <cell r="AF64">
            <v>6</v>
          </cell>
          <cell r="AG64">
            <v>0</v>
          </cell>
          <cell r="AH64">
            <v>27</v>
          </cell>
          <cell r="AI64">
            <v>251</v>
          </cell>
          <cell r="AJ64">
            <v>52</v>
          </cell>
          <cell r="AK64">
            <v>18</v>
          </cell>
        </row>
        <row r="65">
          <cell r="C65">
            <v>350123009</v>
          </cell>
          <cell r="D65">
            <v>41.5</v>
          </cell>
          <cell r="E65">
            <v>16.5</v>
          </cell>
          <cell r="F65">
            <v>1</v>
          </cell>
          <cell r="G65">
            <v>0</v>
          </cell>
          <cell r="H65">
            <v>4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9</v>
          </cell>
          <cell r="N65">
            <v>0</v>
          </cell>
          <cell r="O65">
            <v>2</v>
          </cell>
          <cell r="P65">
            <v>0</v>
          </cell>
          <cell r="Q65">
            <v>0</v>
          </cell>
          <cell r="R65">
            <v>4.5</v>
          </cell>
          <cell r="S65">
            <v>19.5</v>
          </cell>
          <cell r="T65">
            <v>27</v>
          </cell>
          <cell r="U65">
            <v>1</v>
          </cell>
          <cell r="V65">
            <v>0</v>
          </cell>
          <cell r="W65">
            <v>12</v>
          </cell>
          <cell r="X65">
            <v>52</v>
          </cell>
          <cell r="Y65">
            <v>9</v>
          </cell>
          <cell r="Z65">
            <v>8</v>
          </cell>
          <cell r="AA65">
            <v>12</v>
          </cell>
          <cell r="AB65">
            <v>2</v>
          </cell>
          <cell r="AC65">
            <v>10</v>
          </cell>
          <cell r="AD65">
            <v>33</v>
          </cell>
          <cell r="AE65">
            <v>2</v>
          </cell>
          <cell r="AF65">
            <v>8</v>
          </cell>
          <cell r="AG65">
            <v>2</v>
          </cell>
          <cell r="AH65">
            <v>23</v>
          </cell>
          <cell r="AI65">
            <v>299</v>
          </cell>
          <cell r="AJ65">
            <v>52</v>
          </cell>
          <cell r="AK65">
            <v>22</v>
          </cell>
        </row>
        <row r="66">
          <cell r="C66">
            <v>350123008</v>
          </cell>
          <cell r="D66">
            <v>30</v>
          </cell>
          <cell r="E66">
            <v>25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5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53</v>
          </cell>
          <cell r="Q66">
            <v>0</v>
          </cell>
          <cell r="R66">
            <v>6</v>
          </cell>
          <cell r="S66">
            <v>0</v>
          </cell>
          <cell r="T66">
            <v>6</v>
          </cell>
          <cell r="U66">
            <v>16</v>
          </cell>
          <cell r="V66">
            <v>0</v>
          </cell>
          <cell r="W66">
            <v>0</v>
          </cell>
          <cell r="X66">
            <v>13</v>
          </cell>
          <cell r="Y66">
            <v>16</v>
          </cell>
          <cell r="Z66">
            <v>0</v>
          </cell>
          <cell r="AA66">
            <v>10</v>
          </cell>
          <cell r="AB66">
            <v>0</v>
          </cell>
          <cell r="AC66">
            <v>5</v>
          </cell>
          <cell r="AD66">
            <v>33</v>
          </cell>
          <cell r="AE66">
            <v>0</v>
          </cell>
          <cell r="AF66">
            <v>7</v>
          </cell>
          <cell r="AG66">
            <v>0</v>
          </cell>
          <cell r="AH66">
            <v>0</v>
          </cell>
          <cell r="AI66">
            <v>225</v>
          </cell>
          <cell r="AJ66">
            <v>53</v>
          </cell>
          <cell r="AK66">
            <v>13</v>
          </cell>
        </row>
        <row r="67">
          <cell r="C67">
            <v>350123007</v>
          </cell>
          <cell r="D67">
            <v>23</v>
          </cell>
          <cell r="E67">
            <v>4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39</v>
          </cell>
          <cell r="U67">
            <v>2</v>
          </cell>
          <cell r="V67">
            <v>11</v>
          </cell>
          <cell r="W67">
            <v>0</v>
          </cell>
          <cell r="X67">
            <v>13</v>
          </cell>
          <cell r="Y67">
            <v>14</v>
          </cell>
          <cell r="Z67">
            <v>3</v>
          </cell>
          <cell r="AA67">
            <v>8</v>
          </cell>
          <cell r="AB67">
            <v>0</v>
          </cell>
          <cell r="AC67">
            <v>8</v>
          </cell>
          <cell r="AD67">
            <v>0</v>
          </cell>
          <cell r="AE67">
            <v>0</v>
          </cell>
          <cell r="AF67">
            <v>9</v>
          </cell>
          <cell r="AG67">
            <v>9</v>
          </cell>
          <cell r="AH67">
            <v>50</v>
          </cell>
          <cell r="AI67">
            <v>193</v>
          </cell>
          <cell r="AJ67">
            <v>50</v>
          </cell>
          <cell r="AK67">
            <v>13</v>
          </cell>
        </row>
        <row r="68">
          <cell r="C68">
            <v>350123006</v>
          </cell>
          <cell r="D68">
            <v>7</v>
          </cell>
          <cell r="E68">
            <v>15</v>
          </cell>
          <cell r="F68">
            <v>0</v>
          </cell>
          <cell r="G68">
            <v>3</v>
          </cell>
          <cell r="H68">
            <v>84</v>
          </cell>
          <cell r="I68">
            <v>2</v>
          </cell>
          <cell r="J68">
            <v>0</v>
          </cell>
          <cell r="K68">
            <v>16</v>
          </cell>
          <cell r="L68">
            <v>0</v>
          </cell>
          <cell r="M68">
            <v>4</v>
          </cell>
          <cell r="N68">
            <v>0</v>
          </cell>
          <cell r="O68">
            <v>65</v>
          </cell>
          <cell r="P68">
            <v>2</v>
          </cell>
          <cell r="Q68">
            <v>0</v>
          </cell>
          <cell r="R68">
            <v>18</v>
          </cell>
          <cell r="S68">
            <v>0</v>
          </cell>
          <cell r="T68">
            <v>23</v>
          </cell>
          <cell r="U68">
            <v>26</v>
          </cell>
          <cell r="V68">
            <v>19</v>
          </cell>
          <cell r="W68">
            <v>16</v>
          </cell>
          <cell r="X68">
            <v>28</v>
          </cell>
          <cell r="Y68">
            <v>18</v>
          </cell>
          <cell r="Z68">
            <v>1</v>
          </cell>
          <cell r="AA68">
            <v>12</v>
          </cell>
          <cell r="AB68">
            <v>2</v>
          </cell>
          <cell r="AC68">
            <v>4</v>
          </cell>
          <cell r="AD68">
            <v>18</v>
          </cell>
          <cell r="AE68">
            <v>1</v>
          </cell>
          <cell r="AF68">
            <v>8</v>
          </cell>
          <cell r="AG68">
            <v>2</v>
          </cell>
          <cell r="AH68">
            <v>16</v>
          </cell>
          <cell r="AI68">
            <v>410</v>
          </cell>
          <cell r="AJ68">
            <v>84</v>
          </cell>
          <cell r="AK68">
            <v>25</v>
          </cell>
        </row>
        <row r="69">
          <cell r="C69">
            <v>350123005</v>
          </cell>
          <cell r="D69">
            <v>16</v>
          </cell>
          <cell r="E69">
            <v>6</v>
          </cell>
          <cell r="F69">
            <v>0</v>
          </cell>
          <cell r="G69">
            <v>1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34</v>
          </cell>
          <cell r="Q69">
            <v>0</v>
          </cell>
          <cell r="R69">
            <v>8</v>
          </cell>
          <cell r="S69">
            <v>41</v>
          </cell>
          <cell r="T69">
            <v>6</v>
          </cell>
          <cell r="U69">
            <v>0</v>
          </cell>
          <cell r="V69">
            <v>0</v>
          </cell>
          <cell r="W69">
            <v>0</v>
          </cell>
          <cell r="X69">
            <v>24</v>
          </cell>
          <cell r="Y69">
            <v>66</v>
          </cell>
          <cell r="Z69">
            <v>1</v>
          </cell>
          <cell r="AA69">
            <v>10</v>
          </cell>
          <cell r="AB69">
            <v>0</v>
          </cell>
          <cell r="AC69">
            <v>3</v>
          </cell>
          <cell r="AD69">
            <v>8</v>
          </cell>
          <cell r="AE69">
            <v>0</v>
          </cell>
          <cell r="AF69">
            <v>8</v>
          </cell>
          <cell r="AG69">
            <v>0</v>
          </cell>
          <cell r="AH69">
            <v>61</v>
          </cell>
          <cell r="AI69">
            <v>293</v>
          </cell>
          <cell r="AJ69">
            <v>66</v>
          </cell>
          <cell r="AK69">
            <v>15</v>
          </cell>
        </row>
        <row r="70">
          <cell r="C70">
            <v>350123004</v>
          </cell>
          <cell r="D70">
            <v>26</v>
          </cell>
          <cell r="E70">
            <v>9</v>
          </cell>
          <cell r="F70">
            <v>0</v>
          </cell>
          <cell r="G70">
            <v>0</v>
          </cell>
          <cell r="H70">
            <v>0</v>
          </cell>
          <cell r="I70">
            <v>3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14</v>
          </cell>
          <cell r="S70">
            <v>17</v>
          </cell>
          <cell r="T70">
            <v>6</v>
          </cell>
          <cell r="U70">
            <v>8</v>
          </cell>
          <cell r="V70">
            <v>0</v>
          </cell>
          <cell r="W70">
            <v>0</v>
          </cell>
          <cell r="X70">
            <v>30</v>
          </cell>
          <cell r="Y70">
            <v>43</v>
          </cell>
          <cell r="Z70">
            <v>0</v>
          </cell>
          <cell r="AA70">
            <v>13</v>
          </cell>
          <cell r="AB70">
            <v>7</v>
          </cell>
          <cell r="AC70">
            <v>0</v>
          </cell>
          <cell r="AD70">
            <v>19</v>
          </cell>
          <cell r="AE70">
            <v>0</v>
          </cell>
          <cell r="AF70">
            <v>6</v>
          </cell>
          <cell r="AG70">
            <v>14</v>
          </cell>
          <cell r="AH70">
            <v>78</v>
          </cell>
          <cell r="AI70">
            <v>293</v>
          </cell>
          <cell r="AJ70">
            <v>78</v>
          </cell>
          <cell r="AK70">
            <v>15</v>
          </cell>
        </row>
        <row r="71">
          <cell r="C71">
            <v>350123003</v>
          </cell>
          <cell r="D71">
            <v>40</v>
          </cell>
          <cell r="E71">
            <v>29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25</v>
          </cell>
          <cell r="S71">
            <v>0</v>
          </cell>
          <cell r="T71">
            <v>8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30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8</v>
          </cell>
          <cell r="AG71">
            <v>0</v>
          </cell>
          <cell r="AH71">
            <v>70</v>
          </cell>
          <cell r="AI71">
            <v>210</v>
          </cell>
          <cell r="AJ71">
            <v>70</v>
          </cell>
          <cell r="AK71">
            <v>7</v>
          </cell>
        </row>
        <row r="72">
          <cell r="C72">
            <v>350123002</v>
          </cell>
          <cell r="D72">
            <v>24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8</v>
          </cell>
          <cell r="T72">
            <v>88</v>
          </cell>
          <cell r="U72">
            <v>12</v>
          </cell>
          <cell r="V72">
            <v>3</v>
          </cell>
          <cell r="W72">
            <v>0</v>
          </cell>
          <cell r="X72">
            <v>80</v>
          </cell>
          <cell r="Y72">
            <v>22</v>
          </cell>
          <cell r="Z72">
            <v>7</v>
          </cell>
          <cell r="AA72">
            <v>9</v>
          </cell>
          <cell r="AB72">
            <v>0</v>
          </cell>
          <cell r="AC72">
            <v>11</v>
          </cell>
          <cell r="AD72">
            <v>13</v>
          </cell>
          <cell r="AE72">
            <v>0</v>
          </cell>
          <cell r="AF72">
            <v>11</v>
          </cell>
          <cell r="AG72">
            <v>6</v>
          </cell>
          <cell r="AH72">
            <v>60</v>
          </cell>
          <cell r="AI72">
            <v>354</v>
          </cell>
          <cell r="AJ72">
            <v>88</v>
          </cell>
          <cell r="AK72">
            <v>14</v>
          </cell>
        </row>
        <row r="73">
          <cell r="C73">
            <v>350123001</v>
          </cell>
          <cell r="D73">
            <v>26</v>
          </cell>
          <cell r="E73">
            <v>3</v>
          </cell>
          <cell r="F73">
            <v>0</v>
          </cell>
          <cell r="G73">
            <v>0</v>
          </cell>
          <cell r="H73">
            <v>4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13</v>
          </cell>
          <cell r="S73">
            <v>18</v>
          </cell>
          <cell r="T73">
            <v>51</v>
          </cell>
          <cell r="U73">
            <v>9</v>
          </cell>
          <cell r="V73">
            <v>0</v>
          </cell>
          <cell r="W73">
            <v>0</v>
          </cell>
          <cell r="X73">
            <v>89</v>
          </cell>
          <cell r="Y73">
            <v>8</v>
          </cell>
          <cell r="Z73">
            <v>29</v>
          </cell>
          <cell r="AA73">
            <v>32</v>
          </cell>
          <cell r="AB73">
            <v>0</v>
          </cell>
          <cell r="AC73">
            <v>3</v>
          </cell>
          <cell r="AD73">
            <v>34</v>
          </cell>
          <cell r="AE73">
            <v>5</v>
          </cell>
          <cell r="AF73">
            <v>22</v>
          </cell>
          <cell r="AG73">
            <v>8</v>
          </cell>
          <cell r="AH73">
            <v>36</v>
          </cell>
          <cell r="AI73">
            <v>390</v>
          </cell>
          <cell r="AJ73">
            <v>89</v>
          </cell>
          <cell r="AK73">
            <v>17</v>
          </cell>
        </row>
        <row r="74">
          <cell r="C74">
            <v>350122031</v>
          </cell>
          <cell r="D74">
            <v>14</v>
          </cell>
          <cell r="E74">
            <v>12</v>
          </cell>
          <cell r="F74">
            <v>0</v>
          </cell>
          <cell r="G74">
            <v>38</v>
          </cell>
          <cell r="H74">
            <v>4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4</v>
          </cell>
          <cell r="N74">
            <v>0</v>
          </cell>
          <cell r="O74">
            <v>0</v>
          </cell>
          <cell r="P74">
            <v>17</v>
          </cell>
          <cell r="Q74">
            <v>0</v>
          </cell>
          <cell r="R74">
            <v>10</v>
          </cell>
          <cell r="S74">
            <v>0</v>
          </cell>
          <cell r="T74">
            <v>27</v>
          </cell>
          <cell r="U74">
            <v>86</v>
          </cell>
          <cell r="V74">
            <v>10</v>
          </cell>
          <cell r="W74">
            <v>0</v>
          </cell>
          <cell r="X74">
            <v>54</v>
          </cell>
          <cell r="Y74">
            <v>14</v>
          </cell>
          <cell r="Z74">
            <v>10</v>
          </cell>
          <cell r="AA74">
            <v>0</v>
          </cell>
          <cell r="AB74">
            <v>0</v>
          </cell>
          <cell r="AC74">
            <v>0</v>
          </cell>
          <cell r="AD74">
            <v>39</v>
          </cell>
          <cell r="AE74">
            <v>0</v>
          </cell>
          <cell r="AF74">
            <v>13</v>
          </cell>
          <cell r="AG74">
            <v>0</v>
          </cell>
          <cell r="AH74">
            <v>0</v>
          </cell>
          <cell r="AI74">
            <v>352</v>
          </cell>
          <cell r="AJ74">
            <v>86</v>
          </cell>
          <cell r="AK74">
            <v>15</v>
          </cell>
        </row>
        <row r="75">
          <cell r="C75">
            <v>350122030</v>
          </cell>
          <cell r="D75">
            <v>32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43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5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25</v>
          </cell>
          <cell r="AA75">
            <v>3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7</v>
          </cell>
          <cell r="AG75">
            <v>0</v>
          </cell>
          <cell r="AH75">
            <v>10</v>
          </cell>
          <cell r="AI75">
            <v>150</v>
          </cell>
          <cell r="AJ75">
            <v>43</v>
          </cell>
          <cell r="AK75">
            <v>8</v>
          </cell>
        </row>
        <row r="76">
          <cell r="C76">
            <v>350122029</v>
          </cell>
          <cell r="D76">
            <v>11</v>
          </cell>
          <cell r="E76">
            <v>1</v>
          </cell>
          <cell r="F76">
            <v>0</v>
          </cell>
          <cell r="G76">
            <v>19</v>
          </cell>
          <cell r="H76">
            <v>0</v>
          </cell>
          <cell r="I76">
            <v>1</v>
          </cell>
          <cell r="J76">
            <v>12</v>
          </cell>
          <cell r="K76">
            <v>0</v>
          </cell>
          <cell r="L76">
            <v>7</v>
          </cell>
          <cell r="M76">
            <v>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13</v>
          </cell>
          <cell r="S76">
            <v>26</v>
          </cell>
          <cell r="T76">
            <v>1</v>
          </cell>
          <cell r="U76">
            <v>31</v>
          </cell>
          <cell r="V76">
            <v>12</v>
          </cell>
          <cell r="W76">
            <v>0</v>
          </cell>
          <cell r="X76">
            <v>0</v>
          </cell>
          <cell r="Y76">
            <v>1</v>
          </cell>
          <cell r="Z76">
            <v>39</v>
          </cell>
          <cell r="AA76">
            <v>4</v>
          </cell>
          <cell r="AB76">
            <v>0</v>
          </cell>
          <cell r="AC76">
            <v>1</v>
          </cell>
          <cell r="AD76">
            <v>8</v>
          </cell>
          <cell r="AE76">
            <v>0</v>
          </cell>
          <cell r="AF76">
            <v>17</v>
          </cell>
          <cell r="AG76">
            <v>0</v>
          </cell>
          <cell r="AH76">
            <v>5</v>
          </cell>
          <cell r="AI76">
            <v>212</v>
          </cell>
          <cell r="AJ76">
            <v>39</v>
          </cell>
          <cell r="AK76">
            <v>19</v>
          </cell>
        </row>
        <row r="77">
          <cell r="C77">
            <v>350122028</v>
          </cell>
          <cell r="D77">
            <v>70</v>
          </cell>
          <cell r="E77">
            <v>0</v>
          </cell>
          <cell r="F77">
            <v>0</v>
          </cell>
          <cell r="G77">
            <v>7</v>
          </cell>
          <cell r="H77">
            <v>0</v>
          </cell>
          <cell r="I77">
            <v>16</v>
          </cell>
          <cell r="J77">
            <v>0</v>
          </cell>
          <cell r="K77">
            <v>0</v>
          </cell>
          <cell r="L77">
            <v>9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6</v>
          </cell>
          <cell r="S77">
            <v>17</v>
          </cell>
          <cell r="T77">
            <v>0</v>
          </cell>
          <cell r="U77">
            <v>9</v>
          </cell>
          <cell r="V77">
            <v>0</v>
          </cell>
          <cell r="W77">
            <v>59</v>
          </cell>
          <cell r="X77">
            <v>0</v>
          </cell>
          <cell r="Y77">
            <v>5</v>
          </cell>
          <cell r="Z77">
            <v>12</v>
          </cell>
          <cell r="AA77">
            <v>9</v>
          </cell>
          <cell r="AB77">
            <v>0</v>
          </cell>
          <cell r="AC77">
            <v>0</v>
          </cell>
          <cell r="AD77">
            <v>19</v>
          </cell>
          <cell r="AE77">
            <v>0</v>
          </cell>
          <cell r="AF77">
            <v>17</v>
          </cell>
          <cell r="AG77">
            <v>0</v>
          </cell>
          <cell r="AH77">
            <v>10</v>
          </cell>
          <cell r="AI77">
            <v>265</v>
          </cell>
          <cell r="AJ77">
            <v>70</v>
          </cell>
          <cell r="AK77">
            <v>14</v>
          </cell>
        </row>
        <row r="78">
          <cell r="C78">
            <v>350122027</v>
          </cell>
          <cell r="D78">
            <v>15</v>
          </cell>
          <cell r="E78">
            <v>0</v>
          </cell>
          <cell r="F78">
            <v>0</v>
          </cell>
          <cell r="G78">
            <v>20</v>
          </cell>
          <cell r="H78">
            <v>14</v>
          </cell>
          <cell r="I78">
            <v>4.5</v>
          </cell>
          <cell r="J78">
            <v>6.5</v>
          </cell>
          <cell r="K78">
            <v>0</v>
          </cell>
          <cell r="L78">
            <v>0</v>
          </cell>
          <cell r="M78">
            <v>6.5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</v>
          </cell>
          <cell r="T78">
            <v>21</v>
          </cell>
          <cell r="U78">
            <v>41</v>
          </cell>
          <cell r="V78">
            <v>2</v>
          </cell>
          <cell r="W78">
            <v>47</v>
          </cell>
          <cell r="X78">
            <v>6.5</v>
          </cell>
          <cell r="Y78">
            <v>71</v>
          </cell>
          <cell r="Z78">
            <v>18</v>
          </cell>
          <cell r="AA78">
            <v>5</v>
          </cell>
          <cell r="AB78">
            <v>2</v>
          </cell>
          <cell r="AC78">
            <v>1</v>
          </cell>
          <cell r="AD78">
            <v>28</v>
          </cell>
          <cell r="AE78">
            <v>0</v>
          </cell>
          <cell r="AF78">
            <v>12</v>
          </cell>
          <cell r="AG78">
            <v>0</v>
          </cell>
          <cell r="AH78">
            <v>18</v>
          </cell>
          <cell r="AI78">
            <v>351</v>
          </cell>
          <cell r="AJ78">
            <v>71</v>
          </cell>
          <cell r="AK78">
            <v>20</v>
          </cell>
        </row>
        <row r="79">
          <cell r="C79">
            <v>350122026</v>
          </cell>
          <cell r="D79">
            <v>1.5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5</v>
          </cell>
          <cell r="J79">
            <v>0</v>
          </cell>
          <cell r="K79">
            <v>0</v>
          </cell>
          <cell r="L79">
            <v>1.2</v>
          </cell>
          <cell r="M79">
            <v>0</v>
          </cell>
          <cell r="N79">
            <v>0</v>
          </cell>
          <cell r="O79">
            <v>14</v>
          </cell>
          <cell r="P79">
            <v>0</v>
          </cell>
          <cell r="Q79">
            <v>2</v>
          </cell>
          <cell r="R79">
            <v>18</v>
          </cell>
          <cell r="S79">
            <v>26</v>
          </cell>
          <cell r="T79">
            <v>24.5</v>
          </cell>
          <cell r="U79">
            <v>0</v>
          </cell>
          <cell r="V79">
            <v>0</v>
          </cell>
          <cell r="W79">
            <v>0</v>
          </cell>
          <cell r="X79">
            <v>22.5</v>
          </cell>
          <cell r="Y79">
            <v>0</v>
          </cell>
          <cell r="Z79">
            <v>17</v>
          </cell>
          <cell r="AA79">
            <v>5.5</v>
          </cell>
          <cell r="AB79">
            <v>0</v>
          </cell>
          <cell r="AC79">
            <v>0</v>
          </cell>
          <cell r="AD79">
            <v>38</v>
          </cell>
          <cell r="AE79">
            <v>0</v>
          </cell>
          <cell r="AF79">
            <v>4.5</v>
          </cell>
          <cell r="AG79">
            <v>0</v>
          </cell>
          <cell r="AH79">
            <v>1</v>
          </cell>
          <cell r="AI79">
            <v>180.7</v>
          </cell>
          <cell r="AJ79">
            <v>38</v>
          </cell>
          <cell r="AK79">
            <v>14</v>
          </cell>
        </row>
        <row r="80">
          <cell r="C80">
            <v>350122025</v>
          </cell>
          <cell r="D80">
            <v>24</v>
          </cell>
          <cell r="E80">
            <v>0</v>
          </cell>
          <cell r="F80">
            <v>0</v>
          </cell>
          <cell r="G80">
            <v>26</v>
          </cell>
          <cell r="H80">
            <v>0</v>
          </cell>
          <cell r="I80">
            <v>0</v>
          </cell>
          <cell r="J80">
            <v>16</v>
          </cell>
          <cell r="K80">
            <v>0</v>
          </cell>
          <cell r="L80">
            <v>3</v>
          </cell>
          <cell r="M80">
            <v>4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45</v>
          </cell>
          <cell r="S80">
            <v>0</v>
          </cell>
          <cell r="T80">
            <v>21</v>
          </cell>
          <cell r="U80">
            <v>0</v>
          </cell>
          <cell r="V80">
            <v>25</v>
          </cell>
          <cell r="W80">
            <v>0</v>
          </cell>
          <cell r="X80">
            <v>10</v>
          </cell>
          <cell r="Y80">
            <v>22</v>
          </cell>
          <cell r="Z80">
            <v>45</v>
          </cell>
          <cell r="AA80">
            <v>8</v>
          </cell>
          <cell r="AB80">
            <v>0</v>
          </cell>
          <cell r="AC80">
            <v>1</v>
          </cell>
          <cell r="AD80">
            <v>6</v>
          </cell>
          <cell r="AE80">
            <v>0</v>
          </cell>
          <cell r="AF80">
            <v>21</v>
          </cell>
          <cell r="AG80">
            <v>0</v>
          </cell>
          <cell r="AH80">
            <v>9</v>
          </cell>
          <cell r="AI80">
            <v>286</v>
          </cell>
          <cell r="AJ80">
            <v>45</v>
          </cell>
          <cell r="AK80">
            <v>16</v>
          </cell>
        </row>
        <row r="81">
          <cell r="C81">
            <v>350122024</v>
          </cell>
          <cell r="D81">
            <v>2</v>
          </cell>
          <cell r="E81">
            <v>3</v>
          </cell>
          <cell r="F81">
            <v>0</v>
          </cell>
          <cell r="G81">
            <v>10</v>
          </cell>
          <cell r="H81">
            <v>8</v>
          </cell>
          <cell r="I81">
            <v>5</v>
          </cell>
          <cell r="J81">
            <v>0</v>
          </cell>
          <cell r="K81">
            <v>0</v>
          </cell>
          <cell r="L81">
            <v>0</v>
          </cell>
          <cell r="M81">
            <v>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23</v>
          </cell>
          <cell r="S81">
            <v>0</v>
          </cell>
          <cell r="T81">
            <v>17</v>
          </cell>
          <cell r="U81">
            <v>32</v>
          </cell>
          <cell r="V81">
            <v>4</v>
          </cell>
          <cell r="W81">
            <v>1</v>
          </cell>
          <cell r="X81">
            <v>25</v>
          </cell>
          <cell r="Y81">
            <v>12</v>
          </cell>
          <cell r="Z81">
            <v>2</v>
          </cell>
          <cell r="AA81">
            <v>2</v>
          </cell>
          <cell r="AB81">
            <v>0</v>
          </cell>
          <cell r="AC81">
            <v>0</v>
          </cell>
          <cell r="AD81">
            <v>7</v>
          </cell>
          <cell r="AE81">
            <v>0</v>
          </cell>
          <cell r="AF81">
            <v>8</v>
          </cell>
          <cell r="AG81">
            <v>1</v>
          </cell>
          <cell r="AH81">
            <v>35</v>
          </cell>
          <cell r="AI81">
            <v>212</v>
          </cell>
          <cell r="AJ81">
            <v>35</v>
          </cell>
          <cell r="AK81">
            <v>19</v>
          </cell>
        </row>
        <row r="82">
          <cell r="C82">
            <v>350122023</v>
          </cell>
          <cell r="D82">
            <v>3.6</v>
          </cell>
          <cell r="E82">
            <v>0</v>
          </cell>
          <cell r="F82">
            <v>0</v>
          </cell>
          <cell r="G82">
            <v>0</v>
          </cell>
          <cell r="H82">
            <v>5</v>
          </cell>
          <cell r="I82">
            <v>6</v>
          </cell>
          <cell r="J82">
            <v>0</v>
          </cell>
          <cell r="K82">
            <v>0</v>
          </cell>
          <cell r="L82">
            <v>20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7.2</v>
          </cell>
          <cell r="T82">
            <v>25</v>
          </cell>
          <cell r="U82">
            <v>0</v>
          </cell>
          <cell r="V82">
            <v>0</v>
          </cell>
          <cell r="W82">
            <v>0</v>
          </cell>
          <cell r="X82">
            <v>11.4</v>
          </cell>
          <cell r="Y82">
            <v>0</v>
          </cell>
          <cell r="Z82">
            <v>9</v>
          </cell>
          <cell r="AA82">
            <v>1</v>
          </cell>
          <cell r="AB82">
            <v>1.2</v>
          </cell>
          <cell r="AC82">
            <v>0</v>
          </cell>
          <cell r="AD82">
            <v>3.2</v>
          </cell>
          <cell r="AE82">
            <v>0</v>
          </cell>
          <cell r="AF82">
            <v>4.2</v>
          </cell>
          <cell r="AG82">
            <v>0</v>
          </cell>
          <cell r="AH82">
            <v>4.2</v>
          </cell>
          <cell r="AI82">
            <v>101.00000000000003</v>
          </cell>
          <cell r="AJ82">
            <v>25</v>
          </cell>
          <cell r="AK82">
            <v>13</v>
          </cell>
        </row>
        <row r="83">
          <cell r="C83">
            <v>350122022</v>
          </cell>
          <cell r="D83">
            <v>18</v>
          </cell>
          <cell r="E83">
            <v>0</v>
          </cell>
          <cell r="F83">
            <v>0</v>
          </cell>
          <cell r="G83">
            <v>0</v>
          </cell>
          <cell r="H83">
            <v>2</v>
          </cell>
          <cell r="I83">
            <v>0</v>
          </cell>
          <cell r="J83">
            <v>2</v>
          </cell>
          <cell r="K83">
            <v>0</v>
          </cell>
          <cell r="L83">
            <v>0</v>
          </cell>
          <cell r="M83">
            <v>1.5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5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27</v>
          </cell>
          <cell r="AA83">
            <v>13</v>
          </cell>
          <cell r="AB83">
            <v>0</v>
          </cell>
          <cell r="AC83">
            <v>11</v>
          </cell>
          <cell r="AD83">
            <v>9</v>
          </cell>
          <cell r="AE83">
            <v>0</v>
          </cell>
          <cell r="AF83">
            <v>2</v>
          </cell>
          <cell r="AG83">
            <v>0</v>
          </cell>
          <cell r="AH83">
            <v>4</v>
          </cell>
          <cell r="AI83">
            <v>94.5</v>
          </cell>
          <cell r="AJ83">
            <v>27</v>
          </cell>
          <cell r="AK83">
            <v>11</v>
          </cell>
        </row>
        <row r="84">
          <cell r="C84">
            <v>350122021</v>
          </cell>
          <cell r="D84">
            <v>7</v>
          </cell>
          <cell r="E84">
            <v>0</v>
          </cell>
          <cell r="F84">
            <v>0</v>
          </cell>
          <cell r="G84">
            <v>0</v>
          </cell>
          <cell r="H84">
            <v>5</v>
          </cell>
          <cell r="I84">
            <v>0</v>
          </cell>
          <cell r="J84">
            <v>0</v>
          </cell>
          <cell r="K84">
            <v>0</v>
          </cell>
          <cell r="L84">
            <v>3</v>
          </cell>
          <cell r="M84">
            <v>0</v>
          </cell>
          <cell r="N84">
            <v>0</v>
          </cell>
          <cell r="O84">
            <v>0</v>
          </cell>
          <cell r="P84">
            <v>46</v>
          </cell>
          <cell r="Q84">
            <v>0</v>
          </cell>
          <cell r="R84">
            <v>18</v>
          </cell>
          <cell r="S84">
            <v>40</v>
          </cell>
          <cell r="T84">
            <v>4</v>
          </cell>
          <cell r="U84">
            <v>0</v>
          </cell>
          <cell r="V84">
            <v>0</v>
          </cell>
          <cell r="W84">
            <v>12.5</v>
          </cell>
          <cell r="X84">
            <v>23</v>
          </cell>
          <cell r="Y84">
            <v>0</v>
          </cell>
          <cell r="Z84">
            <v>24</v>
          </cell>
          <cell r="AA84">
            <v>6.5</v>
          </cell>
          <cell r="AB84">
            <v>0</v>
          </cell>
          <cell r="AC84">
            <v>0</v>
          </cell>
          <cell r="AD84">
            <v>43</v>
          </cell>
          <cell r="AE84">
            <v>0</v>
          </cell>
          <cell r="AF84">
            <v>3</v>
          </cell>
          <cell r="AG84">
            <v>0</v>
          </cell>
          <cell r="AH84">
            <v>0</v>
          </cell>
          <cell r="AI84">
            <v>235</v>
          </cell>
          <cell r="AJ84">
            <v>46</v>
          </cell>
          <cell r="AK84">
            <v>13</v>
          </cell>
        </row>
        <row r="85">
          <cell r="C85">
            <v>350122020</v>
          </cell>
          <cell r="D85">
            <v>3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7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3</v>
          </cell>
          <cell r="S85">
            <v>21</v>
          </cell>
          <cell r="T85">
            <v>22</v>
          </cell>
          <cell r="U85">
            <v>0</v>
          </cell>
          <cell r="V85">
            <v>0</v>
          </cell>
          <cell r="W85">
            <v>1</v>
          </cell>
          <cell r="X85">
            <v>7</v>
          </cell>
          <cell r="Y85">
            <v>0</v>
          </cell>
          <cell r="Z85">
            <v>9</v>
          </cell>
          <cell r="AA85">
            <v>3</v>
          </cell>
          <cell r="AB85">
            <v>2</v>
          </cell>
          <cell r="AC85">
            <v>5</v>
          </cell>
          <cell r="AD85">
            <v>3</v>
          </cell>
          <cell r="AE85">
            <v>0</v>
          </cell>
          <cell r="AF85">
            <v>0</v>
          </cell>
          <cell r="AG85">
            <v>0</v>
          </cell>
          <cell r="AH85">
            <v>5</v>
          </cell>
          <cell r="AI85">
            <v>91</v>
          </cell>
          <cell r="AJ85">
            <v>22</v>
          </cell>
          <cell r="AK85">
            <v>13</v>
          </cell>
        </row>
        <row r="86">
          <cell r="C86">
            <v>350122019</v>
          </cell>
          <cell r="D86">
            <v>60</v>
          </cell>
          <cell r="E86">
            <v>1</v>
          </cell>
          <cell r="F86">
            <v>0</v>
          </cell>
          <cell r="G86">
            <v>0</v>
          </cell>
          <cell r="H86">
            <v>0</v>
          </cell>
          <cell r="I86">
            <v>23</v>
          </cell>
          <cell r="J86">
            <v>20</v>
          </cell>
          <cell r="K86">
            <v>0</v>
          </cell>
          <cell r="L86">
            <v>9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59</v>
          </cell>
          <cell r="T86">
            <v>0</v>
          </cell>
          <cell r="U86">
            <v>3</v>
          </cell>
          <cell r="V86">
            <v>0</v>
          </cell>
          <cell r="W86">
            <v>33</v>
          </cell>
          <cell r="X86">
            <v>0</v>
          </cell>
          <cell r="Y86">
            <v>0</v>
          </cell>
          <cell r="Z86">
            <v>33.5</v>
          </cell>
          <cell r="AA86">
            <v>3</v>
          </cell>
          <cell r="AB86">
            <v>0</v>
          </cell>
          <cell r="AC86">
            <v>0</v>
          </cell>
          <cell r="AD86">
            <v>17</v>
          </cell>
          <cell r="AE86">
            <v>0</v>
          </cell>
          <cell r="AF86">
            <v>14</v>
          </cell>
          <cell r="AG86">
            <v>0</v>
          </cell>
          <cell r="AH86">
            <v>8</v>
          </cell>
          <cell r="AI86">
            <v>283.5</v>
          </cell>
          <cell r="AJ86">
            <v>60</v>
          </cell>
          <cell r="AK86">
            <v>13</v>
          </cell>
        </row>
        <row r="87">
          <cell r="C87">
            <v>350122018</v>
          </cell>
          <cell r="D87">
            <v>0</v>
          </cell>
          <cell r="E87">
            <v>0</v>
          </cell>
          <cell r="F87">
            <v>19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10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</v>
          </cell>
          <cell r="T87">
            <v>0</v>
          </cell>
          <cell r="U87">
            <v>0</v>
          </cell>
          <cell r="V87">
            <v>0</v>
          </cell>
          <cell r="W87">
            <v>42</v>
          </cell>
          <cell r="X87">
            <v>43</v>
          </cell>
          <cell r="Y87">
            <v>0</v>
          </cell>
          <cell r="Z87">
            <v>15</v>
          </cell>
          <cell r="AA87">
            <v>10</v>
          </cell>
          <cell r="AB87">
            <v>0</v>
          </cell>
          <cell r="AC87">
            <v>0</v>
          </cell>
          <cell r="AD87">
            <v>2</v>
          </cell>
          <cell r="AE87">
            <v>0</v>
          </cell>
          <cell r="AF87">
            <v>4</v>
          </cell>
          <cell r="AG87">
            <v>0</v>
          </cell>
          <cell r="AH87">
            <v>3</v>
          </cell>
          <cell r="AI87">
            <v>159</v>
          </cell>
          <cell r="AJ87">
            <v>43</v>
          </cell>
          <cell r="AK87">
            <v>10</v>
          </cell>
        </row>
        <row r="88">
          <cell r="C88">
            <v>350122017</v>
          </cell>
          <cell r="D88">
            <v>71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12</v>
          </cell>
          <cell r="K88">
            <v>0</v>
          </cell>
          <cell r="L88">
            <v>108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27</v>
          </cell>
          <cell r="S88">
            <v>48</v>
          </cell>
          <cell r="T88">
            <v>1</v>
          </cell>
          <cell r="U88">
            <v>0</v>
          </cell>
          <cell r="V88">
            <v>0</v>
          </cell>
          <cell r="W88">
            <v>0</v>
          </cell>
          <cell r="X88">
            <v>4</v>
          </cell>
          <cell r="Y88">
            <v>0</v>
          </cell>
          <cell r="Z88">
            <v>73</v>
          </cell>
          <cell r="AA88">
            <v>11</v>
          </cell>
          <cell r="AB88">
            <v>1</v>
          </cell>
          <cell r="AC88">
            <v>1</v>
          </cell>
          <cell r="AD88">
            <v>15</v>
          </cell>
          <cell r="AE88">
            <v>0</v>
          </cell>
          <cell r="AF88">
            <v>13</v>
          </cell>
          <cell r="AG88">
            <v>0</v>
          </cell>
          <cell r="AH88">
            <v>4</v>
          </cell>
          <cell r="AI88">
            <v>389</v>
          </cell>
          <cell r="AJ88">
            <v>108</v>
          </cell>
          <cell r="AK88">
            <v>14</v>
          </cell>
        </row>
        <row r="89">
          <cell r="C89">
            <v>350122016</v>
          </cell>
          <cell r="D89">
            <v>7</v>
          </cell>
          <cell r="E89">
            <v>0</v>
          </cell>
          <cell r="F89">
            <v>1</v>
          </cell>
          <cell r="G89">
            <v>8</v>
          </cell>
          <cell r="H89">
            <v>1</v>
          </cell>
          <cell r="I89">
            <v>1</v>
          </cell>
          <cell r="J89">
            <v>11</v>
          </cell>
          <cell r="K89">
            <v>0</v>
          </cell>
          <cell r="L89">
            <v>0</v>
          </cell>
          <cell r="M89">
            <v>5</v>
          </cell>
          <cell r="N89">
            <v>8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5</v>
          </cell>
          <cell r="T89">
            <v>38</v>
          </cell>
          <cell r="U89">
            <v>5</v>
          </cell>
          <cell r="V89">
            <v>0</v>
          </cell>
          <cell r="W89">
            <v>0</v>
          </cell>
          <cell r="X89">
            <v>17</v>
          </cell>
          <cell r="Y89">
            <v>0</v>
          </cell>
          <cell r="Z89">
            <v>6</v>
          </cell>
          <cell r="AA89">
            <v>5</v>
          </cell>
          <cell r="AB89">
            <v>0</v>
          </cell>
          <cell r="AC89">
            <v>0</v>
          </cell>
          <cell r="AD89">
            <v>5</v>
          </cell>
          <cell r="AE89">
            <v>0</v>
          </cell>
          <cell r="AF89">
            <v>2</v>
          </cell>
          <cell r="AG89">
            <v>0</v>
          </cell>
          <cell r="AH89">
            <v>13</v>
          </cell>
          <cell r="AI89">
            <v>138</v>
          </cell>
          <cell r="AJ89">
            <v>38</v>
          </cell>
          <cell r="AK89">
            <v>17</v>
          </cell>
        </row>
        <row r="90">
          <cell r="C90">
            <v>350122015</v>
          </cell>
          <cell r="D90">
            <v>9</v>
          </cell>
          <cell r="E90">
            <v>19</v>
          </cell>
          <cell r="F90">
            <v>0</v>
          </cell>
          <cell r="G90">
            <v>39</v>
          </cell>
          <cell r="H90">
            <v>3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6</v>
          </cell>
          <cell r="R90">
            <v>23</v>
          </cell>
          <cell r="S90">
            <v>15</v>
          </cell>
          <cell r="T90">
            <v>28</v>
          </cell>
          <cell r="U90">
            <v>0</v>
          </cell>
          <cell r="V90">
            <v>0</v>
          </cell>
          <cell r="W90">
            <v>36</v>
          </cell>
          <cell r="X90">
            <v>0</v>
          </cell>
          <cell r="Y90">
            <v>16</v>
          </cell>
          <cell r="Z90">
            <v>12</v>
          </cell>
          <cell r="AA90">
            <v>7</v>
          </cell>
          <cell r="AB90">
            <v>0</v>
          </cell>
          <cell r="AC90">
            <v>0</v>
          </cell>
          <cell r="AD90">
            <v>13</v>
          </cell>
          <cell r="AE90">
            <v>0</v>
          </cell>
          <cell r="AF90">
            <v>7</v>
          </cell>
          <cell r="AG90">
            <v>0</v>
          </cell>
          <cell r="AH90">
            <v>15</v>
          </cell>
          <cell r="AI90">
            <v>248</v>
          </cell>
          <cell r="AJ90">
            <v>39</v>
          </cell>
          <cell r="AK90">
            <v>15</v>
          </cell>
        </row>
        <row r="91">
          <cell r="C91">
            <v>350122014</v>
          </cell>
          <cell r="D91">
            <v>9</v>
          </cell>
          <cell r="E91">
            <v>2</v>
          </cell>
          <cell r="F91">
            <v>22</v>
          </cell>
          <cell r="G91">
            <v>11</v>
          </cell>
          <cell r="H91">
            <v>3</v>
          </cell>
          <cell r="I91">
            <v>0</v>
          </cell>
          <cell r="J91">
            <v>21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4</v>
          </cell>
          <cell r="P91">
            <v>0</v>
          </cell>
          <cell r="Q91">
            <v>0</v>
          </cell>
          <cell r="R91">
            <v>0</v>
          </cell>
          <cell r="S91">
            <v>7</v>
          </cell>
          <cell r="T91">
            <v>0</v>
          </cell>
          <cell r="U91">
            <v>17</v>
          </cell>
          <cell r="V91">
            <v>0</v>
          </cell>
          <cell r="W91">
            <v>0</v>
          </cell>
          <cell r="X91">
            <v>10</v>
          </cell>
          <cell r="Y91">
            <v>4</v>
          </cell>
          <cell r="Z91">
            <v>10</v>
          </cell>
          <cell r="AA91">
            <v>8</v>
          </cell>
          <cell r="AB91">
            <v>0</v>
          </cell>
          <cell r="AC91">
            <v>0</v>
          </cell>
          <cell r="AD91">
            <v>7</v>
          </cell>
          <cell r="AE91">
            <v>0</v>
          </cell>
          <cell r="AF91">
            <v>6</v>
          </cell>
          <cell r="AG91">
            <v>0</v>
          </cell>
          <cell r="AH91">
            <v>13</v>
          </cell>
          <cell r="AI91">
            <v>154</v>
          </cell>
          <cell r="AJ91">
            <v>22</v>
          </cell>
          <cell r="AK91">
            <v>16</v>
          </cell>
        </row>
        <row r="92">
          <cell r="C92">
            <v>350122013</v>
          </cell>
          <cell r="D92">
            <v>36</v>
          </cell>
          <cell r="E92">
            <v>0</v>
          </cell>
          <cell r="F92">
            <v>0</v>
          </cell>
          <cell r="G92">
            <v>0</v>
          </cell>
          <cell r="H92">
            <v>14</v>
          </cell>
          <cell r="I92">
            <v>0</v>
          </cell>
          <cell r="J92">
            <v>12</v>
          </cell>
          <cell r="K92">
            <v>6</v>
          </cell>
          <cell r="L92">
            <v>0</v>
          </cell>
          <cell r="M92">
            <v>23</v>
          </cell>
          <cell r="N92">
            <v>0</v>
          </cell>
          <cell r="O92">
            <v>3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16</v>
          </cell>
          <cell r="U92">
            <v>24</v>
          </cell>
          <cell r="V92">
            <v>0</v>
          </cell>
          <cell r="W92">
            <v>0</v>
          </cell>
          <cell r="X92">
            <v>8</v>
          </cell>
          <cell r="Y92">
            <v>4</v>
          </cell>
          <cell r="Z92">
            <v>3</v>
          </cell>
          <cell r="AA92">
            <v>14</v>
          </cell>
          <cell r="AB92">
            <v>16</v>
          </cell>
          <cell r="AC92">
            <v>2</v>
          </cell>
          <cell r="AD92">
            <v>0</v>
          </cell>
          <cell r="AE92">
            <v>0</v>
          </cell>
          <cell r="AF92">
            <v>4</v>
          </cell>
          <cell r="AG92">
            <v>2</v>
          </cell>
          <cell r="AH92">
            <v>7</v>
          </cell>
          <cell r="AI92">
            <v>194</v>
          </cell>
          <cell r="AJ92">
            <v>36</v>
          </cell>
          <cell r="AK92">
            <v>17</v>
          </cell>
        </row>
        <row r="93">
          <cell r="C93">
            <v>350122012</v>
          </cell>
          <cell r="D93">
            <v>15</v>
          </cell>
          <cell r="E93">
            <v>0</v>
          </cell>
          <cell r="F93">
            <v>0</v>
          </cell>
          <cell r="G93">
            <v>25</v>
          </cell>
          <cell r="H93">
            <v>13</v>
          </cell>
          <cell r="I93">
            <v>0</v>
          </cell>
          <cell r="J93">
            <v>50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17</v>
          </cell>
          <cell r="T93">
            <v>27</v>
          </cell>
          <cell r="U93">
            <v>18</v>
          </cell>
          <cell r="V93">
            <v>0</v>
          </cell>
          <cell r="W93">
            <v>18</v>
          </cell>
          <cell r="X93">
            <v>43</v>
          </cell>
          <cell r="Y93">
            <v>0</v>
          </cell>
          <cell r="Z93">
            <v>45</v>
          </cell>
          <cell r="AA93">
            <v>17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15</v>
          </cell>
          <cell r="AI93">
            <v>303</v>
          </cell>
          <cell r="AJ93">
            <v>50</v>
          </cell>
          <cell r="AK93">
            <v>12</v>
          </cell>
        </row>
        <row r="94">
          <cell r="C94">
            <v>350122011</v>
          </cell>
          <cell r="D94">
            <v>8</v>
          </cell>
          <cell r="E94">
            <v>0</v>
          </cell>
          <cell r="F94">
            <v>0</v>
          </cell>
          <cell r="G94">
            <v>48</v>
          </cell>
          <cell r="H94">
            <v>0</v>
          </cell>
          <cell r="I94">
            <v>0</v>
          </cell>
          <cell r="J94">
            <v>15</v>
          </cell>
          <cell r="K94">
            <v>0</v>
          </cell>
          <cell r="L94">
            <v>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50</v>
          </cell>
          <cell r="S94">
            <v>0</v>
          </cell>
          <cell r="T94">
            <v>15</v>
          </cell>
          <cell r="U94">
            <v>0</v>
          </cell>
          <cell r="V94">
            <v>27</v>
          </cell>
          <cell r="W94">
            <v>4</v>
          </cell>
          <cell r="X94">
            <v>66</v>
          </cell>
          <cell r="Y94">
            <v>55</v>
          </cell>
          <cell r="Z94">
            <v>14</v>
          </cell>
          <cell r="AA94">
            <v>9</v>
          </cell>
          <cell r="AB94">
            <v>0</v>
          </cell>
          <cell r="AC94">
            <v>1</v>
          </cell>
          <cell r="AD94">
            <v>7</v>
          </cell>
          <cell r="AE94">
            <v>0</v>
          </cell>
          <cell r="AF94">
            <v>25</v>
          </cell>
          <cell r="AG94">
            <v>0</v>
          </cell>
          <cell r="AH94">
            <v>14</v>
          </cell>
          <cell r="AI94">
            <v>364</v>
          </cell>
          <cell r="AJ94">
            <v>66</v>
          </cell>
          <cell r="AK94">
            <v>16</v>
          </cell>
        </row>
        <row r="95">
          <cell r="C95">
            <v>350122010</v>
          </cell>
          <cell r="D95">
            <v>11</v>
          </cell>
          <cell r="E95">
            <v>0</v>
          </cell>
          <cell r="F95">
            <v>0</v>
          </cell>
          <cell r="G95">
            <v>0</v>
          </cell>
          <cell r="H95">
            <v>2</v>
          </cell>
          <cell r="I95">
            <v>40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12</v>
          </cell>
          <cell r="P95">
            <v>0</v>
          </cell>
          <cell r="Q95">
            <v>0</v>
          </cell>
          <cell r="R95">
            <v>0</v>
          </cell>
          <cell r="S95">
            <v>9</v>
          </cell>
          <cell r="T95">
            <v>3</v>
          </cell>
          <cell r="U95">
            <v>4</v>
          </cell>
          <cell r="V95">
            <v>0</v>
          </cell>
          <cell r="W95">
            <v>0</v>
          </cell>
          <cell r="X95">
            <v>2</v>
          </cell>
          <cell r="Y95">
            <v>4</v>
          </cell>
          <cell r="Z95">
            <v>5</v>
          </cell>
          <cell r="AA95">
            <v>6</v>
          </cell>
          <cell r="AB95">
            <v>0</v>
          </cell>
          <cell r="AC95">
            <v>0</v>
          </cell>
          <cell r="AD95">
            <v>14</v>
          </cell>
          <cell r="AE95">
            <v>0</v>
          </cell>
          <cell r="AF95">
            <v>4</v>
          </cell>
          <cell r="AG95">
            <v>0</v>
          </cell>
          <cell r="AH95">
            <v>10</v>
          </cell>
          <cell r="AI95">
            <v>132</v>
          </cell>
          <cell r="AJ95">
            <v>40</v>
          </cell>
          <cell r="AK95">
            <v>15</v>
          </cell>
        </row>
        <row r="96">
          <cell r="C96">
            <v>350122009</v>
          </cell>
          <cell r="D96">
            <v>23</v>
          </cell>
          <cell r="E96">
            <v>0</v>
          </cell>
          <cell r="F96">
            <v>0</v>
          </cell>
          <cell r="G96">
            <v>2</v>
          </cell>
          <cell r="H96">
            <v>0</v>
          </cell>
          <cell r="I96">
            <v>4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6</v>
          </cell>
          <cell r="U96">
            <v>0</v>
          </cell>
          <cell r="V96">
            <v>0</v>
          </cell>
          <cell r="W96">
            <v>0</v>
          </cell>
          <cell r="X96">
            <v>17</v>
          </cell>
          <cell r="Y96">
            <v>47</v>
          </cell>
          <cell r="Z96">
            <v>7</v>
          </cell>
          <cell r="AA96">
            <v>2</v>
          </cell>
          <cell r="AB96">
            <v>5</v>
          </cell>
          <cell r="AC96">
            <v>0</v>
          </cell>
          <cell r="AD96">
            <v>5</v>
          </cell>
          <cell r="AE96">
            <v>0</v>
          </cell>
          <cell r="AF96">
            <v>0</v>
          </cell>
          <cell r="AG96">
            <v>7</v>
          </cell>
          <cell r="AH96">
            <v>25</v>
          </cell>
          <cell r="AI96">
            <v>150</v>
          </cell>
          <cell r="AJ96">
            <v>47</v>
          </cell>
          <cell r="AK96">
            <v>12</v>
          </cell>
        </row>
        <row r="97">
          <cell r="C97">
            <v>350122008</v>
          </cell>
          <cell r="D97">
            <v>8</v>
          </cell>
          <cell r="E97">
            <v>3</v>
          </cell>
          <cell r="F97">
            <v>9</v>
          </cell>
          <cell r="G97">
            <v>0</v>
          </cell>
          <cell r="H97">
            <v>13</v>
          </cell>
          <cell r="I97">
            <v>4</v>
          </cell>
          <cell r="J97">
            <v>0</v>
          </cell>
          <cell r="K97">
            <v>1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20</v>
          </cell>
          <cell r="S97">
            <v>1</v>
          </cell>
          <cell r="T97">
            <v>2</v>
          </cell>
          <cell r="U97">
            <v>4</v>
          </cell>
          <cell r="V97">
            <v>0</v>
          </cell>
          <cell r="W97">
            <v>0</v>
          </cell>
          <cell r="X97">
            <v>2</v>
          </cell>
          <cell r="Y97">
            <v>4</v>
          </cell>
          <cell r="Z97">
            <v>6</v>
          </cell>
          <cell r="AA97">
            <v>3</v>
          </cell>
          <cell r="AB97">
            <v>0</v>
          </cell>
          <cell r="AC97">
            <v>0</v>
          </cell>
          <cell r="AD97">
            <v>12</v>
          </cell>
          <cell r="AE97">
            <v>0</v>
          </cell>
          <cell r="AF97">
            <v>7</v>
          </cell>
          <cell r="AG97">
            <v>0</v>
          </cell>
          <cell r="AH97">
            <v>0</v>
          </cell>
          <cell r="AI97">
            <v>100</v>
          </cell>
          <cell r="AJ97">
            <v>20</v>
          </cell>
          <cell r="AK97">
            <v>17</v>
          </cell>
        </row>
        <row r="98">
          <cell r="C98">
            <v>350122007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16</v>
          </cell>
          <cell r="M98">
            <v>0</v>
          </cell>
          <cell r="N98">
            <v>0</v>
          </cell>
          <cell r="O98">
            <v>0</v>
          </cell>
          <cell r="P98">
            <v>8</v>
          </cell>
          <cell r="Q98">
            <v>0</v>
          </cell>
          <cell r="R98">
            <v>9</v>
          </cell>
          <cell r="S98">
            <v>25</v>
          </cell>
          <cell r="T98">
            <v>41</v>
          </cell>
          <cell r="U98">
            <v>0</v>
          </cell>
          <cell r="V98">
            <v>0</v>
          </cell>
          <cell r="W98">
            <v>0</v>
          </cell>
          <cell r="X98">
            <v>17</v>
          </cell>
          <cell r="Y98">
            <v>0</v>
          </cell>
          <cell r="Z98">
            <v>20</v>
          </cell>
          <cell r="AA98">
            <v>4</v>
          </cell>
          <cell r="AB98">
            <v>0</v>
          </cell>
          <cell r="AC98">
            <v>0</v>
          </cell>
          <cell r="AD98">
            <v>23</v>
          </cell>
          <cell r="AE98">
            <v>0</v>
          </cell>
          <cell r="AF98">
            <v>0</v>
          </cell>
          <cell r="AG98">
            <v>0</v>
          </cell>
          <cell r="AH98">
            <v>7</v>
          </cell>
          <cell r="AI98">
            <v>170</v>
          </cell>
          <cell r="AJ98">
            <v>41</v>
          </cell>
          <cell r="AK98">
            <v>10</v>
          </cell>
        </row>
        <row r="99">
          <cell r="C99">
            <v>350122006</v>
          </cell>
          <cell r="D99">
            <v>6</v>
          </cell>
          <cell r="E99">
            <v>0</v>
          </cell>
          <cell r="F99">
            <v>12</v>
          </cell>
          <cell r="G99">
            <v>0</v>
          </cell>
          <cell r="H99">
            <v>2</v>
          </cell>
          <cell r="I99">
            <v>3</v>
          </cell>
          <cell r="J99">
            <v>0</v>
          </cell>
          <cell r="K99">
            <v>0</v>
          </cell>
          <cell r="L99">
            <v>30</v>
          </cell>
          <cell r="M99">
            <v>0</v>
          </cell>
          <cell r="N99">
            <v>0</v>
          </cell>
          <cell r="O99">
            <v>0</v>
          </cell>
          <cell r="P99">
            <v>7</v>
          </cell>
          <cell r="Q99">
            <v>2</v>
          </cell>
          <cell r="R99">
            <v>0</v>
          </cell>
          <cell r="S99">
            <v>17</v>
          </cell>
          <cell r="T99">
            <v>25</v>
          </cell>
          <cell r="U99">
            <v>0</v>
          </cell>
          <cell r="V99">
            <v>0</v>
          </cell>
          <cell r="W99">
            <v>0</v>
          </cell>
          <cell r="X99">
            <v>40</v>
          </cell>
          <cell r="Y99">
            <v>0</v>
          </cell>
          <cell r="Z99">
            <v>9</v>
          </cell>
          <cell r="AA99">
            <v>2</v>
          </cell>
          <cell r="AB99">
            <v>0</v>
          </cell>
          <cell r="AC99">
            <v>0</v>
          </cell>
          <cell r="AD99">
            <v>16</v>
          </cell>
          <cell r="AE99">
            <v>0</v>
          </cell>
          <cell r="AF99">
            <v>4</v>
          </cell>
          <cell r="AG99">
            <v>0</v>
          </cell>
          <cell r="AH99">
            <v>9</v>
          </cell>
          <cell r="AI99">
            <v>184</v>
          </cell>
          <cell r="AJ99">
            <v>40</v>
          </cell>
          <cell r="AK99">
            <v>15</v>
          </cell>
        </row>
        <row r="100">
          <cell r="C100">
            <v>350122005</v>
          </cell>
          <cell r="D100">
            <v>8</v>
          </cell>
          <cell r="E100">
            <v>0</v>
          </cell>
          <cell r="F100">
            <v>0</v>
          </cell>
          <cell r="G100">
            <v>3</v>
          </cell>
          <cell r="H100">
            <v>5</v>
          </cell>
          <cell r="I100">
            <v>7</v>
          </cell>
          <cell r="J100">
            <v>12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30</v>
          </cell>
          <cell r="S100">
            <v>15</v>
          </cell>
          <cell r="T100">
            <v>3</v>
          </cell>
          <cell r="U100">
            <v>0</v>
          </cell>
          <cell r="V100">
            <v>0</v>
          </cell>
          <cell r="W100">
            <v>0</v>
          </cell>
          <cell r="X100">
            <v>7</v>
          </cell>
          <cell r="Y100">
            <v>1</v>
          </cell>
          <cell r="Z100">
            <v>11</v>
          </cell>
          <cell r="AA100">
            <v>9</v>
          </cell>
          <cell r="AB100">
            <v>0</v>
          </cell>
          <cell r="AC100">
            <v>0</v>
          </cell>
          <cell r="AD100">
            <v>15</v>
          </cell>
          <cell r="AE100">
            <v>0</v>
          </cell>
          <cell r="AF100">
            <v>9</v>
          </cell>
          <cell r="AG100">
            <v>0</v>
          </cell>
          <cell r="AH100">
            <v>23</v>
          </cell>
          <cell r="AI100">
            <v>158</v>
          </cell>
          <cell r="AJ100">
            <v>30</v>
          </cell>
          <cell r="AK100">
            <v>15</v>
          </cell>
        </row>
        <row r="101">
          <cell r="C101">
            <v>350122004</v>
          </cell>
          <cell r="D101">
            <v>44</v>
          </cell>
          <cell r="E101">
            <v>0</v>
          </cell>
          <cell r="F101">
            <v>0</v>
          </cell>
          <cell r="G101">
            <v>1</v>
          </cell>
          <cell r="H101">
            <v>10</v>
          </cell>
          <cell r="I101">
            <v>16</v>
          </cell>
          <cell r="J101">
            <v>4</v>
          </cell>
          <cell r="K101">
            <v>0</v>
          </cell>
          <cell r="L101">
            <v>0</v>
          </cell>
          <cell r="M101">
            <v>9</v>
          </cell>
          <cell r="N101">
            <v>0</v>
          </cell>
          <cell r="O101">
            <v>27</v>
          </cell>
          <cell r="P101">
            <v>0</v>
          </cell>
          <cell r="Q101">
            <v>0</v>
          </cell>
          <cell r="R101">
            <v>0</v>
          </cell>
          <cell r="S101">
            <v>2</v>
          </cell>
          <cell r="T101">
            <v>12</v>
          </cell>
          <cell r="U101">
            <v>0</v>
          </cell>
          <cell r="V101">
            <v>0</v>
          </cell>
          <cell r="W101">
            <v>0</v>
          </cell>
          <cell r="X101">
            <v>3</v>
          </cell>
          <cell r="Y101">
            <v>3</v>
          </cell>
          <cell r="Z101">
            <v>4</v>
          </cell>
          <cell r="AA101">
            <v>4</v>
          </cell>
          <cell r="AB101">
            <v>2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4</v>
          </cell>
          <cell r="AI101">
            <v>145</v>
          </cell>
          <cell r="AJ101">
            <v>44</v>
          </cell>
          <cell r="AK101">
            <v>15</v>
          </cell>
        </row>
        <row r="102">
          <cell r="C102">
            <v>350122003</v>
          </cell>
          <cell r="D102">
            <v>35</v>
          </cell>
          <cell r="E102">
            <v>13</v>
          </cell>
          <cell r="F102">
            <v>0</v>
          </cell>
          <cell r="G102">
            <v>0</v>
          </cell>
          <cell r="H102">
            <v>0</v>
          </cell>
          <cell r="I102">
            <v>18</v>
          </cell>
          <cell r="J102">
            <v>21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R102">
            <v>25</v>
          </cell>
          <cell r="S102">
            <v>4</v>
          </cell>
          <cell r="T102">
            <v>23</v>
          </cell>
          <cell r="U102">
            <v>4</v>
          </cell>
          <cell r="V102">
            <v>0</v>
          </cell>
          <cell r="W102">
            <v>27</v>
          </cell>
          <cell r="X102">
            <v>1</v>
          </cell>
          <cell r="Y102">
            <v>61</v>
          </cell>
          <cell r="Z102">
            <v>24</v>
          </cell>
          <cell r="AA102">
            <v>10</v>
          </cell>
          <cell r="AB102">
            <v>0</v>
          </cell>
          <cell r="AC102">
            <v>0</v>
          </cell>
          <cell r="AD102">
            <v>7</v>
          </cell>
          <cell r="AE102">
            <v>0</v>
          </cell>
          <cell r="AF102">
            <v>1</v>
          </cell>
          <cell r="AG102">
            <v>0</v>
          </cell>
          <cell r="AH102">
            <v>19</v>
          </cell>
          <cell r="AI102">
            <v>294</v>
          </cell>
          <cell r="AJ102">
            <v>61</v>
          </cell>
          <cell r="AK102">
            <v>17</v>
          </cell>
        </row>
        <row r="103">
          <cell r="C103">
            <v>350122002</v>
          </cell>
          <cell r="D103">
            <v>26</v>
          </cell>
          <cell r="E103">
            <v>0</v>
          </cell>
          <cell r="F103">
            <v>0</v>
          </cell>
          <cell r="G103">
            <v>0</v>
          </cell>
          <cell r="H103">
            <v>4</v>
          </cell>
          <cell r="I103">
            <v>2</v>
          </cell>
          <cell r="J103">
            <v>0</v>
          </cell>
          <cell r="K103">
            <v>0</v>
          </cell>
          <cell r="L103">
            <v>0</v>
          </cell>
          <cell r="M103">
            <v>2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4</v>
          </cell>
          <cell r="S103">
            <v>23</v>
          </cell>
          <cell r="T103">
            <v>12</v>
          </cell>
          <cell r="U103">
            <v>30</v>
          </cell>
          <cell r="V103">
            <v>0</v>
          </cell>
          <cell r="W103">
            <v>0</v>
          </cell>
          <cell r="X103">
            <v>5</v>
          </cell>
          <cell r="Y103">
            <v>1</v>
          </cell>
          <cell r="Z103">
            <v>2</v>
          </cell>
          <cell r="AA103">
            <v>1</v>
          </cell>
          <cell r="AB103">
            <v>5</v>
          </cell>
          <cell r="AC103">
            <v>0</v>
          </cell>
          <cell r="AD103">
            <v>9</v>
          </cell>
          <cell r="AE103">
            <v>0</v>
          </cell>
          <cell r="AF103">
            <v>1</v>
          </cell>
          <cell r="AG103">
            <v>2</v>
          </cell>
          <cell r="AH103">
            <v>11</v>
          </cell>
          <cell r="AI103">
            <v>140</v>
          </cell>
          <cell r="AJ103">
            <v>30</v>
          </cell>
          <cell r="AK103">
            <v>17</v>
          </cell>
        </row>
        <row r="104">
          <cell r="C104">
            <v>350122001</v>
          </cell>
          <cell r="D104">
            <v>29</v>
          </cell>
          <cell r="E104">
            <v>0</v>
          </cell>
          <cell r="F104">
            <v>0</v>
          </cell>
          <cell r="G104">
            <v>0</v>
          </cell>
          <cell r="H104">
            <v>5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23</v>
          </cell>
          <cell r="O104">
            <v>50</v>
          </cell>
          <cell r="P104">
            <v>1</v>
          </cell>
          <cell r="Q104">
            <v>0</v>
          </cell>
          <cell r="R104">
            <v>0</v>
          </cell>
          <cell r="S104">
            <v>2</v>
          </cell>
          <cell r="T104">
            <v>4</v>
          </cell>
          <cell r="U104">
            <v>9</v>
          </cell>
          <cell r="V104">
            <v>0</v>
          </cell>
          <cell r="W104">
            <v>0</v>
          </cell>
          <cell r="X104">
            <v>5</v>
          </cell>
          <cell r="Y104">
            <v>4</v>
          </cell>
          <cell r="Z104">
            <v>4</v>
          </cell>
          <cell r="AA104">
            <v>5</v>
          </cell>
          <cell r="AB104">
            <v>0</v>
          </cell>
          <cell r="AC104">
            <v>0</v>
          </cell>
          <cell r="AD104">
            <v>13</v>
          </cell>
          <cell r="AE104">
            <v>0</v>
          </cell>
          <cell r="AF104">
            <v>3</v>
          </cell>
          <cell r="AG104">
            <v>0</v>
          </cell>
          <cell r="AH104">
            <v>10</v>
          </cell>
          <cell r="AI104">
            <v>167</v>
          </cell>
          <cell r="AJ104">
            <v>50</v>
          </cell>
          <cell r="AK104">
            <v>15</v>
          </cell>
        </row>
        <row r="105">
          <cell r="C105">
            <v>350619001</v>
          </cell>
          <cell r="D105">
            <v>28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21</v>
          </cell>
          <cell r="L105">
            <v>22</v>
          </cell>
          <cell r="M105">
            <v>0</v>
          </cell>
          <cell r="N105">
            <v>0</v>
          </cell>
          <cell r="O105">
            <v>0</v>
          </cell>
          <cell r="P105">
            <v>26</v>
          </cell>
          <cell r="Q105">
            <v>4</v>
          </cell>
          <cell r="R105">
            <v>19</v>
          </cell>
          <cell r="S105">
            <v>23</v>
          </cell>
          <cell r="T105">
            <v>0</v>
          </cell>
          <cell r="U105">
            <v>0</v>
          </cell>
          <cell r="V105">
            <v>0</v>
          </cell>
          <cell r="W105">
            <v>5.5</v>
          </cell>
          <cell r="X105">
            <v>2</v>
          </cell>
          <cell r="Y105">
            <v>9.5</v>
          </cell>
          <cell r="Z105">
            <v>13</v>
          </cell>
          <cell r="AA105">
            <v>120</v>
          </cell>
          <cell r="AB105">
            <v>2</v>
          </cell>
          <cell r="AC105">
            <v>4</v>
          </cell>
          <cell r="AD105">
            <v>4</v>
          </cell>
          <cell r="AE105">
            <v>3</v>
          </cell>
          <cell r="AF105">
            <v>11</v>
          </cell>
          <cell r="AG105">
            <v>0</v>
          </cell>
          <cell r="AH105">
            <v>0</v>
          </cell>
          <cell r="AI105">
            <v>317</v>
          </cell>
          <cell r="AJ105">
            <v>120</v>
          </cell>
          <cell r="AK105">
            <v>17</v>
          </cell>
        </row>
        <row r="106">
          <cell r="C106">
            <v>350619002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17</v>
          </cell>
          <cell r="I106">
            <v>19</v>
          </cell>
          <cell r="J106">
            <v>0</v>
          </cell>
          <cell r="K106">
            <v>2</v>
          </cell>
          <cell r="L106">
            <v>32</v>
          </cell>
          <cell r="M106">
            <v>0</v>
          </cell>
          <cell r="N106">
            <v>0</v>
          </cell>
          <cell r="O106">
            <v>4</v>
          </cell>
          <cell r="P106">
            <v>0</v>
          </cell>
          <cell r="Q106">
            <v>0</v>
          </cell>
          <cell r="R106">
            <v>35</v>
          </cell>
          <cell r="S106">
            <v>3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19</v>
          </cell>
          <cell r="AA106">
            <v>21</v>
          </cell>
          <cell r="AB106">
            <v>2</v>
          </cell>
          <cell r="AC106">
            <v>0</v>
          </cell>
          <cell r="AD106">
            <v>8</v>
          </cell>
          <cell r="AE106">
            <v>0</v>
          </cell>
          <cell r="AF106">
            <v>9</v>
          </cell>
          <cell r="AG106">
            <v>0</v>
          </cell>
          <cell r="AH106">
            <v>0</v>
          </cell>
          <cell r="AI106">
            <v>171</v>
          </cell>
          <cell r="AJ106">
            <v>35</v>
          </cell>
          <cell r="AK106">
            <v>12</v>
          </cell>
        </row>
        <row r="107">
          <cell r="C107">
            <v>350619003</v>
          </cell>
          <cell r="D107">
            <v>11</v>
          </cell>
          <cell r="E107">
            <v>0</v>
          </cell>
          <cell r="F107">
            <v>0</v>
          </cell>
          <cell r="G107">
            <v>0</v>
          </cell>
          <cell r="H107">
            <v>26</v>
          </cell>
          <cell r="I107">
            <v>0</v>
          </cell>
          <cell r="J107">
            <v>0</v>
          </cell>
          <cell r="K107">
            <v>0</v>
          </cell>
          <cell r="L107">
            <v>59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20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16</v>
          </cell>
          <cell r="AA107">
            <v>27</v>
          </cell>
          <cell r="AB107">
            <v>13</v>
          </cell>
          <cell r="AC107">
            <v>0</v>
          </cell>
          <cell r="AD107">
            <v>15</v>
          </cell>
          <cell r="AE107">
            <v>0</v>
          </cell>
          <cell r="AF107">
            <v>9</v>
          </cell>
          <cell r="AG107">
            <v>0</v>
          </cell>
          <cell r="AH107">
            <v>0</v>
          </cell>
          <cell r="AI107">
            <v>196</v>
          </cell>
          <cell r="AJ107">
            <v>59</v>
          </cell>
          <cell r="AK107">
            <v>9</v>
          </cell>
        </row>
        <row r="108">
          <cell r="C108">
            <v>350619004</v>
          </cell>
          <cell r="D108">
            <v>113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15</v>
          </cell>
          <cell r="J108">
            <v>0</v>
          </cell>
          <cell r="K108">
            <v>0</v>
          </cell>
          <cell r="L108">
            <v>19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29</v>
          </cell>
          <cell r="S108">
            <v>26</v>
          </cell>
          <cell r="T108">
            <v>0</v>
          </cell>
          <cell r="U108">
            <v>6</v>
          </cell>
          <cell r="V108">
            <v>0</v>
          </cell>
          <cell r="W108">
            <v>0</v>
          </cell>
          <cell r="X108">
            <v>0</v>
          </cell>
          <cell r="Y108">
            <v>17</v>
          </cell>
          <cell r="Z108">
            <v>0</v>
          </cell>
          <cell r="AA108">
            <v>94</v>
          </cell>
          <cell r="AB108">
            <v>58</v>
          </cell>
          <cell r="AC108">
            <v>0</v>
          </cell>
          <cell r="AD108">
            <v>0</v>
          </cell>
          <cell r="AE108">
            <v>27</v>
          </cell>
          <cell r="AF108">
            <v>0</v>
          </cell>
          <cell r="AG108">
            <v>0</v>
          </cell>
          <cell r="AH108">
            <v>0</v>
          </cell>
          <cell r="AI108">
            <v>409</v>
          </cell>
          <cell r="AJ108">
            <v>113</v>
          </cell>
          <cell r="AK108">
            <v>11</v>
          </cell>
        </row>
        <row r="109">
          <cell r="C109">
            <v>350619005</v>
          </cell>
          <cell r="D109">
            <v>0</v>
          </cell>
          <cell r="E109">
            <v>5</v>
          </cell>
          <cell r="F109">
            <v>0</v>
          </cell>
          <cell r="G109">
            <v>0</v>
          </cell>
          <cell r="H109">
            <v>0</v>
          </cell>
          <cell r="I109">
            <v>10</v>
          </cell>
          <cell r="J109">
            <v>0</v>
          </cell>
          <cell r="K109">
            <v>0</v>
          </cell>
          <cell r="L109">
            <v>30</v>
          </cell>
          <cell r="M109">
            <v>0</v>
          </cell>
          <cell r="N109">
            <v>0</v>
          </cell>
          <cell r="O109">
            <v>3</v>
          </cell>
          <cell r="P109">
            <v>0</v>
          </cell>
          <cell r="Q109">
            <v>0</v>
          </cell>
          <cell r="R109">
            <v>24</v>
          </cell>
          <cell r="S109">
            <v>1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10</v>
          </cell>
          <cell r="AA109">
            <v>23</v>
          </cell>
          <cell r="AB109">
            <v>0</v>
          </cell>
          <cell r="AC109">
            <v>1</v>
          </cell>
          <cell r="AD109">
            <v>14</v>
          </cell>
          <cell r="AE109">
            <v>0</v>
          </cell>
          <cell r="AF109">
            <v>9</v>
          </cell>
          <cell r="AG109">
            <v>30</v>
          </cell>
          <cell r="AH109">
            <v>0</v>
          </cell>
          <cell r="AI109">
            <v>160</v>
          </cell>
          <cell r="AJ109">
            <v>30</v>
          </cell>
          <cell r="AK109">
            <v>12</v>
          </cell>
        </row>
        <row r="110">
          <cell r="C110">
            <v>350619006</v>
          </cell>
          <cell r="D110">
            <v>21</v>
          </cell>
          <cell r="E110">
            <v>0</v>
          </cell>
          <cell r="F110">
            <v>0</v>
          </cell>
          <cell r="G110">
            <v>0</v>
          </cell>
          <cell r="H110">
            <v>18</v>
          </cell>
          <cell r="I110">
            <v>0</v>
          </cell>
          <cell r="J110">
            <v>0</v>
          </cell>
          <cell r="K110">
            <v>0</v>
          </cell>
          <cell r="L110">
            <v>40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24</v>
          </cell>
          <cell r="S110">
            <v>15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19</v>
          </cell>
          <cell r="AA110">
            <v>21</v>
          </cell>
          <cell r="AB110">
            <v>1</v>
          </cell>
          <cell r="AC110">
            <v>0</v>
          </cell>
          <cell r="AD110">
            <v>38</v>
          </cell>
          <cell r="AE110">
            <v>0</v>
          </cell>
          <cell r="AF110">
            <v>9</v>
          </cell>
          <cell r="AG110">
            <v>0</v>
          </cell>
          <cell r="AH110">
            <v>0</v>
          </cell>
          <cell r="AI110">
            <v>206</v>
          </cell>
          <cell r="AJ110">
            <v>40</v>
          </cell>
          <cell r="AK110">
            <v>10</v>
          </cell>
        </row>
        <row r="111">
          <cell r="C111">
            <v>350619007</v>
          </cell>
          <cell r="D111">
            <v>8</v>
          </cell>
          <cell r="E111">
            <v>0</v>
          </cell>
          <cell r="F111">
            <v>0</v>
          </cell>
          <cell r="G111">
            <v>0</v>
          </cell>
          <cell r="H111">
            <v>18</v>
          </cell>
          <cell r="I111">
            <v>14</v>
          </cell>
          <cell r="J111">
            <v>0</v>
          </cell>
          <cell r="K111">
            <v>0</v>
          </cell>
          <cell r="L111">
            <v>43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34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6</v>
          </cell>
          <cell r="AA111">
            <v>36</v>
          </cell>
          <cell r="AB111">
            <v>20</v>
          </cell>
          <cell r="AC111">
            <v>0</v>
          </cell>
          <cell r="AD111">
            <v>16</v>
          </cell>
          <cell r="AE111">
            <v>0</v>
          </cell>
          <cell r="AF111">
            <v>9</v>
          </cell>
          <cell r="AG111">
            <v>0</v>
          </cell>
          <cell r="AH111">
            <v>0</v>
          </cell>
          <cell r="AI111">
            <v>204</v>
          </cell>
          <cell r="AJ111">
            <v>43</v>
          </cell>
          <cell r="AK111">
            <v>10</v>
          </cell>
        </row>
        <row r="112">
          <cell r="C112">
            <v>350619008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9</v>
          </cell>
          <cell r="I112">
            <v>18</v>
          </cell>
          <cell r="J112">
            <v>0</v>
          </cell>
          <cell r="K112">
            <v>0</v>
          </cell>
          <cell r="L112">
            <v>70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39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8</v>
          </cell>
          <cell r="AA112">
            <v>14</v>
          </cell>
          <cell r="AB112">
            <v>7</v>
          </cell>
          <cell r="AC112">
            <v>0</v>
          </cell>
          <cell r="AD112">
            <v>8</v>
          </cell>
          <cell r="AE112">
            <v>0</v>
          </cell>
          <cell r="AF112">
            <v>5</v>
          </cell>
          <cell r="AG112">
            <v>0</v>
          </cell>
          <cell r="AH112">
            <v>0</v>
          </cell>
          <cell r="AI112">
            <v>178</v>
          </cell>
          <cell r="AJ112">
            <v>70</v>
          </cell>
          <cell r="AK112">
            <v>9</v>
          </cell>
        </row>
        <row r="113">
          <cell r="C113">
            <v>350619009</v>
          </cell>
          <cell r="D113">
            <v>0</v>
          </cell>
          <cell r="E113">
            <v>0</v>
          </cell>
          <cell r="F113">
            <v>0</v>
          </cell>
          <cell r="G113">
            <v>15</v>
          </cell>
          <cell r="H113">
            <v>2</v>
          </cell>
          <cell r="I113">
            <v>8</v>
          </cell>
          <cell r="J113">
            <v>0</v>
          </cell>
          <cell r="K113">
            <v>0</v>
          </cell>
          <cell r="L113">
            <v>35</v>
          </cell>
          <cell r="M113">
            <v>0</v>
          </cell>
          <cell r="N113">
            <v>0</v>
          </cell>
          <cell r="O113">
            <v>5</v>
          </cell>
          <cell r="P113">
            <v>0</v>
          </cell>
          <cell r="Q113">
            <v>0</v>
          </cell>
          <cell r="R113">
            <v>18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15</v>
          </cell>
          <cell r="AA113">
            <v>24</v>
          </cell>
          <cell r="AB113">
            <v>5</v>
          </cell>
          <cell r="AC113">
            <v>0</v>
          </cell>
          <cell r="AD113">
            <v>6</v>
          </cell>
          <cell r="AE113">
            <v>0</v>
          </cell>
          <cell r="AF113">
            <v>5</v>
          </cell>
          <cell r="AG113">
            <v>0</v>
          </cell>
          <cell r="AH113">
            <v>0</v>
          </cell>
          <cell r="AI113">
            <v>138</v>
          </cell>
          <cell r="AJ113">
            <v>35</v>
          </cell>
          <cell r="AK113">
            <v>11</v>
          </cell>
        </row>
        <row r="114">
          <cell r="C114">
            <v>350619010</v>
          </cell>
          <cell r="D114">
            <v>0</v>
          </cell>
          <cell r="E114">
            <v>8</v>
          </cell>
          <cell r="F114">
            <v>0</v>
          </cell>
          <cell r="G114">
            <v>0</v>
          </cell>
          <cell r="H114">
            <v>1</v>
          </cell>
          <cell r="I114">
            <v>28</v>
          </cell>
          <cell r="J114">
            <v>0</v>
          </cell>
          <cell r="K114">
            <v>3</v>
          </cell>
          <cell r="L114">
            <v>39</v>
          </cell>
          <cell r="M114">
            <v>0</v>
          </cell>
          <cell r="N114">
            <v>0</v>
          </cell>
          <cell r="O114">
            <v>1</v>
          </cell>
          <cell r="P114">
            <v>0</v>
          </cell>
          <cell r="Q114">
            <v>0</v>
          </cell>
          <cell r="R114">
            <v>19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5</v>
          </cell>
          <cell r="Y114">
            <v>0</v>
          </cell>
          <cell r="Z114">
            <v>14</v>
          </cell>
          <cell r="AA114">
            <v>22</v>
          </cell>
          <cell r="AB114">
            <v>15</v>
          </cell>
          <cell r="AC114">
            <v>1</v>
          </cell>
          <cell r="AD114">
            <v>5</v>
          </cell>
          <cell r="AE114">
            <v>0</v>
          </cell>
          <cell r="AF114">
            <v>11</v>
          </cell>
          <cell r="AG114">
            <v>0</v>
          </cell>
          <cell r="AH114">
            <v>0</v>
          </cell>
          <cell r="AI114">
            <v>172</v>
          </cell>
          <cell r="AJ114">
            <v>39</v>
          </cell>
          <cell r="AK114">
            <v>14</v>
          </cell>
        </row>
        <row r="115">
          <cell r="C115">
            <v>350619011</v>
          </cell>
          <cell r="D115">
            <v>21</v>
          </cell>
          <cell r="E115">
            <v>0</v>
          </cell>
          <cell r="F115">
            <v>0</v>
          </cell>
          <cell r="G115">
            <v>0</v>
          </cell>
          <cell r="H115">
            <v>18</v>
          </cell>
          <cell r="I115">
            <v>0</v>
          </cell>
          <cell r="J115">
            <v>0</v>
          </cell>
          <cell r="K115">
            <v>0</v>
          </cell>
          <cell r="L115">
            <v>78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53</v>
          </cell>
          <cell r="S115">
            <v>7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23</v>
          </cell>
          <cell r="AA115">
            <v>17</v>
          </cell>
          <cell r="AB115">
            <v>0</v>
          </cell>
          <cell r="AC115">
            <v>0</v>
          </cell>
          <cell r="AD115">
            <v>54</v>
          </cell>
          <cell r="AE115">
            <v>0</v>
          </cell>
          <cell r="AF115">
            <v>8</v>
          </cell>
          <cell r="AG115">
            <v>0</v>
          </cell>
          <cell r="AH115">
            <v>0</v>
          </cell>
          <cell r="AI115">
            <v>279</v>
          </cell>
          <cell r="AJ115">
            <v>78</v>
          </cell>
          <cell r="AK115">
            <v>9</v>
          </cell>
        </row>
        <row r="116">
          <cell r="C116">
            <v>350619012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18</v>
          </cell>
          <cell r="I116">
            <v>30</v>
          </cell>
          <cell r="J116">
            <v>0</v>
          </cell>
          <cell r="K116">
            <v>0</v>
          </cell>
          <cell r="L116">
            <v>100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34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15</v>
          </cell>
          <cell r="AA116">
            <v>44</v>
          </cell>
          <cell r="AB116">
            <v>9</v>
          </cell>
          <cell r="AC116">
            <v>0</v>
          </cell>
          <cell r="AD116">
            <v>9</v>
          </cell>
          <cell r="AE116">
            <v>0</v>
          </cell>
          <cell r="AF116">
            <v>12</v>
          </cell>
          <cell r="AG116">
            <v>0</v>
          </cell>
          <cell r="AH116">
            <v>0</v>
          </cell>
          <cell r="AI116">
            <v>271</v>
          </cell>
          <cell r="AJ116">
            <v>100</v>
          </cell>
          <cell r="AK116">
            <v>9</v>
          </cell>
        </row>
        <row r="117">
          <cell r="C117">
            <v>350619013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7</v>
          </cell>
          <cell r="J117">
            <v>0</v>
          </cell>
          <cell r="K117">
            <v>7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13</v>
          </cell>
          <cell r="R117">
            <v>50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17</v>
          </cell>
          <cell r="X117">
            <v>0</v>
          </cell>
          <cell r="Y117">
            <v>0</v>
          </cell>
          <cell r="Z117">
            <v>5</v>
          </cell>
          <cell r="AA117">
            <v>48</v>
          </cell>
          <cell r="AB117">
            <v>5</v>
          </cell>
          <cell r="AC117">
            <v>0</v>
          </cell>
          <cell r="AD117">
            <v>0</v>
          </cell>
          <cell r="AE117">
            <v>0</v>
          </cell>
          <cell r="AF117">
            <v>17</v>
          </cell>
          <cell r="AG117">
            <v>0</v>
          </cell>
          <cell r="AH117">
            <v>0</v>
          </cell>
          <cell r="AI117">
            <v>169</v>
          </cell>
          <cell r="AJ117">
            <v>50</v>
          </cell>
          <cell r="AK117">
            <v>9</v>
          </cell>
        </row>
        <row r="118">
          <cell r="C118">
            <v>350619014</v>
          </cell>
          <cell r="D118">
            <v>0</v>
          </cell>
          <cell r="E118">
            <v>0</v>
          </cell>
          <cell r="F118">
            <v>7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19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22</v>
          </cell>
          <cell r="R118">
            <v>15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4</v>
          </cell>
          <cell r="Z118">
            <v>6</v>
          </cell>
          <cell r="AA118">
            <v>88</v>
          </cell>
          <cell r="AB118">
            <v>4</v>
          </cell>
          <cell r="AC118">
            <v>0</v>
          </cell>
          <cell r="AD118">
            <v>0</v>
          </cell>
          <cell r="AE118">
            <v>3</v>
          </cell>
          <cell r="AF118">
            <v>14</v>
          </cell>
          <cell r="AG118">
            <v>0</v>
          </cell>
          <cell r="AH118">
            <v>0</v>
          </cell>
          <cell r="AI118">
            <v>182</v>
          </cell>
          <cell r="AJ118">
            <v>88</v>
          </cell>
          <cell r="AK118">
            <v>10</v>
          </cell>
        </row>
        <row r="119">
          <cell r="C119">
            <v>350619015</v>
          </cell>
          <cell r="D119">
            <v>2</v>
          </cell>
          <cell r="E119">
            <v>0</v>
          </cell>
          <cell r="F119">
            <v>0</v>
          </cell>
          <cell r="G119">
            <v>0</v>
          </cell>
          <cell r="H119">
            <v>14</v>
          </cell>
          <cell r="I119">
            <v>14</v>
          </cell>
          <cell r="J119">
            <v>1</v>
          </cell>
          <cell r="K119">
            <v>0</v>
          </cell>
          <cell r="L119">
            <v>67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35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2</v>
          </cell>
          <cell r="Z119">
            <v>0</v>
          </cell>
          <cell r="AA119">
            <v>26</v>
          </cell>
          <cell r="AB119">
            <v>59</v>
          </cell>
          <cell r="AC119">
            <v>0</v>
          </cell>
          <cell r="AD119">
            <v>0</v>
          </cell>
          <cell r="AE119">
            <v>0</v>
          </cell>
          <cell r="AF119">
            <v>16</v>
          </cell>
          <cell r="AG119">
            <v>0</v>
          </cell>
          <cell r="AH119">
            <v>0</v>
          </cell>
          <cell r="AI119">
            <v>236</v>
          </cell>
          <cell r="AJ119">
            <v>67</v>
          </cell>
          <cell r="AK119">
            <v>10</v>
          </cell>
        </row>
        <row r="120">
          <cell r="C120">
            <v>350619016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78</v>
          </cell>
          <cell r="J120">
            <v>0</v>
          </cell>
          <cell r="K120">
            <v>0</v>
          </cell>
          <cell r="L120">
            <v>43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48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6</v>
          </cell>
          <cell r="Z120">
            <v>0</v>
          </cell>
          <cell r="AA120">
            <v>136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311</v>
          </cell>
          <cell r="AJ120">
            <v>136</v>
          </cell>
          <cell r="AK120">
            <v>5</v>
          </cell>
        </row>
        <row r="121">
          <cell r="C121">
            <v>350619017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9</v>
          </cell>
          <cell r="I121">
            <v>14</v>
          </cell>
          <cell r="J121">
            <v>0</v>
          </cell>
          <cell r="K121">
            <v>0</v>
          </cell>
          <cell r="L121">
            <v>28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17</v>
          </cell>
          <cell r="R121">
            <v>24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10</v>
          </cell>
          <cell r="AA121">
            <v>15</v>
          </cell>
          <cell r="AB121">
            <v>0</v>
          </cell>
          <cell r="AC121">
            <v>5</v>
          </cell>
          <cell r="AD121">
            <v>9</v>
          </cell>
          <cell r="AE121">
            <v>0</v>
          </cell>
          <cell r="AF121">
            <v>6</v>
          </cell>
          <cell r="AG121">
            <v>0</v>
          </cell>
          <cell r="AH121">
            <v>0</v>
          </cell>
          <cell r="AI121">
            <v>137</v>
          </cell>
          <cell r="AJ121">
            <v>28</v>
          </cell>
          <cell r="AK121">
            <v>10</v>
          </cell>
        </row>
        <row r="122">
          <cell r="C122">
            <v>350619018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18</v>
          </cell>
          <cell r="J122">
            <v>0</v>
          </cell>
          <cell r="K122">
            <v>7</v>
          </cell>
          <cell r="L122">
            <v>15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5</v>
          </cell>
          <cell r="R122">
            <v>15</v>
          </cell>
          <cell r="S122">
            <v>10</v>
          </cell>
          <cell r="T122">
            <v>0</v>
          </cell>
          <cell r="U122">
            <v>0</v>
          </cell>
          <cell r="V122">
            <v>0</v>
          </cell>
          <cell r="W122">
            <v>3</v>
          </cell>
          <cell r="X122">
            <v>0</v>
          </cell>
          <cell r="Y122">
            <v>5</v>
          </cell>
          <cell r="Z122">
            <v>21</v>
          </cell>
          <cell r="AA122">
            <v>56</v>
          </cell>
          <cell r="AB122">
            <v>3</v>
          </cell>
          <cell r="AC122">
            <v>0</v>
          </cell>
          <cell r="AD122">
            <v>0</v>
          </cell>
          <cell r="AE122">
            <v>7</v>
          </cell>
          <cell r="AF122">
            <v>25</v>
          </cell>
          <cell r="AG122">
            <v>0</v>
          </cell>
          <cell r="AH122">
            <v>9</v>
          </cell>
          <cell r="AI122">
            <v>199</v>
          </cell>
          <cell r="AJ122">
            <v>56</v>
          </cell>
          <cell r="AK122">
            <v>14</v>
          </cell>
        </row>
        <row r="123">
          <cell r="C123">
            <v>350619019</v>
          </cell>
          <cell r="D123">
            <v>0</v>
          </cell>
          <cell r="E123">
            <v>0</v>
          </cell>
          <cell r="F123">
            <v>6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19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21</v>
          </cell>
          <cell r="R123">
            <v>14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3</v>
          </cell>
          <cell r="Z123">
            <v>5</v>
          </cell>
          <cell r="AA123">
            <v>89</v>
          </cell>
          <cell r="AB123">
            <v>3</v>
          </cell>
          <cell r="AC123">
            <v>2</v>
          </cell>
          <cell r="AD123">
            <v>2</v>
          </cell>
          <cell r="AE123">
            <v>0</v>
          </cell>
          <cell r="AF123">
            <v>13</v>
          </cell>
          <cell r="AG123">
            <v>0</v>
          </cell>
          <cell r="AH123">
            <v>0</v>
          </cell>
          <cell r="AI123">
            <v>177</v>
          </cell>
          <cell r="AJ123">
            <v>89</v>
          </cell>
          <cell r="AK123">
            <v>11</v>
          </cell>
        </row>
        <row r="124">
          <cell r="C124">
            <v>350619020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10</v>
          </cell>
          <cell r="I124">
            <v>0</v>
          </cell>
          <cell r="J124">
            <v>5</v>
          </cell>
          <cell r="K124">
            <v>5</v>
          </cell>
          <cell r="L124">
            <v>8</v>
          </cell>
          <cell r="M124">
            <v>0</v>
          </cell>
          <cell r="N124">
            <v>0</v>
          </cell>
          <cell r="O124">
            <v>0</v>
          </cell>
          <cell r="P124">
            <v>4</v>
          </cell>
          <cell r="Q124">
            <v>10</v>
          </cell>
          <cell r="R124">
            <v>35</v>
          </cell>
          <cell r="S124">
            <v>6</v>
          </cell>
          <cell r="T124">
            <v>0</v>
          </cell>
          <cell r="U124">
            <v>0</v>
          </cell>
          <cell r="V124">
            <v>0</v>
          </cell>
          <cell r="W124">
            <v>18</v>
          </cell>
          <cell r="X124">
            <v>4</v>
          </cell>
          <cell r="Y124">
            <v>3</v>
          </cell>
          <cell r="Z124">
            <v>8</v>
          </cell>
          <cell r="AA124">
            <v>113</v>
          </cell>
          <cell r="AB124">
            <v>11</v>
          </cell>
          <cell r="AC124">
            <v>6</v>
          </cell>
          <cell r="AD124">
            <v>8</v>
          </cell>
          <cell r="AE124">
            <v>3</v>
          </cell>
          <cell r="AF124">
            <v>10</v>
          </cell>
          <cell r="AG124">
            <v>0</v>
          </cell>
          <cell r="AH124">
            <v>0</v>
          </cell>
          <cell r="AI124">
            <v>267</v>
          </cell>
          <cell r="AJ124">
            <v>113</v>
          </cell>
          <cell r="AK124">
            <v>18</v>
          </cell>
        </row>
        <row r="125">
          <cell r="C125">
            <v>350619021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24</v>
          </cell>
          <cell r="I125">
            <v>7</v>
          </cell>
          <cell r="J125">
            <v>0</v>
          </cell>
          <cell r="K125">
            <v>11</v>
          </cell>
          <cell r="L125">
            <v>0</v>
          </cell>
          <cell r="M125">
            <v>10</v>
          </cell>
          <cell r="N125">
            <v>0</v>
          </cell>
          <cell r="O125">
            <v>0</v>
          </cell>
          <cell r="P125">
            <v>0</v>
          </cell>
          <cell r="Q125">
            <v>17</v>
          </cell>
          <cell r="R125">
            <v>14</v>
          </cell>
          <cell r="S125">
            <v>5</v>
          </cell>
          <cell r="T125">
            <v>0</v>
          </cell>
          <cell r="U125">
            <v>0</v>
          </cell>
          <cell r="V125">
            <v>0</v>
          </cell>
          <cell r="W125">
            <v>4</v>
          </cell>
          <cell r="X125">
            <v>0</v>
          </cell>
          <cell r="Y125">
            <v>9</v>
          </cell>
          <cell r="Z125">
            <v>23</v>
          </cell>
          <cell r="AA125">
            <v>51</v>
          </cell>
          <cell r="AB125">
            <v>6</v>
          </cell>
          <cell r="AC125">
            <v>12</v>
          </cell>
          <cell r="AD125">
            <v>0</v>
          </cell>
          <cell r="AE125">
            <v>1</v>
          </cell>
          <cell r="AF125">
            <v>17</v>
          </cell>
          <cell r="AG125">
            <v>1</v>
          </cell>
          <cell r="AH125">
            <v>1</v>
          </cell>
          <cell r="AI125">
            <v>213</v>
          </cell>
          <cell r="AJ125">
            <v>51</v>
          </cell>
          <cell r="AK125">
            <v>17</v>
          </cell>
        </row>
        <row r="126">
          <cell r="C126">
            <v>350619022</v>
          </cell>
          <cell r="D126">
            <v>40</v>
          </cell>
          <cell r="E126">
            <v>38</v>
          </cell>
          <cell r="F126">
            <v>22</v>
          </cell>
          <cell r="G126">
            <v>7</v>
          </cell>
          <cell r="H126">
            <v>21</v>
          </cell>
          <cell r="I126">
            <v>5</v>
          </cell>
          <cell r="J126">
            <v>2</v>
          </cell>
          <cell r="K126">
            <v>22</v>
          </cell>
          <cell r="L126">
            <v>1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  <cell r="Q126">
            <v>15</v>
          </cell>
          <cell r="R126">
            <v>11</v>
          </cell>
          <cell r="S126">
            <v>7</v>
          </cell>
          <cell r="T126">
            <v>0</v>
          </cell>
          <cell r="U126">
            <v>0</v>
          </cell>
          <cell r="V126">
            <v>0</v>
          </cell>
          <cell r="W126">
            <v>5</v>
          </cell>
          <cell r="X126">
            <v>0</v>
          </cell>
          <cell r="Y126">
            <v>6</v>
          </cell>
          <cell r="Z126">
            <v>0</v>
          </cell>
          <cell r="AA126">
            <v>23</v>
          </cell>
          <cell r="AB126">
            <v>3</v>
          </cell>
          <cell r="AC126">
            <v>8</v>
          </cell>
          <cell r="AD126">
            <v>0</v>
          </cell>
          <cell r="AE126">
            <v>0</v>
          </cell>
          <cell r="AF126">
            <v>43</v>
          </cell>
          <cell r="AG126">
            <v>3</v>
          </cell>
          <cell r="AH126">
            <v>6</v>
          </cell>
          <cell r="AI126">
            <v>290</v>
          </cell>
          <cell r="AJ126">
            <v>43</v>
          </cell>
          <cell r="AK126">
            <v>21</v>
          </cell>
        </row>
        <row r="127">
          <cell r="C127">
            <v>350619023</v>
          </cell>
          <cell r="D127">
            <v>37</v>
          </cell>
          <cell r="E127">
            <v>29</v>
          </cell>
          <cell r="F127">
            <v>18</v>
          </cell>
          <cell r="G127">
            <v>15</v>
          </cell>
          <cell r="H127">
            <v>7</v>
          </cell>
          <cell r="I127">
            <v>5</v>
          </cell>
          <cell r="J127">
            <v>3</v>
          </cell>
          <cell r="K127">
            <v>17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4</v>
          </cell>
          <cell r="Q127">
            <v>13</v>
          </cell>
          <cell r="R127">
            <v>9</v>
          </cell>
          <cell r="S127">
            <v>5</v>
          </cell>
          <cell r="T127">
            <v>0</v>
          </cell>
          <cell r="U127">
            <v>0</v>
          </cell>
          <cell r="V127">
            <v>0</v>
          </cell>
          <cell r="W127">
            <v>4</v>
          </cell>
          <cell r="X127">
            <v>0</v>
          </cell>
          <cell r="Y127">
            <v>4</v>
          </cell>
          <cell r="Z127">
            <v>0</v>
          </cell>
          <cell r="AA127">
            <v>20</v>
          </cell>
          <cell r="AB127">
            <v>5</v>
          </cell>
          <cell r="AC127">
            <v>0</v>
          </cell>
          <cell r="AD127">
            <v>0</v>
          </cell>
          <cell r="AE127">
            <v>0</v>
          </cell>
          <cell r="AF127">
            <v>39</v>
          </cell>
          <cell r="AG127">
            <v>2</v>
          </cell>
          <cell r="AH127">
            <v>4</v>
          </cell>
          <cell r="AI127">
            <v>240</v>
          </cell>
          <cell r="AJ127">
            <v>39</v>
          </cell>
          <cell r="AK127">
            <v>19</v>
          </cell>
        </row>
        <row r="128">
          <cell r="C128">
            <v>350619024</v>
          </cell>
          <cell r="D128">
            <v>18</v>
          </cell>
          <cell r="E128">
            <v>0</v>
          </cell>
          <cell r="F128">
            <v>0</v>
          </cell>
          <cell r="G128">
            <v>5</v>
          </cell>
          <cell r="H128">
            <v>30</v>
          </cell>
          <cell r="I128">
            <v>4</v>
          </cell>
          <cell r="J128">
            <v>1</v>
          </cell>
          <cell r="K128">
            <v>15</v>
          </cell>
          <cell r="L128">
            <v>0</v>
          </cell>
          <cell r="M128">
            <v>8</v>
          </cell>
          <cell r="N128">
            <v>0</v>
          </cell>
          <cell r="O128">
            <v>0</v>
          </cell>
          <cell r="P128">
            <v>0</v>
          </cell>
          <cell r="Q128">
            <v>20</v>
          </cell>
          <cell r="R128">
            <v>12</v>
          </cell>
          <cell r="S128">
            <v>7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11</v>
          </cell>
          <cell r="Z128">
            <v>26</v>
          </cell>
          <cell r="AA128">
            <v>48</v>
          </cell>
          <cell r="AB128">
            <v>8</v>
          </cell>
          <cell r="AC128">
            <v>10</v>
          </cell>
          <cell r="AD128">
            <v>0</v>
          </cell>
          <cell r="AE128">
            <v>0</v>
          </cell>
          <cell r="AF128">
            <v>32</v>
          </cell>
          <cell r="AG128">
            <v>5</v>
          </cell>
          <cell r="AH128">
            <v>0</v>
          </cell>
          <cell r="AI128">
            <v>260</v>
          </cell>
          <cell r="AJ128">
            <v>48</v>
          </cell>
          <cell r="AK128">
            <v>17</v>
          </cell>
        </row>
        <row r="129">
          <cell r="C129">
            <v>350619025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36</v>
          </cell>
          <cell r="I129">
            <v>24</v>
          </cell>
          <cell r="J129">
            <v>0</v>
          </cell>
          <cell r="K129">
            <v>64</v>
          </cell>
          <cell r="L129">
            <v>37</v>
          </cell>
          <cell r="M129">
            <v>16</v>
          </cell>
          <cell r="N129">
            <v>0</v>
          </cell>
          <cell r="O129">
            <v>0</v>
          </cell>
          <cell r="P129">
            <v>0</v>
          </cell>
          <cell r="Q129">
            <v>15</v>
          </cell>
          <cell r="R129">
            <v>25</v>
          </cell>
          <cell r="S129">
            <v>18</v>
          </cell>
          <cell r="T129">
            <v>12</v>
          </cell>
          <cell r="U129">
            <v>0</v>
          </cell>
          <cell r="V129">
            <v>0</v>
          </cell>
          <cell r="W129">
            <v>23</v>
          </cell>
          <cell r="X129">
            <v>0</v>
          </cell>
          <cell r="Y129">
            <v>26</v>
          </cell>
          <cell r="Z129">
            <v>36</v>
          </cell>
          <cell r="AA129">
            <v>68</v>
          </cell>
          <cell r="AB129">
            <v>32</v>
          </cell>
          <cell r="AC129">
            <v>19</v>
          </cell>
          <cell r="AD129">
            <v>18</v>
          </cell>
          <cell r="AE129">
            <v>15</v>
          </cell>
          <cell r="AF129">
            <v>14</v>
          </cell>
          <cell r="AG129">
            <v>25</v>
          </cell>
          <cell r="AH129">
            <v>0</v>
          </cell>
          <cell r="AI129">
            <v>523</v>
          </cell>
          <cell r="AJ129">
            <v>68</v>
          </cell>
          <cell r="AK129">
            <v>19</v>
          </cell>
        </row>
        <row r="130">
          <cell r="C130">
            <v>350619026</v>
          </cell>
          <cell r="D130">
            <v>17</v>
          </cell>
          <cell r="E130">
            <v>0</v>
          </cell>
          <cell r="F130">
            <v>0</v>
          </cell>
          <cell r="G130">
            <v>8</v>
          </cell>
          <cell r="H130">
            <v>12</v>
          </cell>
          <cell r="I130">
            <v>0</v>
          </cell>
          <cell r="J130">
            <v>12</v>
          </cell>
          <cell r="K130">
            <v>12</v>
          </cell>
          <cell r="L130">
            <v>9</v>
          </cell>
          <cell r="M130">
            <v>8</v>
          </cell>
          <cell r="N130">
            <v>0</v>
          </cell>
          <cell r="O130">
            <v>0</v>
          </cell>
          <cell r="P130">
            <v>0</v>
          </cell>
          <cell r="Q130">
            <v>21</v>
          </cell>
          <cell r="R130">
            <v>11</v>
          </cell>
          <cell r="S130">
            <v>14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8</v>
          </cell>
          <cell r="Y130">
            <v>12</v>
          </cell>
          <cell r="Z130">
            <v>18</v>
          </cell>
          <cell r="AA130">
            <v>51</v>
          </cell>
          <cell r="AB130">
            <v>8</v>
          </cell>
          <cell r="AC130">
            <v>31</v>
          </cell>
          <cell r="AD130">
            <v>8</v>
          </cell>
          <cell r="AE130">
            <v>5</v>
          </cell>
          <cell r="AF130">
            <v>43</v>
          </cell>
          <cell r="AG130">
            <v>8</v>
          </cell>
          <cell r="AH130">
            <v>0</v>
          </cell>
          <cell r="AI130">
            <v>316</v>
          </cell>
          <cell r="AJ130">
            <v>51</v>
          </cell>
          <cell r="AK130">
            <v>20</v>
          </cell>
        </row>
        <row r="131">
          <cell r="C131">
            <v>350619027</v>
          </cell>
          <cell r="D131">
            <v>14</v>
          </cell>
          <cell r="E131">
            <v>0</v>
          </cell>
          <cell r="F131">
            <v>0</v>
          </cell>
          <cell r="G131">
            <v>0</v>
          </cell>
          <cell r="H131">
            <v>1</v>
          </cell>
          <cell r="I131">
            <v>3</v>
          </cell>
          <cell r="J131">
            <v>0</v>
          </cell>
          <cell r="K131">
            <v>19</v>
          </cell>
          <cell r="L131">
            <v>28</v>
          </cell>
          <cell r="M131">
            <v>0</v>
          </cell>
          <cell r="N131">
            <v>0</v>
          </cell>
          <cell r="O131">
            <v>0</v>
          </cell>
          <cell r="P131">
            <v>35</v>
          </cell>
          <cell r="Q131">
            <v>3</v>
          </cell>
          <cell r="R131">
            <v>48</v>
          </cell>
          <cell r="S131">
            <v>15</v>
          </cell>
          <cell r="T131">
            <v>0</v>
          </cell>
          <cell r="U131">
            <v>0</v>
          </cell>
          <cell r="V131">
            <v>0</v>
          </cell>
          <cell r="W131">
            <v>2</v>
          </cell>
          <cell r="X131">
            <v>2</v>
          </cell>
          <cell r="Y131">
            <v>12</v>
          </cell>
          <cell r="Z131">
            <v>9</v>
          </cell>
          <cell r="AA131">
            <v>84</v>
          </cell>
          <cell r="AB131">
            <v>3</v>
          </cell>
          <cell r="AC131">
            <v>3</v>
          </cell>
          <cell r="AD131">
            <v>4</v>
          </cell>
          <cell r="AE131">
            <v>2</v>
          </cell>
          <cell r="AF131">
            <v>9</v>
          </cell>
          <cell r="AG131">
            <v>0</v>
          </cell>
          <cell r="AH131">
            <v>0</v>
          </cell>
          <cell r="AI131">
            <v>296</v>
          </cell>
          <cell r="AJ131">
            <v>84</v>
          </cell>
          <cell r="AK131">
            <v>19</v>
          </cell>
        </row>
        <row r="132">
          <cell r="C132">
            <v>350619028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28</v>
          </cell>
          <cell r="L132">
            <v>26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7</v>
          </cell>
          <cell r="R132">
            <v>6</v>
          </cell>
          <cell r="S132">
            <v>5</v>
          </cell>
          <cell r="T132">
            <v>0</v>
          </cell>
          <cell r="U132">
            <v>0</v>
          </cell>
          <cell r="V132">
            <v>0</v>
          </cell>
          <cell r="W132">
            <v>21</v>
          </cell>
          <cell r="X132">
            <v>6</v>
          </cell>
          <cell r="Y132">
            <v>9</v>
          </cell>
          <cell r="Z132">
            <v>25</v>
          </cell>
          <cell r="AA132">
            <v>65</v>
          </cell>
          <cell r="AB132">
            <v>5</v>
          </cell>
          <cell r="AC132">
            <v>0</v>
          </cell>
          <cell r="AD132">
            <v>5</v>
          </cell>
          <cell r="AE132">
            <v>9</v>
          </cell>
          <cell r="AF132">
            <v>14</v>
          </cell>
          <cell r="AG132">
            <v>0</v>
          </cell>
          <cell r="AH132">
            <v>0</v>
          </cell>
          <cell r="AI132">
            <v>231</v>
          </cell>
          <cell r="AJ132">
            <v>65</v>
          </cell>
          <cell r="AK132">
            <v>14</v>
          </cell>
        </row>
        <row r="133">
          <cell r="C133">
            <v>350619029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33</v>
          </cell>
          <cell r="L133">
            <v>29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16</v>
          </cell>
          <cell r="R133">
            <v>24</v>
          </cell>
          <cell r="S133">
            <v>3</v>
          </cell>
          <cell r="T133">
            <v>0</v>
          </cell>
          <cell r="U133">
            <v>0</v>
          </cell>
          <cell r="V133">
            <v>0</v>
          </cell>
          <cell r="W133">
            <v>19</v>
          </cell>
          <cell r="X133">
            <v>8</v>
          </cell>
          <cell r="Y133">
            <v>12</v>
          </cell>
          <cell r="Z133">
            <v>30</v>
          </cell>
          <cell r="AA133">
            <v>64</v>
          </cell>
          <cell r="AB133">
            <v>6</v>
          </cell>
          <cell r="AC133">
            <v>2</v>
          </cell>
          <cell r="AD133">
            <v>2</v>
          </cell>
          <cell r="AE133">
            <v>0</v>
          </cell>
          <cell r="AF133">
            <v>23</v>
          </cell>
          <cell r="AG133">
            <v>0</v>
          </cell>
          <cell r="AH133">
            <v>0</v>
          </cell>
          <cell r="AI133">
            <v>271</v>
          </cell>
          <cell r="AJ133">
            <v>64</v>
          </cell>
          <cell r="AK133">
            <v>14</v>
          </cell>
        </row>
        <row r="134">
          <cell r="C134">
            <v>350619030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25</v>
          </cell>
          <cell r="L134">
            <v>28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9</v>
          </cell>
          <cell r="R134">
            <v>8</v>
          </cell>
          <cell r="S134">
            <v>4</v>
          </cell>
          <cell r="T134">
            <v>0</v>
          </cell>
          <cell r="U134">
            <v>0</v>
          </cell>
          <cell r="V134">
            <v>0</v>
          </cell>
          <cell r="W134">
            <v>15</v>
          </cell>
          <cell r="X134">
            <v>5</v>
          </cell>
          <cell r="Y134">
            <v>8</v>
          </cell>
          <cell r="Z134">
            <v>19</v>
          </cell>
          <cell r="AA134">
            <v>62</v>
          </cell>
          <cell r="AB134">
            <v>0</v>
          </cell>
          <cell r="AC134">
            <v>0</v>
          </cell>
          <cell r="AD134">
            <v>5</v>
          </cell>
          <cell r="AE134">
            <v>8</v>
          </cell>
          <cell r="AF134">
            <v>13</v>
          </cell>
          <cell r="AG134">
            <v>0</v>
          </cell>
          <cell r="AH134">
            <v>0</v>
          </cell>
          <cell r="AI134">
            <v>209</v>
          </cell>
          <cell r="AJ134">
            <v>62</v>
          </cell>
          <cell r="AK134">
            <v>13</v>
          </cell>
        </row>
        <row r="135">
          <cell r="C135">
            <v>350619031</v>
          </cell>
          <cell r="D135">
            <v>0</v>
          </cell>
          <cell r="E135">
            <v>0</v>
          </cell>
          <cell r="F135">
            <v>38</v>
          </cell>
          <cell r="G135">
            <v>0</v>
          </cell>
          <cell r="H135">
            <v>2</v>
          </cell>
          <cell r="I135">
            <v>0</v>
          </cell>
          <cell r="J135">
            <v>0</v>
          </cell>
          <cell r="K135">
            <v>28</v>
          </cell>
          <cell r="L135">
            <v>5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14</v>
          </cell>
          <cell r="R135">
            <v>20</v>
          </cell>
          <cell r="S135">
            <v>24</v>
          </cell>
          <cell r="T135">
            <v>2</v>
          </cell>
          <cell r="U135">
            <v>0</v>
          </cell>
          <cell r="V135">
            <v>0</v>
          </cell>
          <cell r="W135">
            <v>46</v>
          </cell>
          <cell r="X135">
            <v>4</v>
          </cell>
          <cell r="Y135">
            <v>11</v>
          </cell>
          <cell r="Z135">
            <v>19</v>
          </cell>
          <cell r="AA135">
            <v>31</v>
          </cell>
          <cell r="AB135">
            <v>0</v>
          </cell>
          <cell r="AC135">
            <v>13</v>
          </cell>
          <cell r="AD135">
            <v>0</v>
          </cell>
          <cell r="AE135">
            <v>3</v>
          </cell>
          <cell r="AF135">
            <v>14</v>
          </cell>
          <cell r="AG135">
            <v>0</v>
          </cell>
          <cell r="AH135">
            <v>0</v>
          </cell>
          <cell r="AI135">
            <v>274</v>
          </cell>
          <cell r="AJ135">
            <v>46</v>
          </cell>
          <cell r="AK135">
            <v>16</v>
          </cell>
        </row>
        <row r="136">
          <cell r="C136">
            <v>350619032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</v>
          </cell>
          <cell r="I136">
            <v>0</v>
          </cell>
          <cell r="J136">
            <v>8</v>
          </cell>
          <cell r="K136">
            <v>24</v>
          </cell>
          <cell r="L136">
            <v>15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5</v>
          </cell>
          <cell r="S136">
            <v>50</v>
          </cell>
          <cell r="T136">
            <v>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3</v>
          </cell>
          <cell r="Z136">
            <v>6</v>
          </cell>
          <cell r="AA136">
            <v>4</v>
          </cell>
          <cell r="AB136">
            <v>3</v>
          </cell>
          <cell r="AC136">
            <v>8</v>
          </cell>
          <cell r="AD136">
            <v>0</v>
          </cell>
          <cell r="AE136">
            <v>0</v>
          </cell>
          <cell r="AF136">
            <v>36</v>
          </cell>
          <cell r="AG136">
            <v>0</v>
          </cell>
          <cell r="AH136">
            <v>0</v>
          </cell>
          <cell r="AI136">
            <v>172</v>
          </cell>
          <cell r="AJ136">
            <v>50</v>
          </cell>
          <cell r="AK136">
            <v>13</v>
          </cell>
        </row>
        <row r="137">
          <cell r="C137">
            <v>350619033</v>
          </cell>
          <cell r="D137">
            <v>3</v>
          </cell>
          <cell r="E137">
            <v>0</v>
          </cell>
          <cell r="F137">
            <v>7</v>
          </cell>
          <cell r="G137">
            <v>0</v>
          </cell>
          <cell r="H137">
            <v>3</v>
          </cell>
          <cell r="I137">
            <v>0</v>
          </cell>
          <cell r="J137">
            <v>0</v>
          </cell>
          <cell r="K137">
            <v>21</v>
          </cell>
          <cell r="L137">
            <v>2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4</v>
          </cell>
          <cell r="R137">
            <v>9</v>
          </cell>
          <cell r="S137">
            <v>60</v>
          </cell>
          <cell r="T137">
            <v>0</v>
          </cell>
          <cell r="U137">
            <v>0</v>
          </cell>
          <cell r="V137">
            <v>0</v>
          </cell>
          <cell r="W137">
            <v>29</v>
          </cell>
          <cell r="X137">
            <v>0</v>
          </cell>
          <cell r="Y137">
            <v>9</v>
          </cell>
          <cell r="Z137">
            <v>7</v>
          </cell>
          <cell r="AA137">
            <v>13</v>
          </cell>
          <cell r="AB137">
            <v>11</v>
          </cell>
          <cell r="AC137">
            <v>14</v>
          </cell>
          <cell r="AD137">
            <v>0</v>
          </cell>
          <cell r="AE137">
            <v>0</v>
          </cell>
          <cell r="AF137">
            <v>47</v>
          </cell>
          <cell r="AG137">
            <v>0</v>
          </cell>
          <cell r="AH137">
            <v>0</v>
          </cell>
          <cell r="AI137">
            <v>239</v>
          </cell>
          <cell r="AJ137">
            <v>60</v>
          </cell>
          <cell r="AK137">
            <v>15</v>
          </cell>
        </row>
        <row r="138">
          <cell r="C138">
            <v>350619034</v>
          </cell>
          <cell r="D138">
            <v>5</v>
          </cell>
          <cell r="E138">
            <v>0</v>
          </cell>
          <cell r="F138">
            <v>4</v>
          </cell>
          <cell r="G138">
            <v>0</v>
          </cell>
          <cell r="H138">
            <v>17</v>
          </cell>
          <cell r="I138">
            <v>0</v>
          </cell>
          <cell r="J138">
            <v>1</v>
          </cell>
          <cell r="K138">
            <v>24</v>
          </cell>
          <cell r="L138">
            <v>3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6</v>
          </cell>
          <cell r="R138">
            <v>7</v>
          </cell>
          <cell r="S138">
            <v>56</v>
          </cell>
          <cell r="T138">
            <v>8</v>
          </cell>
          <cell r="U138">
            <v>0</v>
          </cell>
          <cell r="V138">
            <v>0</v>
          </cell>
          <cell r="W138">
            <v>13</v>
          </cell>
          <cell r="X138">
            <v>0</v>
          </cell>
          <cell r="Y138">
            <v>11</v>
          </cell>
          <cell r="Z138">
            <v>10</v>
          </cell>
          <cell r="AA138">
            <v>7</v>
          </cell>
          <cell r="AB138">
            <v>2</v>
          </cell>
          <cell r="AC138">
            <v>12</v>
          </cell>
          <cell r="AD138">
            <v>0</v>
          </cell>
          <cell r="AE138">
            <v>3</v>
          </cell>
          <cell r="AF138">
            <v>65</v>
          </cell>
          <cell r="AG138">
            <v>0</v>
          </cell>
          <cell r="AH138">
            <v>0</v>
          </cell>
          <cell r="AI138">
            <v>254</v>
          </cell>
          <cell r="AJ138">
            <v>65</v>
          </cell>
          <cell r="AK138">
            <v>18</v>
          </cell>
        </row>
        <row r="139">
          <cell r="C139">
            <v>350619035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12</v>
          </cell>
          <cell r="J139">
            <v>0</v>
          </cell>
          <cell r="K139">
            <v>25</v>
          </cell>
          <cell r="L139">
            <v>15</v>
          </cell>
          <cell r="M139">
            <v>8</v>
          </cell>
          <cell r="N139">
            <v>0</v>
          </cell>
          <cell r="O139">
            <v>0</v>
          </cell>
          <cell r="P139">
            <v>22</v>
          </cell>
          <cell r="Q139">
            <v>0</v>
          </cell>
          <cell r="R139">
            <v>30</v>
          </cell>
          <cell r="S139">
            <v>11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15</v>
          </cell>
          <cell r="AB139">
            <v>30</v>
          </cell>
          <cell r="AC139">
            <v>25</v>
          </cell>
          <cell r="AD139">
            <v>13</v>
          </cell>
          <cell r="AE139">
            <v>4</v>
          </cell>
          <cell r="AF139">
            <v>10</v>
          </cell>
          <cell r="AG139">
            <v>0</v>
          </cell>
          <cell r="AH139">
            <v>0</v>
          </cell>
          <cell r="AI139">
            <v>220</v>
          </cell>
          <cell r="AJ139">
            <v>30</v>
          </cell>
          <cell r="AK139">
            <v>13</v>
          </cell>
        </row>
        <row r="140">
          <cell r="C140">
            <v>350619036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25</v>
          </cell>
          <cell r="L140">
            <v>28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9</v>
          </cell>
          <cell r="R140">
            <v>8</v>
          </cell>
          <cell r="S140">
            <v>4</v>
          </cell>
          <cell r="T140">
            <v>0</v>
          </cell>
          <cell r="U140">
            <v>0</v>
          </cell>
          <cell r="V140">
            <v>0</v>
          </cell>
          <cell r="W140">
            <v>15</v>
          </cell>
          <cell r="X140">
            <v>5</v>
          </cell>
          <cell r="Y140">
            <v>8</v>
          </cell>
          <cell r="Z140">
            <v>19</v>
          </cell>
          <cell r="AA140">
            <v>62</v>
          </cell>
          <cell r="AB140">
            <v>0</v>
          </cell>
          <cell r="AC140">
            <v>0</v>
          </cell>
          <cell r="AD140">
            <v>5</v>
          </cell>
          <cell r="AE140">
            <v>8</v>
          </cell>
          <cell r="AF140">
            <v>13</v>
          </cell>
          <cell r="AG140">
            <v>0</v>
          </cell>
          <cell r="AH140">
            <v>0</v>
          </cell>
          <cell r="AI140">
            <v>209</v>
          </cell>
          <cell r="AJ140">
            <v>62</v>
          </cell>
          <cell r="AK140">
            <v>13</v>
          </cell>
        </row>
        <row r="141">
          <cell r="C141">
            <v>350620001</v>
          </cell>
          <cell r="D141">
            <v>3</v>
          </cell>
          <cell r="E141">
            <v>0</v>
          </cell>
          <cell r="F141">
            <v>36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5</v>
          </cell>
          <cell r="L141">
            <v>46</v>
          </cell>
          <cell r="M141">
            <v>0</v>
          </cell>
          <cell r="N141">
            <v>0</v>
          </cell>
          <cell r="O141">
            <v>7</v>
          </cell>
          <cell r="P141">
            <v>16</v>
          </cell>
          <cell r="Q141">
            <v>0</v>
          </cell>
          <cell r="R141">
            <v>18</v>
          </cell>
          <cell r="S141">
            <v>4</v>
          </cell>
          <cell r="T141">
            <v>7</v>
          </cell>
          <cell r="U141">
            <v>0</v>
          </cell>
          <cell r="V141">
            <v>0</v>
          </cell>
          <cell r="W141">
            <v>0</v>
          </cell>
          <cell r="X141">
            <v>12</v>
          </cell>
          <cell r="Y141">
            <v>1</v>
          </cell>
          <cell r="Z141">
            <v>91</v>
          </cell>
          <cell r="AA141">
            <v>44</v>
          </cell>
          <cell r="AB141">
            <v>25</v>
          </cell>
          <cell r="AC141">
            <v>3</v>
          </cell>
          <cell r="AD141">
            <v>16</v>
          </cell>
          <cell r="AE141">
            <v>2</v>
          </cell>
          <cell r="AF141">
            <v>9</v>
          </cell>
          <cell r="AG141">
            <v>1</v>
          </cell>
          <cell r="AH141">
            <v>0</v>
          </cell>
          <cell r="AI141">
            <v>346</v>
          </cell>
          <cell r="AJ141">
            <v>91</v>
          </cell>
          <cell r="AK141">
            <v>19</v>
          </cell>
        </row>
        <row r="142">
          <cell r="C142">
            <v>350620002</v>
          </cell>
          <cell r="D142">
            <v>0</v>
          </cell>
          <cell r="E142">
            <v>0</v>
          </cell>
          <cell r="F142">
            <v>39</v>
          </cell>
          <cell r="G142">
            <v>0</v>
          </cell>
          <cell r="H142">
            <v>0</v>
          </cell>
          <cell r="I142">
            <v>3</v>
          </cell>
          <cell r="J142">
            <v>0</v>
          </cell>
          <cell r="K142">
            <v>1</v>
          </cell>
          <cell r="L142">
            <v>19</v>
          </cell>
          <cell r="M142">
            <v>0</v>
          </cell>
          <cell r="N142">
            <v>0</v>
          </cell>
          <cell r="O142">
            <v>27</v>
          </cell>
          <cell r="P142">
            <v>20</v>
          </cell>
          <cell r="Q142">
            <v>2</v>
          </cell>
          <cell r="R142">
            <v>17</v>
          </cell>
          <cell r="S142">
            <v>1</v>
          </cell>
          <cell r="T142">
            <v>17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5</v>
          </cell>
          <cell r="AA142">
            <v>28</v>
          </cell>
          <cell r="AB142">
            <v>2</v>
          </cell>
          <cell r="AC142">
            <v>3</v>
          </cell>
          <cell r="AD142">
            <v>15</v>
          </cell>
          <cell r="AE142">
            <v>7</v>
          </cell>
          <cell r="AF142">
            <v>9</v>
          </cell>
          <cell r="AG142">
            <v>0</v>
          </cell>
          <cell r="AH142">
            <v>0</v>
          </cell>
          <cell r="AI142">
            <v>215</v>
          </cell>
          <cell r="AJ142">
            <v>39</v>
          </cell>
          <cell r="AK142">
            <v>17</v>
          </cell>
        </row>
        <row r="143">
          <cell r="C143">
            <v>350620003</v>
          </cell>
          <cell r="D143">
            <v>4</v>
          </cell>
          <cell r="E143">
            <v>0</v>
          </cell>
          <cell r="F143">
            <v>5</v>
          </cell>
          <cell r="G143">
            <v>0</v>
          </cell>
          <cell r="H143">
            <v>0</v>
          </cell>
          <cell r="I143">
            <v>2</v>
          </cell>
          <cell r="J143">
            <v>0</v>
          </cell>
          <cell r="K143">
            <v>0</v>
          </cell>
          <cell r="L143">
            <v>8</v>
          </cell>
          <cell r="M143">
            <v>0</v>
          </cell>
          <cell r="N143">
            <v>0</v>
          </cell>
          <cell r="O143">
            <v>17</v>
          </cell>
          <cell r="P143">
            <v>8</v>
          </cell>
          <cell r="Q143">
            <v>15</v>
          </cell>
          <cell r="R143">
            <v>14</v>
          </cell>
          <cell r="S143">
            <v>3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30</v>
          </cell>
          <cell r="Y143">
            <v>0</v>
          </cell>
          <cell r="Z143">
            <v>35</v>
          </cell>
          <cell r="AA143">
            <v>110</v>
          </cell>
          <cell r="AB143">
            <v>8</v>
          </cell>
          <cell r="AC143">
            <v>5</v>
          </cell>
          <cell r="AD143">
            <v>30</v>
          </cell>
          <cell r="AE143">
            <v>1</v>
          </cell>
          <cell r="AF143">
            <v>7</v>
          </cell>
          <cell r="AG143">
            <v>0</v>
          </cell>
          <cell r="AH143">
            <v>0</v>
          </cell>
          <cell r="AI143">
            <v>302</v>
          </cell>
          <cell r="AJ143">
            <v>110</v>
          </cell>
          <cell r="AK143">
            <v>17</v>
          </cell>
        </row>
        <row r="144">
          <cell r="C144">
            <v>350620004</v>
          </cell>
          <cell r="D144">
            <v>3</v>
          </cell>
          <cell r="E144">
            <v>0</v>
          </cell>
          <cell r="F144">
            <v>10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10</v>
          </cell>
          <cell r="L144">
            <v>9</v>
          </cell>
          <cell r="M144">
            <v>0</v>
          </cell>
          <cell r="N144">
            <v>0</v>
          </cell>
          <cell r="O144">
            <v>22</v>
          </cell>
          <cell r="P144">
            <v>0</v>
          </cell>
          <cell r="Q144">
            <v>3</v>
          </cell>
          <cell r="R144">
            <v>11</v>
          </cell>
          <cell r="S144">
            <v>1</v>
          </cell>
          <cell r="T144">
            <v>25</v>
          </cell>
          <cell r="U144">
            <v>0</v>
          </cell>
          <cell r="V144">
            <v>0</v>
          </cell>
          <cell r="W144">
            <v>0</v>
          </cell>
          <cell r="X144">
            <v>8</v>
          </cell>
          <cell r="Y144">
            <v>0</v>
          </cell>
          <cell r="Z144">
            <v>50</v>
          </cell>
          <cell r="AA144">
            <v>48</v>
          </cell>
          <cell r="AB144">
            <v>34</v>
          </cell>
          <cell r="AC144">
            <v>4</v>
          </cell>
          <cell r="AD144">
            <v>4</v>
          </cell>
          <cell r="AE144">
            <v>24</v>
          </cell>
          <cell r="AF144">
            <v>2</v>
          </cell>
          <cell r="AG144">
            <v>7</v>
          </cell>
          <cell r="AH144">
            <v>0</v>
          </cell>
          <cell r="AI144">
            <v>275</v>
          </cell>
          <cell r="AJ144">
            <v>50</v>
          </cell>
          <cell r="AK144">
            <v>18</v>
          </cell>
        </row>
        <row r="145">
          <cell r="C145">
            <v>350620005</v>
          </cell>
          <cell r="D145">
            <v>4</v>
          </cell>
          <cell r="E145">
            <v>0</v>
          </cell>
          <cell r="F145">
            <v>3</v>
          </cell>
          <cell r="G145">
            <v>0</v>
          </cell>
          <cell r="H145">
            <v>0</v>
          </cell>
          <cell r="I145">
            <v>14</v>
          </cell>
          <cell r="J145">
            <v>0</v>
          </cell>
          <cell r="K145">
            <v>2</v>
          </cell>
          <cell r="L145">
            <v>9</v>
          </cell>
          <cell r="M145">
            <v>0</v>
          </cell>
          <cell r="N145">
            <v>0</v>
          </cell>
          <cell r="O145">
            <v>19</v>
          </cell>
          <cell r="P145">
            <v>6</v>
          </cell>
          <cell r="Q145">
            <v>3</v>
          </cell>
          <cell r="R145">
            <v>10</v>
          </cell>
          <cell r="S145">
            <v>2</v>
          </cell>
          <cell r="T145">
            <v>10</v>
          </cell>
          <cell r="U145">
            <v>0</v>
          </cell>
          <cell r="V145">
            <v>0</v>
          </cell>
          <cell r="W145">
            <v>0</v>
          </cell>
          <cell r="X145">
            <v>13</v>
          </cell>
          <cell r="Y145">
            <v>0</v>
          </cell>
          <cell r="Z145">
            <v>37</v>
          </cell>
          <cell r="AA145">
            <v>63</v>
          </cell>
          <cell r="AB145">
            <v>17</v>
          </cell>
          <cell r="AC145">
            <v>5</v>
          </cell>
          <cell r="AD145">
            <v>24</v>
          </cell>
          <cell r="AE145">
            <v>0</v>
          </cell>
          <cell r="AF145">
            <v>7</v>
          </cell>
          <cell r="AG145">
            <v>0</v>
          </cell>
          <cell r="AH145">
            <v>0</v>
          </cell>
          <cell r="AI145">
            <v>248</v>
          </cell>
          <cell r="AJ145">
            <v>63</v>
          </cell>
          <cell r="AK145">
            <v>18</v>
          </cell>
        </row>
        <row r="146">
          <cell r="C146">
            <v>350620006</v>
          </cell>
          <cell r="D146">
            <v>5</v>
          </cell>
          <cell r="E146">
            <v>0</v>
          </cell>
          <cell r="F146">
            <v>29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3</v>
          </cell>
          <cell r="L146">
            <v>40</v>
          </cell>
          <cell r="M146">
            <v>0</v>
          </cell>
          <cell r="N146">
            <v>0</v>
          </cell>
          <cell r="O146">
            <v>0</v>
          </cell>
          <cell r="P146">
            <v>13</v>
          </cell>
          <cell r="Q146">
            <v>7</v>
          </cell>
          <cell r="R146">
            <v>27</v>
          </cell>
          <cell r="S146">
            <v>3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23</v>
          </cell>
          <cell r="Y146">
            <v>0</v>
          </cell>
          <cell r="Z146">
            <v>50</v>
          </cell>
          <cell r="AA146">
            <v>42</v>
          </cell>
          <cell r="AB146">
            <v>10</v>
          </cell>
          <cell r="AC146">
            <v>3</v>
          </cell>
          <cell r="AD146">
            <v>7</v>
          </cell>
          <cell r="AE146">
            <v>0</v>
          </cell>
          <cell r="AF146">
            <v>8</v>
          </cell>
          <cell r="AG146">
            <v>0</v>
          </cell>
          <cell r="AH146">
            <v>0</v>
          </cell>
          <cell r="AI146">
            <v>270</v>
          </cell>
          <cell r="AJ146">
            <v>50</v>
          </cell>
          <cell r="AK146">
            <v>15</v>
          </cell>
        </row>
        <row r="147">
          <cell r="C147">
            <v>350620007</v>
          </cell>
          <cell r="D147">
            <v>20</v>
          </cell>
          <cell r="E147">
            <v>0</v>
          </cell>
          <cell r="F147">
            <v>44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11</v>
          </cell>
          <cell r="L147">
            <v>23</v>
          </cell>
          <cell r="M147">
            <v>0</v>
          </cell>
          <cell r="N147">
            <v>0</v>
          </cell>
          <cell r="O147">
            <v>0</v>
          </cell>
          <cell r="P147">
            <v>4</v>
          </cell>
          <cell r="Q147">
            <v>7</v>
          </cell>
          <cell r="R147">
            <v>30</v>
          </cell>
          <cell r="S147">
            <v>7</v>
          </cell>
          <cell r="T147">
            <v>0</v>
          </cell>
          <cell r="U147">
            <v>0</v>
          </cell>
          <cell r="V147">
            <v>0</v>
          </cell>
          <cell r="W147">
            <v>8</v>
          </cell>
          <cell r="X147">
            <v>8</v>
          </cell>
          <cell r="Y147">
            <v>0</v>
          </cell>
          <cell r="Z147">
            <v>22</v>
          </cell>
          <cell r="AA147">
            <v>31</v>
          </cell>
          <cell r="AB147">
            <v>4</v>
          </cell>
          <cell r="AC147">
            <v>3</v>
          </cell>
          <cell r="AD147">
            <v>7</v>
          </cell>
          <cell r="AE147">
            <v>0</v>
          </cell>
          <cell r="AF147">
            <v>14</v>
          </cell>
          <cell r="AG147">
            <v>0</v>
          </cell>
          <cell r="AH147">
            <v>0</v>
          </cell>
          <cell r="AI147">
            <v>243</v>
          </cell>
          <cell r="AJ147">
            <v>44</v>
          </cell>
          <cell r="AK147">
            <v>16</v>
          </cell>
        </row>
        <row r="148">
          <cell r="C148">
            <v>350620008</v>
          </cell>
          <cell r="D148">
            <v>30</v>
          </cell>
          <cell r="E148">
            <v>0</v>
          </cell>
          <cell r="F148">
            <v>40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30</v>
          </cell>
          <cell r="L148">
            <v>12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19</v>
          </cell>
          <cell r="R148">
            <v>30</v>
          </cell>
          <cell r="S148">
            <v>15</v>
          </cell>
          <cell r="T148">
            <v>0</v>
          </cell>
          <cell r="U148">
            <v>0</v>
          </cell>
          <cell r="V148">
            <v>0</v>
          </cell>
          <cell r="W148">
            <v>30</v>
          </cell>
          <cell r="X148">
            <v>18</v>
          </cell>
          <cell r="Y148">
            <v>5</v>
          </cell>
          <cell r="Z148">
            <v>20</v>
          </cell>
          <cell r="AA148">
            <v>33</v>
          </cell>
          <cell r="AB148">
            <v>3</v>
          </cell>
          <cell r="AC148">
            <v>5</v>
          </cell>
          <cell r="AD148">
            <v>2</v>
          </cell>
          <cell r="AE148">
            <v>2</v>
          </cell>
          <cell r="AF148">
            <v>20</v>
          </cell>
          <cell r="AG148">
            <v>0</v>
          </cell>
          <cell r="AH148">
            <v>0</v>
          </cell>
          <cell r="AI148">
            <v>314</v>
          </cell>
          <cell r="AJ148">
            <v>40</v>
          </cell>
          <cell r="AK148">
            <v>17</v>
          </cell>
        </row>
        <row r="149">
          <cell r="C149">
            <v>350620009</v>
          </cell>
          <cell r="D149">
            <v>32</v>
          </cell>
          <cell r="E149">
            <v>0</v>
          </cell>
          <cell r="F149">
            <v>11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1</v>
          </cell>
          <cell r="L149">
            <v>21</v>
          </cell>
          <cell r="M149">
            <v>0</v>
          </cell>
          <cell r="N149">
            <v>0</v>
          </cell>
          <cell r="O149">
            <v>0</v>
          </cell>
          <cell r="P149">
            <v>15</v>
          </cell>
          <cell r="Q149">
            <v>76</v>
          </cell>
          <cell r="R149">
            <v>10</v>
          </cell>
          <cell r="S149">
            <v>1</v>
          </cell>
          <cell r="T149">
            <v>0</v>
          </cell>
          <cell r="U149">
            <v>0</v>
          </cell>
          <cell r="V149">
            <v>0</v>
          </cell>
          <cell r="W149">
            <v>20</v>
          </cell>
          <cell r="X149">
            <v>0</v>
          </cell>
          <cell r="Y149">
            <v>3</v>
          </cell>
          <cell r="Z149">
            <v>7</v>
          </cell>
          <cell r="AA149">
            <v>26</v>
          </cell>
          <cell r="AB149">
            <v>3</v>
          </cell>
          <cell r="AC149">
            <v>9</v>
          </cell>
          <cell r="AD149">
            <v>13</v>
          </cell>
          <cell r="AE149">
            <v>0</v>
          </cell>
          <cell r="AF149">
            <v>19</v>
          </cell>
          <cell r="AG149">
            <v>1</v>
          </cell>
          <cell r="AH149">
            <v>0</v>
          </cell>
          <cell r="AI149">
            <v>268</v>
          </cell>
          <cell r="AJ149">
            <v>76</v>
          </cell>
          <cell r="AK149">
            <v>17</v>
          </cell>
        </row>
        <row r="150">
          <cell r="C150">
            <v>350620010</v>
          </cell>
          <cell r="D150">
            <v>32</v>
          </cell>
          <cell r="E150">
            <v>19</v>
          </cell>
          <cell r="F150">
            <v>12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13</v>
          </cell>
          <cell r="Q150">
            <v>83</v>
          </cell>
          <cell r="R150">
            <v>0</v>
          </cell>
          <cell r="S150">
            <v>9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8</v>
          </cell>
          <cell r="Z150">
            <v>13</v>
          </cell>
          <cell r="AA150">
            <v>29</v>
          </cell>
          <cell r="AB150">
            <v>9</v>
          </cell>
          <cell r="AC150">
            <v>11</v>
          </cell>
          <cell r="AD150">
            <v>5</v>
          </cell>
          <cell r="AE150">
            <v>2</v>
          </cell>
          <cell r="AF150">
            <v>24</v>
          </cell>
          <cell r="AG150">
            <v>0</v>
          </cell>
          <cell r="AH150">
            <v>0</v>
          </cell>
          <cell r="AI150">
            <v>269</v>
          </cell>
          <cell r="AJ150">
            <v>83</v>
          </cell>
          <cell r="AK150">
            <v>14</v>
          </cell>
        </row>
        <row r="151">
          <cell r="C151">
            <v>350620011</v>
          </cell>
          <cell r="D151">
            <v>44</v>
          </cell>
          <cell r="E151">
            <v>0</v>
          </cell>
          <cell r="F151">
            <v>13</v>
          </cell>
          <cell r="G151">
            <v>14</v>
          </cell>
          <cell r="H151">
            <v>0</v>
          </cell>
          <cell r="I151">
            <v>0</v>
          </cell>
          <cell r="J151">
            <v>2</v>
          </cell>
          <cell r="K151">
            <v>0</v>
          </cell>
          <cell r="L151">
            <v>4</v>
          </cell>
          <cell r="M151">
            <v>17</v>
          </cell>
          <cell r="N151">
            <v>0</v>
          </cell>
          <cell r="O151">
            <v>0</v>
          </cell>
          <cell r="P151">
            <v>16</v>
          </cell>
          <cell r="Q151">
            <v>31</v>
          </cell>
          <cell r="R151">
            <v>6</v>
          </cell>
          <cell r="S151">
            <v>33</v>
          </cell>
          <cell r="T151">
            <v>0</v>
          </cell>
          <cell r="U151">
            <v>0</v>
          </cell>
          <cell r="V151">
            <v>0</v>
          </cell>
          <cell r="W151">
            <v>3</v>
          </cell>
          <cell r="X151">
            <v>20</v>
          </cell>
          <cell r="Y151">
            <v>11</v>
          </cell>
          <cell r="Z151">
            <v>11</v>
          </cell>
          <cell r="AA151">
            <v>36</v>
          </cell>
          <cell r="AB151">
            <v>13</v>
          </cell>
          <cell r="AC151">
            <v>18</v>
          </cell>
          <cell r="AD151">
            <v>22</v>
          </cell>
          <cell r="AE151">
            <v>15</v>
          </cell>
          <cell r="AF151">
            <v>11</v>
          </cell>
          <cell r="AG151">
            <v>6</v>
          </cell>
          <cell r="AH151">
            <v>0</v>
          </cell>
          <cell r="AI151">
            <v>346</v>
          </cell>
          <cell r="AJ151">
            <v>44</v>
          </cell>
          <cell r="AK151">
            <v>21</v>
          </cell>
        </row>
        <row r="152">
          <cell r="C152">
            <v>350620012</v>
          </cell>
          <cell r="D152">
            <v>27</v>
          </cell>
          <cell r="E152">
            <v>2</v>
          </cell>
          <cell r="F152">
            <v>4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7</v>
          </cell>
          <cell r="M152">
            <v>0</v>
          </cell>
          <cell r="N152">
            <v>0</v>
          </cell>
          <cell r="O152">
            <v>0</v>
          </cell>
          <cell r="P152">
            <v>12</v>
          </cell>
          <cell r="Q152">
            <v>91</v>
          </cell>
          <cell r="R152">
            <v>22</v>
          </cell>
          <cell r="S152">
            <v>25</v>
          </cell>
          <cell r="T152">
            <v>0</v>
          </cell>
          <cell r="U152">
            <v>0</v>
          </cell>
          <cell r="V152">
            <v>0</v>
          </cell>
          <cell r="W152">
            <v>29</v>
          </cell>
          <cell r="X152">
            <v>0</v>
          </cell>
          <cell r="Y152">
            <v>3</v>
          </cell>
          <cell r="Z152">
            <v>7</v>
          </cell>
          <cell r="AA152">
            <v>15</v>
          </cell>
          <cell r="AB152">
            <v>4</v>
          </cell>
          <cell r="AC152">
            <v>6</v>
          </cell>
          <cell r="AD152">
            <v>7</v>
          </cell>
          <cell r="AE152">
            <v>0</v>
          </cell>
          <cell r="AF152">
            <v>15</v>
          </cell>
          <cell r="AG152">
            <v>2</v>
          </cell>
          <cell r="AH152">
            <v>0</v>
          </cell>
          <cell r="AI152">
            <v>278</v>
          </cell>
          <cell r="AJ152">
            <v>91</v>
          </cell>
          <cell r="AK152">
            <v>17</v>
          </cell>
        </row>
        <row r="153">
          <cell r="C153">
            <v>350620013</v>
          </cell>
          <cell r="D153">
            <v>52</v>
          </cell>
          <cell r="E153">
            <v>3</v>
          </cell>
          <cell r="F153">
            <v>15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</v>
          </cell>
          <cell r="L153">
            <v>5</v>
          </cell>
          <cell r="M153">
            <v>0</v>
          </cell>
          <cell r="N153">
            <v>0</v>
          </cell>
          <cell r="O153">
            <v>0</v>
          </cell>
          <cell r="P153">
            <v>5</v>
          </cell>
          <cell r="Q153">
            <v>84</v>
          </cell>
          <cell r="R153">
            <v>18</v>
          </cell>
          <cell r="S153">
            <v>7</v>
          </cell>
          <cell r="T153">
            <v>2</v>
          </cell>
          <cell r="U153">
            <v>0</v>
          </cell>
          <cell r="V153">
            <v>0</v>
          </cell>
          <cell r="W153">
            <v>6</v>
          </cell>
          <cell r="X153">
            <v>0</v>
          </cell>
          <cell r="Y153">
            <v>4</v>
          </cell>
          <cell r="Z153">
            <v>10</v>
          </cell>
          <cell r="AA153">
            <v>23</v>
          </cell>
          <cell r="AB153">
            <v>5</v>
          </cell>
          <cell r="AC153">
            <v>8</v>
          </cell>
          <cell r="AD153">
            <v>7</v>
          </cell>
          <cell r="AE153">
            <v>0</v>
          </cell>
          <cell r="AF153">
            <v>18</v>
          </cell>
          <cell r="AG153">
            <v>2</v>
          </cell>
          <cell r="AH153">
            <v>0</v>
          </cell>
          <cell r="AI153">
            <v>275</v>
          </cell>
          <cell r="AJ153">
            <v>84</v>
          </cell>
          <cell r="AK153">
            <v>19</v>
          </cell>
        </row>
        <row r="154">
          <cell r="C154">
            <v>350620014</v>
          </cell>
          <cell r="D154">
            <v>0</v>
          </cell>
          <cell r="E154">
            <v>0</v>
          </cell>
          <cell r="F154">
            <v>10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23</v>
          </cell>
          <cell r="L154">
            <v>13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23</v>
          </cell>
          <cell r="R154">
            <v>9</v>
          </cell>
          <cell r="S154">
            <v>7</v>
          </cell>
          <cell r="T154">
            <v>14</v>
          </cell>
          <cell r="U154">
            <v>0</v>
          </cell>
          <cell r="V154">
            <v>0</v>
          </cell>
          <cell r="W154">
            <v>2</v>
          </cell>
          <cell r="X154">
            <v>0</v>
          </cell>
          <cell r="Y154">
            <v>5</v>
          </cell>
          <cell r="Z154">
            <v>5</v>
          </cell>
          <cell r="AA154">
            <v>17</v>
          </cell>
          <cell r="AB154">
            <v>5</v>
          </cell>
          <cell r="AC154">
            <v>7</v>
          </cell>
          <cell r="AD154">
            <v>0</v>
          </cell>
          <cell r="AE154">
            <v>4</v>
          </cell>
          <cell r="AF154">
            <v>21</v>
          </cell>
          <cell r="AG154">
            <v>2</v>
          </cell>
          <cell r="AH154">
            <v>0</v>
          </cell>
          <cell r="AI154">
            <v>167</v>
          </cell>
          <cell r="AJ154">
            <v>23</v>
          </cell>
          <cell r="AK154">
            <v>16</v>
          </cell>
        </row>
        <row r="155">
          <cell r="C155">
            <v>350620015</v>
          </cell>
          <cell r="D155">
            <v>7</v>
          </cell>
          <cell r="E155">
            <v>0</v>
          </cell>
          <cell r="F155">
            <v>2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15</v>
          </cell>
          <cell r="L155">
            <v>3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74</v>
          </cell>
          <cell r="R155">
            <v>17</v>
          </cell>
          <cell r="S155">
            <v>6</v>
          </cell>
          <cell r="T155">
            <v>0</v>
          </cell>
          <cell r="U155">
            <v>0</v>
          </cell>
          <cell r="V155">
            <v>14</v>
          </cell>
          <cell r="W155">
            <v>23</v>
          </cell>
          <cell r="X155">
            <v>0</v>
          </cell>
          <cell r="Y155">
            <v>0</v>
          </cell>
          <cell r="Z155">
            <v>17</v>
          </cell>
          <cell r="AA155">
            <v>15</v>
          </cell>
          <cell r="AB155">
            <v>1</v>
          </cell>
          <cell r="AC155">
            <v>2</v>
          </cell>
          <cell r="AD155">
            <v>3</v>
          </cell>
          <cell r="AE155">
            <v>0</v>
          </cell>
          <cell r="AF155">
            <v>20</v>
          </cell>
          <cell r="AG155">
            <v>0</v>
          </cell>
          <cell r="AH155">
            <v>0</v>
          </cell>
          <cell r="AI155">
            <v>219</v>
          </cell>
          <cell r="AJ155">
            <v>74</v>
          </cell>
          <cell r="AK155">
            <v>15</v>
          </cell>
        </row>
        <row r="156">
          <cell r="C156">
            <v>350620016</v>
          </cell>
          <cell r="D156">
            <v>20</v>
          </cell>
          <cell r="E156">
            <v>0</v>
          </cell>
          <cell r="F156">
            <v>2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12</v>
          </cell>
          <cell r="L156">
            <v>4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47</v>
          </cell>
          <cell r="R156">
            <v>19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16</v>
          </cell>
          <cell r="X156">
            <v>0</v>
          </cell>
          <cell r="Y156">
            <v>0</v>
          </cell>
          <cell r="Z156">
            <v>0</v>
          </cell>
          <cell r="AA156">
            <v>15</v>
          </cell>
          <cell r="AB156">
            <v>17</v>
          </cell>
          <cell r="AC156">
            <v>6</v>
          </cell>
          <cell r="AD156">
            <v>0</v>
          </cell>
          <cell r="AE156">
            <v>3</v>
          </cell>
          <cell r="AF156">
            <v>24</v>
          </cell>
          <cell r="AG156">
            <v>1</v>
          </cell>
          <cell r="AH156">
            <v>0</v>
          </cell>
          <cell r="AI156">
            <v>186</v>
          </cell>
          <cell r="AJ156">
            <v>47</v>
          </cell>
          <cell r="AK156">
            <v>13</v>
          </cell>
        </row>
        <row r="157">
          <cell r="C157">
            <v>350620017</v>
          </cell>
          <cell r="D157">
            <v>38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39</v>
          </cell>
          <cell r="L157">
            <v>17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62</v>
          </cell>
          <cell r="R157">
            <v>5</v>
          </cell>
          <cell r="S157">
            <v>55</v>
          </cell>
          <cell r="T157">
            <v>7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2</v>
          </cell>
          <cell r="Z157">
            <v>11</v>
          </cell>
          <cell r="AA157">
            <v>8</v>
          </cell>
          <cell r="AB157">
            <v>3</v>
          </cell>
          <cell r="AC157">
            <v>9</v>
          </cell>
          <cell r="AD157">
            <v>2</v>
          </cell>
          <cell r="AE157">
            <v>0</v>
          </cell>
          <cell r="AF157">
            <v>38</v>
          </cell>
          <cell r="AG157">
            <v>2</v>
          </cell>
          <cell r="AH157">
            <v>0</v>
          </cell>
          <cell r="AI157">
            <v>300</v>
          </cell>
          <cell r="AJ157">
            <v>62</v>
          </cell>
          <cell r="AK157">
            <v>16</v>
          </cell>
        </row>
        <row r="158">
          <cell r="C158">
            <v>350620018</v>
          </cell>
          <cell r="D158">
            <v>57</v>
          </cell>
          <cell r="E158">
            <v>0</v>
          </cell>
          <cell r="F158">
            <v>0</v>
          </cell>
          <cell r="G158">
            <v>0</v>
          </cell>
          <cell r="H158">
            <v>8</v>
          </cell>
          <cell r="I158">
            <v>0</v>
          </cell>
          <cell r="J158">
            <v>0</v>
          </cell>
          <cell r="K158">
            <v>0</v>
          </cell>
          <cell r="L158">
            <v>47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46</v>
          </cell>
          <cell r="R158">
            <v>5</v>
          </cell>
          <cell r="S158">
            <v>48</v>
          </cell>
          <cell r="T158">
            <v>0</v>
          </cell>
          <cell r="U158">
            <v>0</v>
          </cell>
          <cell r="V158">
            <v>0</v>
          </cell>
          <cell r="W158">
            <v>2</v>
          </cell>
          <cell r="X158">
            <v>0</v>
          </cell>
          <cell r="Y158">
            <v>0</v>
          </cell>
          <cell r="Z158">
            <v>0</v>
          </cell>
          <cell r="AA158">
            <v>32</v>
          </cell>
          <cell r="AB158">
            <v>11</v>
          </cell>
          <cell r="AC158">
            <v>7</v>
          </cell>
          <cell r="AD158">
            <v>0</v>
          </cell>
          <cell r="AE158">
            <v>0</v>
          </cell>
          <cell r="AF158">
            <v>41</v>
          </cell>
          <cell r="AG158">
            <v>0</v>
          </cell>
          <cell r="AH158">
            <v>0</v>
          </cell>
          <cell r="AI158">
            <v>304</v>
          </cell>
          <cell r="AJ158">
            <v>57</v>
          </cell>
          <cell r="AK158">
            <v>11</v>
          </cell>
        </row>
        <row r="159">
          <cell r="C159">
            <v>350620019</v>
          </cell>
          <cell r="D159">
            <v>16</v>
          </cell>
          <cell r="E159">
            <v>0</v>
          </cell>
          <cell r="F159">
            <v>0</v>
          </cell>
          <cell r="G159">
            <v>5</v>
          </cell>
          <cell r="H159">
            <v>29</v>
          </cell>
          <cell r="I159">
            <v>0</v>
          </cell>
          <cell r="J159">
            <v>23</v>
          </cell>
          <cell r="K159">
            <v>8</v>
          </cell>
          <cell r="L159">
            <v>28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40</v>
          </cell>
          <cell r="R159">
            <v>72</v>
          </cell>
          <cell r="S159">
            <v>5</v>
          </cell>
          <cell r="T159">
            <v>0</v>
          </cell>
          <cell r="U159">
            <v>0</v>
          </cell>
          <cell r="V159">
            <v>0</v>
          </cell>
          <cell r="W159">
            <v>6</v>
          </cell>
          <cell r="X159">
            <v>0</v>
          </cell>
          <cell r="Y159">
            <v>5</v>
          </cell>
          <cell r="Z159">
            <v>24</v>
          </cell>
          <cell r="AA159">
            <v>11</v>
          </cell>
          <cell r="AB159">
            <v>16</v>
          </cell>
          <cell r="AC159">
            <v>10</v>
          </cell>
          <cell r="AD159">
            <v>9</v>
          </cell>
          <cell r="AE159">
            <v>0</v>
          </cell>
          <cell r="AF159">
            <v>24</v>
          </cell>
          <cell r="AG159">
            <v>0</v>
          </cell>
          <cell r="AH159">
            <v>0</v>
          </cell>
          <cell r="AI159">
            <v>331</v>
          </cell>
          <cell r="AJ159">
            <v>72</v>
          </cell>
          <cell r="AK159">
            <v>17</v>
          </cell>
        </row>
        <row r="160">
          <cell r="C160">
            <v>350620020</v>
          </cell>
          <cell r="D160">
            <v>0</v>
          </cell>
          <cell r="E160">
            <v>0</v>
          </cell>
          <cell r="F160">
            <v>38</v>
          </cell>
          <cell r="G160">
            <v>0</v>
          </cell>
          <cell r="H160">
            <v>0</v>
          </cell>
          <cell r="I160">
            <v>3</v>
          </cell>
          <cell r="J160">
            <v>0</v>
          </cell>
          <cell r="K160">
            <v>2</v>
          </cell>
          <cell r="L160">
            <v>21</v>
          </cell>
          <cell r="M160">
            <v>0</v>
          </cell>
          <cell r="N160">
            <v>0</v>
          </cell>
          <cell r="O160">
            <v>25</v>
          </cell>
          <cell r="P160">
            <v>27</v>
          </cell>
          <cell r="Q160">
            <v>1</v>
          </cell>
          <cell r="R160">
            <v>18</v>
          </cell>
          <cell r="S160">
            <v>1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13</v>
          </cell>
          <cell r="Y160">
            <v>0</v>
          </cell>
          <cell r="Z160">
            <v>21</v>
          </cell>
          <cell r="AA160">
            <v>32</v>
          </cell>
          <cell r="AB160">
            <v>7</v>
          </cell>
          <cell r="AC160">
            <v>4</v>
          </cell>
          <cell r="AD160">
            <v>14</v>
          </cell>
          <cell r="AE160">
            <v>3</v>
          </cell>
          <cell r="AF160">
            <v>9</v>
          </cell>
          <cell r="AG160">
            <v>0</v>
          </cell>
          <cell r="AH160">
            <v>0</v>
          </cell>
          <cell r="AI160">
            <v>239</v>
          </cell>
          <cell r="AJ160">
            <v>38</v>
          </cell>
          <cell r="AK160">
            <v>17</v>
          </cell>
        </row>
        <row r="161">
          <cell r="C161">
            <v>350621001</v>
          </cell>
          <cell r="D161">
            <v>30</v>
          </cell>
          <cell r="E161">
            <v>0</v>
          </cell>
          <cell r="F161">
            <v>0</v>
          </cell>
          <cell r="G161">
            <v>6</v>
          </cell>
          <cell r="H161">
            <v>0</v>
          </cell>
          <cell r="I161">
            <v>0</v>
          </cell>
          <cell r="J161">
            <v>7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22</v>
          </cell>
          <cell r="S161">
            <v>0</v>
          </cell>
          <cell r="T161">
            <v>6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10</v>
          </cell>
          <cell r="Z161">
            <v>29</v>
          </cell>
          <cell r="AA161">
            <v>26</v>
          </cell>
          <cell r="AB161">
            <v>2</v>
          </cell>
          <cell r="AC161">
            <v>1</v>
          </cell>
          <cell r="AD161">
            <v>8</v>
          </cell>
          <cell r="AE161">
            <v>0</v>
          </cell>
          <cell r="AF161">
            <v>10</v>
          </cell>
          <cell r="AG161">
            <v>0</v>
          </cell>
          <cell r="AH161">
            <v>1</v>
          </cell>
          <cell r="AI161">
            <v>158</v>
          </cell>
          <cell r="AJ161">
            <v>30</v>
          </cell>
          <cell r="AK161">
            <v>13</v>
          </cell>
        </row>
        <row r="162">
          <cell r="C162">
            <v>350621002</v>
          </cell>
          <cell r="D162">
            <v>0</v>
          </cell>
          <cell r="E162">
            <v>16</v>
          </cell>
          <cell r="F162">
            <v>16</v>
          </cell>
          <cell r="G162">
            <v>1</v>
          </cell>
          <cell r="H162">
            <v>0</v>
          </cell>
          <cell r="I162">
            <v>5</v>
          </cell>
          <cell r="J162">
            <v>0</v>
          </cell>
          <cell r="K162">
            <v>0</v>
          </cell>
          <cell r="L162">
            <v>1</v>
          </cell>
          <cell r="M162">
            <v>11</v>
          </cell>
          <cell r="N162">
            <v>0</v>
          </cell>
          <cell r="O162">
            <v>16</v>
          </cell>
          <cell r="P162">
            <v>1</v>
          </cell>
          <cell r="Q162">
            <v>7</v>
          </cell>
          <cell r="R162">
            <v>29</v>
          </cell>
          <cell r="S162">
            <v>0</v>
          </cell>
          <cell r="T162">
            <v>12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17</v>
          </cell>
          <cell r="AA162">
            <v>16</v>
          </cell>
          <cell r="AB162">
            <v>3</v>
          </cell>
          <cell r="AC162">
            <v>1</v>
          </cell>
          <cell r="AD162">
            <v>3</v>
          </cell>
          <cell r="AE162">
            <v>0</v>
          </cell>
          <cell r="AF162">
            <v>16</v>
          </cell>
          <cell r="AG162">
            <v>0</v>
          </cell>
          <cell r="AH162">
            <v>0</v>
          </cell>
          <cell r="AI162">
            <v>171</v>
          </cell>
          <cell r="AJ162">
            <v>29</v>
          </cell>
          <cell r="AK162">
            <v>17</v>
          </cell>
        </row>
        <row r="163">
          <cell r="C163">
            <v>350621003</v>
          </cell>
          <cell r="D163">
            <v>46</v>
          </cell>
          <cell r="E163">
            <v>15.5</v>
          </cell>
          <cell r="F163">
            <v>29</v>
          </cell>
          <cell r="G163">
            <v>1.5</v>
          </cell>
          <cell r="H163">
            <v>0</v>
          </cell>
          <cell r="I163">
            <v>0</v>
          </cell>
          <cell r="J163">
            <v>0</v>
          </cell>
          <cell r="K163">
            <v>1</v>
          </cell>
          <cell r="L163">
            <v>8</v>
          </cell>
          <cell r="M163">
            <v>1</v>
          </cell>
          <cell r="N163">
            <v>0</v>
          </cell>
          <cell r="O163">
            <v>0</v>
          </cell>
          <cell r="P163">
            <v>8</v>
          </cell>
          <cell r="Q163">
            <v>4</v>
          </cell>
          <cell r="R163">
            <v>33.5</v>
          </cell>
          <cell r="S163">
            <v>1.5</v>
          </cell>
          <cell r="T163">
            <v>3.5</v>
          </cell>
          <cell r="U163">
            <v>2</v>
          </cell>
          <cell r="V163">
            <v>1</v>
          </cell>
          <cell r="W163">
            <v>22</v>
          </cell>
          <cell r="X163">
            <v>0</v>
          </cell>
          <cell r="Y163">
            <v>2</v>
          </cell>
          <cell r="Z163">
            <v>17</v>
          </cell>
          <cell r="AA163">
            <v>72</v>
          </cell>
          <cell r="AB163">
            <v>3.5</v>
          </cell>
          <cell r="AC163">
            <v>1</v>
          </cell>
          <cell r="AD163">
            <v>9</v>
          </cell>
          <cell r="AE163">
            <v>0</v>
          </cell>
          <cell r="AF163">
            <v>5.5</v>
          </cell>
          <cell r="AG163">
            <v>0</v>
          </cell>
          <cell r="AH163">
            <v>0</v>
          </cell>
          <cell r="AI163">
            <v>287.5</v>
          </cell>
          <cell r="AJ163">
            <v>72</v>
          </cell>
          <cell r="AK163">
            <v>22</v>
          </cell>
        </row>
        <row r="164">
          <cell r="C164">
            <v>350621004</v>
          </cell>
          <cell r="D164">
            <v>52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37</v>
          </cell>
          <cell r="K164">
            <v>0</v>
          </cell>
          <cell r="L164">
            <v>0</v>
          </cell>
          <cell r="M164">
            <v>7</v>
          </cell>
          <cell r="N164">
            <v>0</v>
          </cell>
          <cell r="O164">
            <v>0</v>
          </cell>
          <cell r="P164">
            <v>0</v>
          </cell>
          <cell r="Q164">
            <v>28</v>
          </cell>
          <cell r="R164">
            <v>13</v>
          </cell>
          <cell r="S164">
            <v>0</v>
          </cell>
          <cell r="T164">
            <v>5</v>
          </cell>
          <cell r="U164">
            <v>0</v>
          </cell>
          <cell r="V164">
            <v>0</v>
          </cell>
          <cell r="W164">
            <v>14</v>
          </cell>
          <cell r="X164">
            <v>0</v>
          </cell>
          <cell r="Y164">
            <v>0</v>
          </cell>
          <cell r="Z164">
            <v>25</v>
          </cell>
          <cell r="AA164">
            <v>75</v>
          </cell>
          <cell r="AB164">
            <v>4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260</v>
          </cell>
          <cell r="AJ164">
            <v>75</v>
          </cell>
          <cell r="AK164">
            <v>10</v>
          </cell>
        </row>
        <row r="165">
          <cell r="C165">
            <v>350621005</v>
          </cell>
          <cell r="D165">
            <v>83</v>
          </cell>
          <cell r="E165">
            <v>0</v>
          </cell>
          <cell r="F165">
            <v>2</v>
          </cell>
          <cell r="G165">
            <v>10</v>
          </cell>
          <cell r="H165">
            <v>0</v>
          </cell>
          <cell r="I165">
            <v>0</v>
          </cell>
          <cell r="J165">
            <v>25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12</v>
          </cell>
          <cell r="S165">
            <v>3</v>
          </cell>
          <cell r="T165">
            <v>0</v>
          </cell>
          <cell r="U165">
            <v>0</v>
          </cell>
          <cell r="V165">
            <v>0</v>
          </cell>
          <cell r="W165">
            <v>4</v>
          </cell>
          <cell r="X165">
            <v>0</v>
          </cell>
          <cell r="Y165">
            <v>4</v>
          </cell>
          <cell r="Z165">
            <v>30</v>
          </cell>
          <cell r="AA165">
            <v>46</v>
          </cell>
          <cell r="AB165">
            <v>6</v>
          </cell>
          <cell r="AC165">
            <v>2</v>
          </cell>
          <cell r="AD165">
            <v>4</v>
          </cell>
          <cell r="AE165">
            <v>1</v>
          </cell>
          <cell r="AF165">
            <v>6</v>
          </cell>
          <cell r="AG165">
            <v>0</v>
          </cell>
          <cell r="AH165">
            <v>1</v>
          </cell>
          <cell r="AI165">
            <v>239</v>
          </cell>
          <cell r="AJ165">
            <v>83</v>
          </cell>
          <cell r="AK165">
            <v>16</v>
          </cell>
        </row>
        <row r="166">
          <cell r="C166">
            <v>350621006</v>
          </cell>
          <cell r="D166">
            <v>34</v>
          </cell>
          <cell r="E166">
            <v>0</v>
          </cell>
          <cell r="F166">
            <v>0</v>
          </cell>
          <cell r="G166">
            <v>12</v>
          </cell>
          <cell r="H166">
            <v>1</v>
          </cell>
          <cell r="I166">
            <v>0</v>
          </cell>
          <cell r="J166">
            <v>5</v>
          </cell>
          <cell r="K166">
            <v>2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17</v>
          </cell>
          <cell r="S166">
            <v>4</v>
          </cell>
          <cell r="T166">
            <v>0</v>
          </cell>
          <cell r="U166">
            <v>2</v>
          </cell>
          <cell r="V166">
            <v>0</v>
          </cell>
          <cell r="W166">
            <v>0</v>
          </cell>
          <cell r="X166">
            <v>0</v>
          </cell>
          <cell r="Y166">
            <v>1</v>
          </cell>
          <cell r="Z166">
            <v>20</v>
          </cell>
          <cell r="AA166">
            <v>25</v>
          </cell>
          <cell r="AB166">
            <v>2</v>
          </cell>
          <cell r="AC166">
            <v>0</v>
          </cell>
          <cell r="AD166">
            <v>0</v>
          </cell>
          <cell r="AE166">
            <v>0</v>
          </cell>
          <cell r="AF166">
            <v>16</v>
          </cell>
          <cell r="AG166">
            <v>0</v>
          </cell>
          <cell r="AH166">
            <v>1</v>
          </cell>
          <cell r="AI166">
            <v>142</v>
          </cell>
          <cell r="AJ166">
            <v>34</v>
          </cell>
          <cell r="AK166">
            <v>14</v>
          </cell>
        </row>
        <row r="167">
          <cell r="C167">
            <v>350621007</v>
          </cell>
          <cell r="D167">
            <v>3</v>
          </cell>
          <cell r="E167">
            <v>0</v>
          </cell>
          <cell r="F167">
            <v>8</v>
          </cell>
          <cell r="G167">
            <v>4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7</v>
          </cell>
          <cell r="R167">
            <v>17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2</v>
          </cell>
          <cell r="Z167">
            <v>5</v>
          </cell>
          <cell r="AA167">
            <v>5</v>
          </cell>
          <cell r="AB167">
            <v>2</v>
          </cell>
          <cell r="AC167">
            <v>0</v>
          </cell>
          <cell r="AD167">
            <v>0</v>
          </cell>
          <cell r="AE167">
            <v>0</v>
          </cell>
          <cell r="AF167">
            <v>4</v>
          </cell>
          <cell r="AG167">
            <v>0</v>
          </cell>
          <cell r="AH167">
            <v>2</v>
          </cell>
          <cell r="AI167">
            <v>59</v>
          </cell>
          <cell r="AJ167">
            <v>17</v>
          </cell>
          <cell r="AK167">
            <v>11</v>
          </cell>
        </row>
        <row r="168">
          <cell r="C168">
            <v>350621008</v>
          </cell>
          <cell r="D168">
            <v>34</v>
          </cell>
          <cell r="E168">
            <v>1</v>
          </cell>
          <cell r="F168">
            <v>1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4</v>
          </cell>
          <cell r="L168">
            <v>5</v>
          </cell>
          <cell r="M168">
            <v>0</v>
          </cell>
          <cell r="N168">
            <v>0</v>
          </cell>
          <cell r="O168">
            <v>38</v>
          </cell>
          <cell r="P168">
            <v>0</v>
          </cell>
          <cell r="Q168">
            <v>83</v>
          </cell>
          <cell r="R168">
            <v>5</v>
          </cell>
          <cell r="S168">
            <v>2</v>
          </cell>
          <cell r="T168">
            <v>4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2</v>
          </cell>
          <cell r="Z168">
            <v>14</v>
          </cell>
          <cell r="AA168">
            <v>23</v>
          </cell>
          <cell r="AB168">
            <v>8</v>
          </cell>
          <cell r="AC168">
            <v>5</v>
          </cell>
          <cell r="AD168">
            <v>33</v>
          </cell>
          <cell r="AE168">
            <v>1</v>
          </cell>
          <cell r="AF168">
            <v>4</v>
          </cell>
          <cell r="AG168">
            <v>0</v>
          </cell>
          <cell r="AH168">
            <v>1</v>
          </cell>
          <cell r="AI168">
            <v>268</v>
          </cell>
          <cell r="AJ168">
            <v>83</v>
          </cell>
          <cell r="AK168">
            <v>19</v>
          </cell>
        </row>
        <row r="169">
          <cell r="C169">
            <v>350621009</v>
          </cell>
          <cell r="D169">
            <v>12</v>
          </cell>
          <cell r="E169">
            <v>7</v>
          </cell>
          <cell r="F169">
            <v>0</v>
          </cell>
          <cell r="G169">
            <v>5</v>
          </cell>
          <cell r="H169">
            <v>0</v>
          </cell>
          <cell r="I169">
            <v>3</v>
          </cell>
          <cell r="J169">
            <v>0</v>
          </cell>
          <cell r="K169">
            <v>0</v>
          </cell>
          <cell r="L169">
            <v>3</v>
          </cell>
          <cell r="M169">
            <v>0</v>
          </cell>
          <cell r="N169">
            <v>0</v>
          </cell>
          <cell r="O169">
            <v>6</v>
          </cell>
          <cell r="P169">
            <v>27</v>
          </cell>
          <cell r="Q169">
            <v>11</v>
          </cell>
          <cell r="R169">
            <v>36</v>
          </cell>
          <cell r="S169">
            <v>0</v>
          </cell>
          <cell r="T169">
            <v>15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39</v>
          </cell>
          <cell r="Z169">
            <v>15</v>
          </cell>
          <cell r="AA169">
            <v>30</v>
          </cell>
          <cell r="AB169">
            <v>4</v>
          </cell>
          <cell r="AC169">
            <v>0</v>
          </cell>
          <cell r="AD169">
            <v>4</v>
          </cell>
          <cell r="AE169">
            <v>0</v>
          </cell>
          <cell r="AF169">
            <v>11</v>
          </cell>
          <cell r="AG169">
            <v>0</v>
          </cell>
          <cell r="AH169">
            <v>3</v>
          </cell>
          <cell r="AI169">
            <v>231</v>
          </cell>
          <cell r="AJ169">
            <v>39</v>
          </cell>
          <cell r="AK169">
            <v>17</v>
          </cell>
        </row>
        <row r="170">
          <cell r="C170">
            <v>350621010</v>
          </cell>
          <cell r="D170">
            <v>0</v>
          </cell>
          <cell r="E170">
            <v>11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5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</v>
          </cell>
          <cell r="R170">
            <v>74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2</v>
          </cell>
          <cell r="AA170">
            <v>11</v>
          </cell>
          <cell r="AB170">
            <v>0</v>
          </cell>
          <cell r="AC170">
            <v>0</v>
          </cell>
          <cell r="AD170">
            <v>15</v>
          </cell>
          <cell r="AE170">
            <v>0</v>
          </cell>
          <cell r="AF170">
            <v>10</v>
          </cell>
          <cell r="AG170">
            <v>0</v>
          </cell>
          <cell r="AH170">
            <v>4</v>
          </cell>
          <cell r="AI170">
            <v>136</v>
          </cell>
          <cell r="AJ170">
            <v>74</v>
          </cell>
          <cell r="AK170">
            <v>9</v>
          </cell>
        </row>
        <row r="171">
          <cell r="C171">
            <v>350621011</v>
          </cell>
          <cell r="D171">
            <v>0</v>
          </cell>
          <cell r="E171">
            <v>14</v>
          </cell>
          <cell r="F171">
            <v>24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2</v>
          </cell>
          <cell r="M171">
            <v>0</v>
          </cell>
          <cell r="N171">
            <v>0</v>
          </cell>
          <cell r="O171">
            <v>8</v>
          </cell>
          <cell r="P171">
            <v>7</v>
          </cell>
          <cell r="Q171">
            <v>23</v>
          </cell>
          <cell r="R171">
            <v>26</v>
          </cell>
          <cell r="S171">
            <v>0</v>
          </cell>
          <cell r="T171">
            <v>7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14</v>
          </cell>
          <cell r="AA171">
            <v>36</v>
          </cell>
          <cell r="AB171">
            <v>0</v>
          </cell>
          <cell r="AC171">
            <v>6</v>
          </cell>
          <cell r="AD171">
            <v>4</v>
          </cell>
          <cell r="AE171">
            <v>0</v>
          </cell>
          <cell r="AF171">
            <v>16</v>
          </cell>
          <cell r="AG171">
            <v>0</v>
          </cell>
          <cell r="AH171">
            <v>0</v>
          </cell>
          <cell r="AI171">
            <v>187</v>
          </cell>
          <cell r="AJ171">
            <v>36</v>
          </cell>
          <cell r="AK171">
            <v>13</v>
          </cell>
        </row>
        <row r="172">
          <cell r="C172">
            <v>350621012</v>
          </cell>
          <cell r="D172">
            <v>1</v>
          </cell>
          <cell r="E172">
            <v>10</v>
          </cell>
          <cell r="F172">
            <v>12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5</v>
          </cell>
          <cell r="M172">
            <v>0</v>
          </cell>
          <cell r="N172">
            <v>0</v>
          </cell>
          <cell r="O172">
            <v>10</v>
          </cell>
          <cell r="P172">
            <v>13.5</v>
          </cell>
          <cell r="Q172">
            <v>34.5</v>
          </cell>
          <cell r="R172">
            <v>54</v>
          </cell>
          <cell r="S172">
            <v>0</v>
          </cell>
          <cell r="T172">
            <v>7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25</v>
          </cell>
          <cell r="AA172">
            <v>21</v>
          </cell>
          <cell r="AB172">
            <v>2</v>
          </cell>
          <cell r="AC172">
            <v>1</v>
          </cell>
          <cell r="AD172">
            <v>4</v>
          </cell>
          <cell r="AE172">
            <v>0</v>
          </cell>
          <cell r="AF172">
            <v>13</v>
          </cell>
          <cell r="AG172">
            <v>0</v>
          </cell>
          <cell r="AH172">
            <v>0</v>
          </cell>
          <cell r="AI172">
            <v>213</v>
          </cell>
          <cell r="AJ172">
            <v>54</v>
          </cell>
          <cell r="AK172">
            <v>15</v>
          </cell>
        </row>
        <row r="173">
          <cell r="C173">
            <v>350621013</v>
          </cell>
          <cell r="D173">
            <v>4</v>
          </cell>
          <cell r="E173">
            <v>3.1</v>
          </cell>
          <cell r="F173">
            <v>45.1</v>
          </cell>
          <cell r="G173">
            <v>1.1000000000000001</v>
          </cell>
          <cell r="H173">
            <v>0</v>
          </cell>
          <cell r="I173">
            <v>4</v>
          </cell>
          <cell r="J173">
            <v>0</v>
          </cell>
          <cell r="K173">
            <v>0</v>
          </cell>
          <cell r="L173">
            <v>3.6</v>
          </cell>
          <cell r="M173">
            <v>0</v>
          </cell>
          <cell r="N173">
            <v>0</v>
          </cell>
          <cell r="O173">
            <v>18.3</v>
          </cell>
          <cell r="P173">
            <v>8.1</v>
          </cell>
          <cell r="Q173">
            <v>34.9</v>
          </cell>
          <cell r="R173">
            <v>0</v>
          </cell>
          <cell r="S173">
            <v>0</v>
          </cell>
          <cell r="T173">
            <v>15.2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19</v>
          </cell>
          <cell r="Z173">
            <v>47.9</v>
          </cell>
          <cell r="AA173">
            <v>26.6</v>
          </cell>
          <cell r="AB173">
            <v>1.8</v>
          </cell>
          <cell r="AC173">
            <v>1</v>
          </cell>
          <cell r="AD173">
            <v>2.4</v>
          </cell>
          <cell r="AE173">
            <v>0</v>
          </cell>
          <cell r="AF173">
            <v>15.1</v>
          </cell>
          <cell r="AG173">
            <v>0</v>
          </cell>
          <cell r="AH173">
            <v>0</v>
          </cell>
          <cell r="AI173">
            <v>251.2</v>
          </cell>
          <cell r="AJ173">
            <v>47.9</v>
          </cell>
          <cell r="AK173">
            <v>17</v>
          </cell>
        </row>
        <row r="174">
          <cell r="C174">
            <v>350621014</v>
          </cell>
          <cell r="D174">
            <v>0</v>
          </cell>
          <cell r="E174">
            <v>44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57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18</v>
          </cell>
          <cell r="AB174">
            <v>0</v>
          </cell>
          <cell r="AC174">
            <v>0</v>
          </cell>
          <cell r="AD174">
            <v>22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141</v>
          </cell>
          <cell r="AJ174">
            <v>57</v>
          </cell>
          <cell r="AK174">
            <v>4</v>
          </cell>
        </row>
        <row r="175">
          <cell r="C175">
            <v>350621015</v>
          </cell>
          <cell r="D175">
            <v>0</v>
          </cell>
          <cell r="E175">
            <v>0</v>
          </cell>
          <cell r="F175">
            <v>7</v>
          </cell>
          <cell r="G175">
            <v>0</v>
          </cell>
          <cell r="H175">
            <v>0</v>
          </cell>
          <cell r="I175">
            <v>14</v>
          </cell>
          <cell r="J175">
            <v>5</v>
          </cell>
          <cell r="K175">
            <v>11</v>
          </cell>
          <cell r="L175">
            <v>3</v>
          </cell>
          <cell r="M175">
            <v>10</v>
          </cell>
          <cell r="N175">
            <v>0</v>
          </cell>
          <cell r="O175">
            <v>16</v>
          </cell>
          <cell r="P175">
            <v>0</v>
          </cell>
          <cell r="Q175">
            <v>11</v>
          </cell>
          <cell r="R175">
            <v>14</v>
          </cell>
          <cell r="S175">
            <v>0</v>
          </cell>
          <cell r="T175">
            <v>5</v>
          </cell>
          <cell r="U175">
            <v>2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7</v>
          </cell>
          <cell r="AB175">
            <v>20</v>
          </cell>
          <cell r="AC175">
            <v>0</v>
          </cell>
          <cell r="AD175">
            <v>36</v>
          </cell>
          <cell r="AE175">
            <v>2</v>
          </cell>
          <cell r="AF175">
            <v>11</v>
          </cell>
          <cell r="AG175">
            <v>0</v>
          </cell>
          <cell r="AH175">
            <v>5</v>
          </cell>
          <cell r="AI175">
            <v>179</v>
          </cell>
          <cell r="AJ175">
            <v>36</v>
          </cell>
          <cell r="AK175">
            <v>17</v>
          </cell>
        </row>
        <row r="176">
          <cell r="C176">
            <v>350621016</v>
          </cell>
          <cell r="D176">
            <v>0</v>
          </cell>
          <cell r="E176">
            <v>5</v>
          </cell>
          <cell r="F176">
            <v>0</v>
          </cell>
          <cell r="G176">
            <v>0</v>
          </cell>
          <cell r="H176">
            <v>0</v>
          </cell>
          <cell r="I176">
            <v>33</v>
          </cell>
          <cell r="J176">
            <v>0</v>
          </cell>
          <cell r="K176">
            <v>0</v>
          </cell>
          <cell r="L176">
            <v>20</v>
          </cell>
          <cell r="M176">
            <v>0</v>
          </cell>
          <cell r="N176">
            <v>0</v>
          </cell>
          <cell r="O176">
            <v>14</v>
          </cell>
          <cell r="P176">
            <v>0</v>
          </cell>
          <cell r="Q176">
            <v>15</v>
          </cell>
          <cell r="R176">
            <v>37</v>
          </cell>
          <cell r="S176">
            <v>0</v>
          </cell>
          <cell r="T176">
            <v>0</v>
          </cell>
          <cell r="U176">
            <v>0</v>
          </cell>
          <cell r="V176">
            <v>8</v>
          </cell>
          <cell r="W176">
            <v>12</v>
          </cell>
          <cell r="X176">
            <v>0</v>
          </cell>
          <cell r="Y176">
            <v>0</v>
          </cell>
          <cell r="Z176">
            <v>0</v>
          </cell>
          <cell r="AA176">
            <v>20</v>
          </cell>
          <cell r="AB176">
            <v>0</v>
          </cell>
          <cell r="AC176">
            <v>0</v>
          </cell>
          <cell r="AD176">
            <v>40</v>
          </cell>
          <cell r="AE176">
            <v>0</v>
          </cell>
          <cell r="AF176">
            <v>9</v>
          </cell>
          <cell r="AG176">
            <v>0</v>
          </cell>
          <cell r="AH176">
            <v>0</v>
          </cell>
          <cell r="AI176">
            <v>213</v>
          </cell>
          <cell r="AJ176">
            <v>40</v>
          </cell>
          <cell r="AK176">
            <v>11</v>
          </cell>
        </row>
        <row r="177">
          <cell r="C177">
            <v>350621017</v>
          </cell>
          <cell r="D177">
            <v>18</v>
          </cell>
          <cell r="E177">
            <v>3</v>
          </cell>
          <cell r="F177">
            <v>17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8</v>
          </cell>
          <cell r="R177">
            <v>34</v>
          </cell>
          <cell r="S177">
            <v>2</v>
          </cell>
          <cell r="T177">
            <v>7</v>
          </cell>
          <cell r="U177">
            <v>0</v>
          </cell>
          <cell r="V177">
            <v>0</v>
          </cell>
          <cell r="W177">
            <v>23</v>
          </cell>
          <cell r="X177">
            <v>0</v>
          </cell>
          <cell r="Y177">
            <v>0</v>
          </cell>
          <cell r="Z177">
            <v>18</v>
          </cell>
          <cell r="AA177">
            <v>53</v>
          </cell>
          <cell r="AB177">
            <v>4</v>
          </cell>
          <cell r="AC177">
            <v>0</v>
          </cell>
          <cell r="AD177">
            <v>8</v>
          </cell>
          <cell r="AE177">
            <v>0</v>
          </cell>
          <cell r="AF177">
            <v>6</v>
          </cell>
          <cell r="AG177">
            <v>0</v>
          </cell>
          <cell r="AH177">
            <v>0</v>
          </cell>
          <cell r="AI177">
            <v>201</v>
          </cell>
          <cell r="AJ177">
            <v>53</v>
          </cell>
          <cell r="AK177">
            <v>13</v>
          </cell>
        </row>
        <row r="178">
          <cell r="C178">
            <v>350621018</v>
          </cell>
          <cell r="D178">
            <v>11</v>
          </cell>
          <cell r="E178">
            <v>0</v>
          </cell>
          <cell r="F178">
            <v>6</v>
          </cell>
          <cell r="G178">
            <v>1</v>
          </cell>
          <cell r="H178">
            <v>0</v>
          </cell>
          <cell r="I178">
            <v>0.6</v>
          </cell>
          <cell r="J178">
            <v>0</v>
          </cell>
          <cell r="K178">
            <v>0</v>
          </cell>
          <cell r="L178">
            <v>25.6</v>
          </cell>
          <cell r="M178">
            <v>0</v>
          </cell>
          <cell r="N178">
            <v>0</v>
          </cell>
          <cell r="O178">
            <v>2.6</v>
          </cell>
          <cell r="P178">
            <v>0</v>
          </cell>
          <cell r="Q178">
            <v>9</v>
          </cell>
          <cell r="R178">
            <v>51</v>
          </cell>
          <cell r="S178">
            <v>0</v>
          </cell>
          <cell r="T178">
            <v>11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12.5</v>
          </cell>
          <cell r="AA178">
            <v>13.5</v>
          </cell>
          <cell r="AB178">
            <v>3</v>
          </cell>
          <cell r="AC178">
            <v>0</v>
          </cell>
          <cell r="AD178">
            <v>2.6</v>
          </cell>
          <cell r="AE178">
            <v>0</v>
          </cell>
          <cell r="AF178">
            <v>7</v>
          </cell>
          <cell r="AG178">
            <v>0</v>
          </cell>
          <cell r="AH178">
            <v>1.8</v>
          </cell>
          <cell r="AI178">
            <v>158.20000000000002</v>
          </cell>
          <cell r="AJ178">
            <v>51</v>
          </cell>
          <cell r="AK178">
            <v>15</v>
          </cell>
        </row>
        <row r="179">
          <cell r="C179">
            <v>350621019</v>
          </cell>
          <cell r="D179">
            <v>4</v>
          </cell>
          <cell r="E179">
            <v>0</v>
          </cell>
          <cell r="F179">
            <v>8</v>
          </cell>
          <cell r="G179">
            <v>3</v>
          </cell>
          <cell r="H179">
            <v>0</v>
          </cell>
          <cell r="I179">
            <v>8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6</v>
          </cell>
          <cell r="P179">
            <v>2</v>
          </cell>
          <cell r="Q179">
            <v>8</v>
          </cell>
          <cell r="R179">
            <v>22</v>
          </cell>
          <cell r="S179">
            <v>32</v>
          </cell>
          <cell r="T179">
            <v>28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4</v>
          </cell>
          <cell r="Z179">
            <v>12</v>
          </cell>
          <cell r="AA179">
            <v>23</v>
          </cell>
          <cell r="AB179">
            <v>4</v>
          </cell>
          <cell r="AC179">
            <v>2</v>
          </cell>
          <cell r="AD179">
            <v>0</v>
          </cell>
          <cell r="AE179">
            <v>0</v>
          </cell>
          <cell r="AF179">
            <v>14</v>
          </cell>
          <cell r="AG179">
            <v>3</v>
          </cell>
          <cell r="AH179">
            <v>0</v>
          </cell>
          <cell r="AI179">
            <v>183</v>
          </cell>
          <cell r="AJ179">
            <v>32</v>
          </cell>
          <cell r="AK179">
            <v>17</v>
          </cell>
        </row>
        <row r="180">
          <cell r="C180">
            <v>350621020</v>
          </cell>
          <cell r="D180">
            <v>0</v>
          </cell>
          <cell r="E180">
            <v>25</v>
          </cell>
          <cell r="F180">
            <v>7</v>
          </cell>
          <cell r="G180">
            <v>5</v>
          </cell>
          <cell r="H180">
            <v>0</v>
          </cell>
          <cell r="I180">
            <v>3</v>
          </cell>
          <cell r="J180">
            <v>0</v>
          </cell>
          <cell r="K180">
            <v>0</v>
          </cell>
          <cell r="L180">
            <v>2</v>
          </cell>
          <cell r="M180">
            <v>0</v>
          </cell>
          <cell r="N180">
            <v>0</v>
          </cell>
          <cell r="O180">
            <v>2</v>
          </cell>
          <cell r="P180">
            <v>6</v>
          </cell>
          <cell r="Q180">
            <v>32</v>
          </cell>
          <cell r="R180">
            <v>12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18</v>
          </cell>
          <cell r="Z180">
            <v>11</v>
          </cell>
          <cell r="AA180">
            <v>25</v>
          </cell>
          <cell r="AB180">
            <v>4</v>
          </cell>
          <cell r="AC180">
            <v>2</v>
          </cell>
          <cell r="AD180">
            <v>3</v>
          </cell>
          <cell r="AE180">
            <v>0</v>
          </cell>
          <cell r="AF180">
            <v>7</v>
          </cell>
          <cell r="AG180">
            <v>0</v>
          </cell>
          <cell r="AH180">
            <v>0</v>
          </cell>
          <cell r="AI180">
            <v>164</v>
          </cell>
          <cell r="AJ180">
            <v>32</v>
          </cell>
          <cell r="AK180">
            <v>16</v>
          </cell>
        </row>
        <row r="181">
          <cell r="C181">
            <v>350621021</v>
          </cell>
          <cell r="D181">
            <v>8</v>
          </cell>
          <cell r="E181">
            <v>0</v>
          </cell>
          <cell r="F181">
            <v>0</v>
          </cell>
          <cell r="G181">
            <v>3</v>
          </cell>
          <cell r="H181">
            <v>0</v>
          </cell>
          <cell r="I181">
            <v>0</v>
          </cell>
          <cell r="J181">
            <v>0</v>
          </cell>
          <cell r="K181">
            <v>8</v>
          </cell>
          <cell r="L181">
            <v>2.5</v>
          </cell>
          <cell r="M181">
            <v>0</v>
          </cell>
          <cell r="N181">
            <v>0</v>
          </cell>
          <cell r="O181">
            <v>4</v>
          </cell>
          <cell r="P181">
            <v>6</v>
          </cell>
          <cell r="Q181">
            <v>31.7</v>
          </cell>
          <cell r="R181">
            <v>14</v>
          </cell>
          <cell r="S181">
            <v>10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17</v>
          </cell>
          <cell r="Z181">
            <v>10</v>
          </cell>
          <cell r="AA181">
            <v>34</v>
          </cell>
          <cell r="AB181">
            <v>2</v>
          </cell>
          <cell r="AC181">
            <v>0</v>
          </cell>
          <cell r="AD181">
            <v>2</v>
          </cell>
          <cell r="AE181">
            <v>0</v>
          </cell>
          <cell r="AF181">
            <v>8</v>
          </cell>
          <cell r="AG181">
            <v>0</v>
          </cell>
          <cell r="AH181">
            <v>2</v>
          </cell>
          <cell r="AI181">
            <v>162.19999999999999</v>
          </cell>
          <cell r="AJ181">
            <v>34</v>
          </cell>
          <cell r="AK181">
            <v>16</v>
          </cell>
        </row>
        <row r="182">
          <cell r="C182">
            <v>350621022</v>
          </cell>
          <cell r="D182">
            <v>4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6</v>
          </cell>
          <cell r="J182">
            <v>0</v>
          </cell>
          <cell r="K182">
            <v>0</v>
          </cell>
          <cell r="L182">
            <v>21</v>
          </cell>
          <cell r="M182">
            <v>0</v>
          </cell>
          <cell r="N182">
            <v>0</v>
          </cell>
          <cell r="O182">
            <v>13</v>
          </cell>
          <cell r="P182">
            <v>3</v>
          </cell>
          <cell r="Q182">
            <v>0</v>
          </cell>
          <cell r="R182">
            <v>7</v>
          </cell>
          <cell r="S182">
            <v>17</v>
          </cell>
          <cell r="T182">
            <v>3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5</v>
          </cell>
          <cell r="AA182">
            <v>35</v>
          </cell>
          <cell r="AB182">
            <v>2</v>
          </cell>
          <cell r="AC182">
            <v>6</v>
          </cell>
          <cell r="AD182">
            <v>14</v>
          </cell>
          <cell r="AE182">
            <v>10</v>
          </cell>
          <cell r="AF182">
            <v>10</v>
          </cell>
          <cell r="AG182">
            <v>0</v>
          </cell>
          <cell r="AH182">
            <v>0</v>
          </cell>
          <cell r="AI182">
            <v>156</v>
          </cell>
          <cell r="AJ182">
            <v>35</v>
          </cell>
          <cell r="AK182">
            <v>15</v>
          </cell>
        </row>
        <row r="183">
          <cell r="C183">
            <v>350621023</v>
          </cell>
          <cell r="D183">
            <v>6.5</v>
          </cell>
          <cell r="E183">
            <v>6</v>
          </cell>
          <cell r="F183">
            <v>0</v>
          </cell>
          <cell r="G183">
            <v>0</v>
          </cell>
          <cell r="H183">
            <v>0</v>
          </cell>
          <cell r="I183">
            <v>11.5</v>
          </cell>
          <cell r="J183">
            <v>0</v>
          </cell>
          <cell r="K183">
            <v>1</v>
          </cell>
          <cell r="L183">
            <v>11.5</v>
          </cell>
          <cell r="M183">
            <v>0</v>
          </cell>
          <cell r="N183">
            <v>0</v>
          </cell>
          <cell r="O183">
            <v>10</v>
          </cell>
          <cell r="P183">
            <v>6</v>
          </cell>
          <cell r="Q183">
            <v>1</v>
          </cell>
          <cell r="R183">
            <v>6.5</v>
          </cell>
          <cell r="S183">
            <v>29</v>
          </cell>
          <cell r="T183">
            <v>4.5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5</v>
          </cell>
          <cell r="AA183">
            <v>33</v>
          </cell>
          <cell r="AB183">
            <v>0</v>
          </cell>
          <cell r="AC183">
            <v>5</v>
          </cell>
          <cell r="AD183">
            <v>18.5</v>
          </cell>
          <cell r="AE183">
            <v>2</v>
          </cell>
          <cell r="AF183">
            <v>13.5</v>
          </cell>
          <cell r="AG183">
            <v>0</v>
          </cell>
          <cell r="AH183">
            <v>0</v>
          </cell>
          <cell r="AI183">
            <v>170.5</v>
          </cell>
          <cell r="AJ183">
            <v>33</v>
          </cell>
          <cell r="AK183">
            <v>17</v>
          </cell>
        </row>
        <row r="184">
          <cell r="C184">
            <v>350621024</v>
          </cell>
          <cell r="D184">
            <v>5</v>
          </cell>
          <cell r="E184">
            <v>4</v>
          </cell>
          <cell r="F184">
            <v>40</v>
          </cell>
          <cell r="G184">
            <v>1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3</v>
          </cell>
          <cell r="M184">
            <v>0</v>
          </cell>
          <cell r="N184">
            <v>0</v>
          </cell>
          <cell r="O184">
            <v>3</v>
          </cell>
          <cell r="P184">
            <v>5</v>
          </cell>
          <cell r="Q184">
            <v>35</v>
          </cell>
          <cell r="R184">
            <v>16</v>
          </cell>
          <cell r="S184">
            <v>0</v>
          </cell>
          <cell r="T184">
            <v>14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21</v>
          </cell>
          <cell r="Z184">
            <v>12</v>
          </cell>
          <cell r="AA184">
            <v>25</v>
          </cell>
          <cell r="AB184">
            <v>1</v>
          </cell>
          <cell r="AC184">
            <v>1</v>
          </cell>
          <cell r="AD184">
            <v>2</v>
          </cell>
          <cell r="AE184">
            <v>0</v>
          </cell>
          <cell r="AF184">
            <v>7</v>
          </cell>
          <cell r="AG184">
            <v>0</v>
          </cell>
          <cell r="AH184">
            <v>0</v>
          </cell>
          <cell r="AI184">
            <v>195</v>
          </cell>
          <cell r="AJ184">
            <v>40</v>
          </cell>
          <cell r="AK184">
            <v>17</v>
          </cell>
        </row>
        <row r="185">
          <cell r="C185">
            <v>350621025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3</v>
          </cell>
          <cell r="J185">
            <v>0</v>
          </cell>
          <cell r="K185">
            <v>6</v>
          </cell>
          <cell r="L185">
            <v>11</v>
          </cell>
          <cell r="M185">
            <v>0</v>
          </cell>
          <cell r="N185">
            <v>0</v>
          </cell>
          <cell r="O185">
            <v>0</v>
          </cell>
          <cell r="P185">
            <v>34</v>
          </cell>
          <cell r="Q185">
            <v>0</v>
          </cell>
          <cell r="R185">
            <v>36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12</v>
          </cell>
          <cell r="Y185">
            <v>1</v>
          </cell>
          <cell r="Z185">
            <v>35</v>
          </cell>
          <cell r="AA185">
            <v>39</v>
          </cell>
          <cell r="AB185">
            <v>10</v>
          </cell>
          <cell r="AC185">
            <v>5</v>
          </cell>
          <cell r="AD185">
            <v>2</v>
          </cell>
          <cell r="AE185">
            <v>0</v>
          </cell>
          <cell r="AF185">
            <v>9</v>
          </cell>
          <cell r="AG185">
            <v>0</v>
          </cell>
          <cell r="AH185">
            <v>0</v>
          </cell>
          <cell r="AI185">
            <v>203</v>
          </cell>
          <cell r="AJ185">
            <v>39</v>
          </cell>
          <cell r="AK185">
            <v>13</v>
          </cell>
        </row>
        <row r="186">
          <cell r="C186">
            <v>350621026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9</v>
          </cell>
          <cell r="I186">
            <v>12</v>
          </cell>
          <cell r="J186">
            <v>0</v>
          </cell>
          <cell r="K186">
            <v>0</v>
          </cell>
          <cell r="L186">
            <v>17</v>
          </cell>
          <cell r="M186">
            <v>0</v>
          </cell>
          <cell r="N186">
            <v>0</v>
          </cell>
          <cell r="O186">
            <v>24</v>
          </cell>
          <cell r="P186">
            <v>14</v>
          </cell>
          <cell r="Q186">
            <v>0</v>
          </cell>
          <cell r="R186">
            <v>34</v>
          </cell>
          <cell r="S186">
            <v>42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10</v>
          </cell>
          <cell r="AA186">
            <v>27</v>
          </cell>
          <cell r="AB186">
            <v>24</v>
          </cell>
          <cell r="AC186">
            <v>0</v>
          </cell>
          <cell r="AD186">
            <v>43</v>
          </cell>
          <cell r="AE186">
            <v>28</v>
          </cell>
          <cell r="AF186">
            <v>35</v>
          </cell>
          <cell r="AG186">
            <v>0</v>
          </cell>
          <cell r="AH186">
            <v>0</v>
          </cell>
          <cell r="AI186">
            <v>319</v>
          </cell>
          <cell r="AJ186">
            <v>43</v>
          </cell>
          <cell r="AK186">
            <v>13</v>
          </cell>
        </row>
        <row r="187">
          <cell r="C187">
            <v>350602001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2</v>
          </cell>
          <cell r="I187">
            <v>1</v>
          </cell>
          <cell r="J187">
            <v>0</v>
          </cell>
          <cell r="K187">
            <v>49</v>
          </cell>
          <cell r="L187">
            <v>44</v>
          </cell>
          <cell r="M187">
            <v>0</v>
          </cell>
          <cell r="N187">
            <v>0</v>
          </cell>
          <cell r="O187">
            <v>8.5</v>
          </cell>
          <cell r="P187">
            <v>0</v>
          </cell>
          <cell r="Q187">
            <v>3.5</v>
          </cell>
          <cell r="R187">
            <v>4</v>
          </cell>
          <cell r="S187">
            <v>31</v>
          </cell>
          <cell r="T187">
            <v>7.5</v>
          </cell>
          <cell r="U187">
            <v>0</v>
          </cell>
          <cell r="V187">
            <v>0</v>
          </cell>
          <cell r="W187">
            <v>0</v>
          </cell>
          <cell r="X187">
            <v>1</v>
          </cell>
          <cell r="Y187">
            <v>3</v>
          </cell>
          <cell r="Z187">
            <v>19</v>
          </cell>
          <cell r="AA187">
            <v>9</v>
          </cell>
          <cell r="AB187">
            <v>5</v>
          </cell>
          <cell r="AC187">
            <v>11</v>
          </cell>
          <cell r="AD187">
            <v>1</v>
          </cell>
          <cell r="AE187">
            <v>0</v>
          </cell>
          <cell r="AF187">
            <v>40</v>
          </cell>
          <cell r="AG187">
            <v>19</v>
          </cell>
          <cell r="AH187">
            <v>0</v>
          </cell>
          <cell r="AI187">
            <v>258.5</v>
          </cell>
          <cell r="AJ187">
            <v>49</v>
          </cell>
          <cell r="AK187">
            <v>18</v>
          </cell>
        </row>
        <row r="188">
          <cell r="C188">
            <v>350602002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1</v>
          </cell>
          <cell r="I188">
            <v>0</v>
          </cell>
          <cell r="J188">
            <v>1</v>
          </cell>
          <cell r="K188">
            <v>49</v>
          </cell>
          <cell r="L188">
            <v>72</v>
          </cell>
          <cell r="M188">
            <v>0</v>
          </cell>
          <cell r="N188">
            <v>0</v>
          </cell>
          <cell r="O188">
            <v>0</v>
          </cell>
          <cell r="P188">
            <v>1</v>
          </cell>
          <cell r="Q188">
            <v>23</v>
          </cell>
          <cell r="R188">
            <v>10</v>
          </cell>
          <cell r="S188">
            <v>36</v>
          </cell>
          <cell r="T188">
            <v>28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4</v>
          </cell>
          <cell r="Z188">
            <v>8</v>
          </cell>
          <cell r="AA188">
            <v>9</v>
          </cell>
          <cell r="AB188">
            <v>11</v>
          </cell>
          <cell r="AC188">
            <v>2</v>
          </cell>
          <cell r="AD188">
            <v>1</v>
          </cell>
          <cell r="AE188">
            <v>0</v>
          </cell>
          <cell r="AF188">
            <v>47</v>
          </cell>
          <cell r="AG188">
            <v>3</v>
          </cell>
          <cell r="AH188">
            <v>0</v>
          </cell>
          <cell r="AI188">
            <v>306</v>
          </cell>
          <cell r="AJ188">
            <v>72</v>
          </cell>
          <cell r="AK188">
            <v>17</v>
          </cell>
        </row>
        <row r="189">
          <cell r="C189">
            <v>350602003</v>
          </cell>
          <cell r="D189">
            <v>6</v>
          </cell>
          <cell r="E189">
            <v>0</v>
          </cell>
          <cell r="F189">
            <v>0</v>
          </cell>
          <cell r="G189">
            <v>16</v>
          </cell>
          <cell r="H189">
            <v>19</v>
          </cell>
          <cell r="I189">
            <v>2</v>
          </cell>
          <cell r="J189">
            <v>18</v>
          </cell>
          <cell r="K189">
            <v>11</v>
          </cell>
          <cell r="L189">
            <v>2</v>
          </cell>
          <cell r="M189">
            <v>0</v>
          </cell>
          <cell r="N189">
            <v>0</v>
          </cell>
          <cell r="O189">
            <v>29</v>
          </cell>
          <cell r="P189">
            <v>1</v>
          </cell>
          <cell r="Q189">
            <v>7</v>
          </cell>
          <cell r="R189">
            <v>21</v>
          </cell>
          <cell r="S189">
            <v>22</v>
          </cell>
          <cell r="T189">
            <v>1</v>
          </cell>
          <cell r="U189">
            <v>0</v>
          </cell>
          <cell r="V189">
            <v>0</v>
          </cell>
          <cell r="W189">
            <v>0</v>
          </cell>
          <cell r="X189">
            <v>11</v>
          </cell>
          <cell r="Y189">
            <v>8</v>
          </cell>
          <cell r="Z189">
            <v>6</v>
          </cell>
          <cell r="AA189">
            <v>4</v>
          </cell>
          <cell r="AB189">
            <v>7</v>
          </cell>
          <cell r="AC189">
            <v>8</v>
          </cell>
          <cell r="AD189">
            <v>1</v>
          </cell>
          <cell r="AE189">
            <v>0</v>
          </cell>
          <cell r="AF189">
            <v>40</v>
          </cell>
          <cell r="AG189">
            <v>2</v>
          </cell>
          <cell r="AH189">
            <v>0</v>
          </cell>
          <cell r="AI189">
            <v>242</v>
          </cell>
          <cell r="AJ189">
            <v>40</v>
          </cell>
          <cell r="AK189">
            <v>22</v>
          </cell>
        </row>
        <row r="190">
          <cell r="C190">
            <v>350602004</v>
          </cell>
          <cell r="D190">
            <v>16</v>
          </cell>
          <cell r="E190">
            <v>0</v>
          </cell>
          <cell r="F190">
            <v>0</v>
          </cell>
          <cell r="G190">
            <v>0</v>
          </cell>
          <cell r="H190">
            <v>50</v>
          </cell>
          <cell r="I190">
            <v>3</v>
          </cell>
          <cell r="J190">
            <v>22</v>
          </cell>
          <cell r="K190">
            <v>11</v>
          </cell>
          <cell r="L190">
            <v>2</v>
          </cell>
          <cell r="M190">
            <v>0</v>
          </cell>
          <cell r="N190">
            <v>0</v>
          </cell>
          <cell r="O190">
            <v>18</v>
          </cell>
          <cell r="P190">
            <v>1</v>
          </cell>
          <cell r="Q190">
            <v>12</v>
          </cell>
          <cell r="R190">
            <v>40</v>
          </cell>
          <cell r="S190">
            <v>11</v>
          </cell>
          <cell r="T190">
            <v>7</v>
          </cell>
          <cell r="U190">
            <v>0</v>
          </cell>
          <cell r="V190">
            <v>0</v>
          </cell>
          <cell r="W190">
            <v>0</v>
          </cell>
          <cell r="X190">
            <v>14</v>
          </cell>
          <cell r="Y190">
            <v>10</v>
          </cell>
          <cell r="Z190">
            <v>9</v>
          </cell>
          <cell r="AA190">
            <v>13</v>
          </cell>
          <cell r="AB190">
            <v>5</v>
          </cell>
          <cell r="AC190">
            <v>10</v>
          </cell>
          <cell r="AD190">
            <v>1</v>
          </cell>
          <cell r="AE190">
            <v>0</v>
          </cell>
          <cell r="AF190">
            <v>28</v>
          </cell>
          <cell r="AG190">
            <v>4</v>
          </cell>
          <cell r="AH190">
            <v>0</v>
          </cell>
          <cell r="AI190">
            <v>287</v>
          </cell>
          <cell r="AJ190">
            <v>50</v>
          </cell>
          <cell r="AK190">
            <v>21</v>
          </cell>
        </row>
        <row r="191">
          <cell r="C191">
            <v>350602005</v>
          </cell>
          <cell r="D191">
            <v>2</v>
          </cell>
          <cell r="E191">
            <v>0</v>
          </cell>
          <cell r="F191">
            <v>0</v>
          </cell>
          <cell r="G191">
            <v>0</v>
          </cell>
          <cell r="H191">
            <v>9</v>
          </cell>
          <cell r="I191">
            <v>70</v>
          </cell>
          <cell r="J191">
            <v>21</v>
          </cell>
          <cell r="K191">
            <v>18</v>
          </cell>
          <cell r="L191">
            <v>25</v>
          </cell>
          <cell r="M191">
            <v>0</v>
          </cell>
          <cell r="N191">
            <v>0</v>
          </cell>
          <cell r="O191">
            <v>38</v>
          </cell>
          <cell r="P191">
            <v>3</v>
          </cell>
          <cell r="Q191">
            <v>22</v>
          </cell>
          <cell r="R191">
            <v>22</v>
          </cell>
          <cell r="S191">
            <v>32</v>
          </cell>
          <cell r="T191">
            <v>5</v>
          </cell>
          <cell r="U191">
            <v>0</v>
          </cell>
          <cell r="V191">
            <v>0</v>
          </cell>
          <cell r="W191">
            <v>0</v>
          </cell>
          <cell r="X191">
            <v>11</v>
          </cell>
          <cell r="Y191">
            <v>11</v>
          </cell>
          <cell r="Z191">
            <v>0</v>
          </cell>
          <cell r="AA191">
            <v>13</v>
          </cell>
          <cell r="AB191">
            <v>6</v>
          </cell>
          <cell r="AC191">
            <v>9</v>
          </cell>
          <cell r="AD191">
            <v>0</v>
          </cell>
          <cell r="AE191">
            <v>5</v>
          </cell>
          <cell r="AF191">
            <v>55</v>
          </cell>
          <cell r="AG191">
            <v>0</v>
          </cell>
          <cell r="AH191">
            <v>0</v>
          </cell>
          <cell r="AI191">
            <v>377</v>
          </cell>
          <cell r="AJ191">
            <v>70</v>
          </cell>
          <cell r="AK191">
            <v>19</v>
          </cell>
        </row>
        <row r="192">
          <cell r="C192">
            <v>350602006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10</v>
          </cell>
          <cell r="I192">
            <v>59</v>
          </cell>
          <cell r="J192">
            <v>36</v>
          </cell>
          <cell r="K192">
            <v>6</v>
          </cell>
          <cell r="L192">
            <v>19</v>
          </cell>
          <cell r="M192">
            <v>0</v>
          </cell>
          <cell r="N192">
            <v>0</v>
          </cell>
          <cell r="O192">
            <v>6</v>
          </cell>
          <cell r="P192">
            <v>0</v>
          </cell>
          <cell r="Q192">
            <v>29</v>
          </cell>
          <cell r="R192">
            <v>31</v>
          </cell>
          <cell r="S192">
            <v>15</v>
          </cell>
          <cell r="T192">
            <v>9</v>
          </cell>
          <cell r="U192">
            <v>0</v>
          </cell>
          <cell r="V192">
            <v>0</v>
          </cell>
          <cell r="W192">
            <v>0</v>
          </cell>
          <cell r="X192">
            <v>1</v>
          </cell>
          <cell r="Y192">
            <v>3</v>
          </cell>
          <cell r="Z192">
            <v>33</v>
          </cell>
          <cell r="AA192">
            <v>5</v>
          </cell>
          <cell r="AB192">
            <v>5</v>
          </cell>
          <cell r="AC192">
            <v>8</v>
          </cell>
          <cell r="AD192">
            <v>2</v>
          </cell>
          <cell r="AE192">
            <v>0</v>
          </cell>
          <cell r="AF192">
            <v>46</v>
          </cell>
          <cell r="AG192">
            <v>5</v>
          </cell>
          <cell r="AH192">
            <v>0</v>
          </cell>
          <cell r="AI192">
            <v>328</v>
          </cell>
          <cell r="AJ192">
            <v>59</v>
          </cell>
          <cell r="AK192">
            <v>19</v>
          </cell>
        </row>
        <row r="193">
          <cell r="C193">
            <v>350602007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16</v>
          </cell>
          <cell r="J193">
            <v>8</v>
          </cell>
          <cell r="K193">
            <v>30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3</v>
          </cell>
          <cell r="R193">
            <v>0</v>
          </cell>
          <cell r="S193">
            <v>11</v>
          </cell>
          <cell r="T193">
            <v>6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3</v>
          </cell>
          <cell r="Z193">
            <v>62</v>
          </cell>
          <cell r="AA193">
            <v>24</v>
          </cell>
          <cell r="AB193">
            <v>16</v>
          </cell>
          <cell r="AC193">
            <v>22</v>
          </cell>
          <cell r="AD193">
            <v>11</v>
          </cell>
          <cell r="AE193">
            <v>4</v>
          </cell>
          <cell r="AF193">
            <v>81</v>
          </cell>
          <cell r="AG193">
            <v>7</v>
          </cell>
          <cell r="AH193">
            <v>0</v>
          </cell>
          <cell r="AI193">
            <v>304</v>
          </cell>
          <cell r="AJ193">
            <v>81</v>
          </cell>
          <cell r="AK193">
            <v>15</v>
          </cell>
        </row>
        <row r="194">
          <cell r="C194">
            <v>350602008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16</v>
          </cell>
          <cell r="J194">
            <v>14</v>
          </cell>
          <cell r="K194">
            <v>50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3</v>
          </cell>
          <cell r="R194">
            <v>1</v>
          </cell>
          <cell r="S194">
            <v>20</v>
          </cell>
          <cell r="T194">
            <v>5</v>
          </cell>
          <cell r="U194">
            <v>0</v>
          </cell>
          <cell r="V194">
            <v>0</v>
          </cell>
          <cell r="W194">
            <v>4</v>
          </cell>
          <cell r="X194">
            <v>0</v>
          </cell>
          <cell r="Y194">
            <v>7</v>
          </cell>
          <cell r="Z194">
            <v>44</v>
          </cell>
          <cell r="AA194">
            <v>7</v>
          </cell>
          <cell r="AB194">
            <v>8</v>
          </cell>
          <cell r="AC194">
            <v>6</v>
          </cell>
          <cell r="AD194">
            <v>1</v>
          </cell>
          <cell r="AE194">
            <v>1</v>
          </cell>
          <cell r="AF194">
            <v>69</v>
          </cell>
          <cell r="AG194">
            <v>3</v>
          </cell>
          <cell r="AH194">
            <v>0</v>
          </cell>
          <cell r="AI194">
            <v>260</v>
          </cell>
          <cell r="AJ194">
            <v>69</v>
          </cell>
          <cell r="AK194">
            <v>18</v>
          </cell>
        </row>
        <row r="195">
          <cell r="C195">
            <v>350602009</v>
          </cell>
          <cell r="D195">
            <v>1</v>
          </cell>
          <cell r="E195">
            <v>0</v>
          </cell>
          <cell r="F195">
            <v>0</v>
          </cell>
          <cell r="G195">
            <v>0</v>
          </cell>
          <cell r="H195">
            <v>1</v>
          </cell>
          <cell r="I195">
            <v>8</v>
          </cell>
          <cell r="J195">
            <v>5</v>
          </cell>
          <cell r="K195">
            <v>81</v>
          </cell>
          <cell r="L195">
            <v>5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3</v>
          </cell>
          <cell r="R195">
            <v>2</v>
          </cell>
          <cell r="S195">
            <v>8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16</v>
          </cell>
          <cell r="Z195">
            <v>38</v>
          </cell>
          <cell r="AA195">
            <v>7</v>
          </cell>
          <cell r="AB195">
            <v>7</v>
          </cell>
          <cell r="AC195">
            <v>7</v>
          </cell>
          <cell r="AD195">
            <v>2</v>
          </cell>
          <cell r="AE195">
            <v>0</v>
          </cell>
          <cell r="AF195">
            <v>39</v>
          </cell>
          <cell r="AG195">
            <v>4</v>
          </cell>
          <cell r="AH195">
            <v>0</v>
          </cell>
          <cell r="AI195">
            <v>234</v>
          </cell>
          <cell r="AJ195">
            <v>81</v>
          </cell>
          <cell r="AK195">
            <v>17</v>
          </cell>
        </row>
        <row r="196">
          <cell r="C196">
            <v>350602010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20</v>
          </cell>
          <cell r="I196">
            <v>14</v>
          </cell>
          <cell r="J196">
            <v>18</v>
          </cell>
          <cell r="K196">
            <v>33</v>
          </cell>
          <cell r="L196">
            <v>0</v>
          </cell>
          <cell r="M196">
            <v>0</v>
          </cell>
          <cell r="N196">
            <v>0</v>
          </cell>
          <cell r="O196">
            <v>18</v>
          </cell>
          <cell r="P196">
            <v>0</v>
          </cell>
          <cell r="Q196">
            <v>13</v>
          </cell>
          <cell r="R196">
            <v>0</v>
          </cell>
          <cell r="S196">
            <v>26</v>
          </cell>
          <cell r="T196">
            <v>13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4</v>
          </cell>
          <cell r="Z196">
            <v>18</v>
          </cell>
          <cell r="AA196">
            <v>8</v>
          </cell>
          <cell r="AB196">
            <v>17</v>
          </cell>
          <cell r="AC196">
            <v>6</v>
          </cell>
          <cell r="AD196">
            <v>4</v>
          </cell>
          <cell r="AE196">
            <v>4</v>
          </cell>
          <cell r="AF196">
            <v>39</v>
          </cell>
          <cell r="AG196">
            <v>7</v>
          </cell>
          <cell r="AH196">
            <v>0</v>
          </cell>
          <cell r="AI196">
            <v>262</v>
          </cell>
          <cell r="AJ196">
            <v>39</v>
          </cell>
          <cell r="AK196">
            <v>17</v>
          </cell>
        </row>
        <row r="197">
          <cell r="C197">
            <v>350602011</v>
          </cell>
          <cell r="D197">
            <v>74</v>
          </cell>
          <cell r="E197">
            <v>0</v>
          </cell>
          <cell r="F197">
            <v>9</v>
          </cell>
          <cell r="G197">
            <v>0</v>
          </cell>
          <cell r="H197">
            <v>48</v>
          </cell>
          <cell r="I197">
            <v>5</v>
          </cell>
          <cell r="J197">
            <v>4</v>
          </cell>
          <cell r="K197">
            <v>14</v>
          </cell>
          <cell r="L197">
            <v>42</v>
          </cell>
          <cell r="M197">
            <v>8</v>
          </cell>
          <cell r="N197">
            <v>0</v>
          </cell>
          <cell r="O197">
            <v>0</v>
          </cell>
          <cell r="P197">
            <v>0</v>
          </cell>
          <cell r="Q197">
            <v>32</v>
          </cell>
          <cell r="R197">
            <v>24</v>
          </cell>
          <cell r="S197">
            <v>14</v>
          </cell>
          <cell r="T197">
            <v>7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5</v>
          </cell>
          <cell r="Z197">
            <v>12</v>
          </cell>
          <cell r="AA197">
            <v>29</v>
          </cell>
          <cell r="AB197">
            <v>57</v>
          </cell>
          <cell r="AC197">
            <v>35</v>
          </cell>
          <cell r="AD197">
            <v>9</v>
          </cell>
          <cell r="AE197">
            <v>18</v>
          </cell>
          <cell r="AF197">
            <v>30</v>
          </cell>
          <cell r="AG197">
            <v>14</v>
          </cell>
          <cell r="AH197">
            <v>0</v>
          </cell>
          <cell r="AI197">
            <v>490</v>
          </cell>
          <cell r="AJ197">
            <v>74</v>
          </cell>
          <cell r="AK197">
            <v>21</v>
          </cell>
        </row>
        <row r="198">
          <cell r="C198">
            <v>350602012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10</v>
          </cell>
          <cell r="I198">
            <v>29</v>
          </cell>
          <cell r="J198">
            <v>83</v>
          </cell>
          <cell r="K198">
            <v>38</v>
          </cell>
          <cell r="L198">
            <v>2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5</v>
          </cell>
          <cell r="R198">
            <v>1</v>
          </cell>
          <cell r="S198">
            <v>21</v>
          </cell>
          <cell r="T198">
            <v>6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4</v>
          </cell>
          <cell r="Z198">
            <v>13</v>
          </cell>
          <cell r="AA198">
            <v>8</v>
          </cell>
          <cell r="AB198">
            <v>5</v>
          </cell>
          <cell r="AC198">
            <v>11</v>
          </cell>
          <cell r="AD198">
            <v>2</v>
          </cell>
          <cell r="AE198">
            <v>3</v>
          </cell>
          <cell r="AF198">
            <v>54</v>
          </cell>
          <cell r="AG198">
            <v>4</v>
          </cell>
          <cell r="AH198">
            <v>0</v>
          </cell>
          <cell r="AI198">
            <v>299</v>
          </cell>
          <cell r="AJ198">
            <v>83</v>
          </cell>
          <cell r="AK198">
            <v>18</v>
          </cell>
        </row>
        <row r="199">
          <cell r="C199">
            <v>350602013</v>
          </cell>
          <cell r="D199">
            <v>2</v>
          </cell>
          <cell r="E199">
            <v>0</v>
          </cell>
          <cell r="F199">
            <v>1</v>
          </cell>
          <cell r="G199">
            <v>0</v>
          </cell>
          <cell r="H199">
            <v>31</v>
          </cell>
          <cell r="I199">
            <v>11</v>
          </cell>
          <cell r="J199">
            <v>99</v>
          </cell>
          <cell r="K199">
            <v>38</v>
          </cell>
          <cell r="L199">
            <v>73</v>
          </cell>
          <cell r="M199">
            <v>0</v>
          </cell>
          <cell r="N199">
            <v>0</v>
          </cell>
          <cell r="O199">
            <v>0</v>
          </cell>
          <cell r="P199">
            <v>9</v>
          </cell>
          <cell r="Q199">
            <v>85</v>
          </cell>
          <cell r="R199">
            <v>1</v>
          </cell>
          <cell r="S199">
            <v>29</v>
          </cell>
          <cell r="T199">
            <v>7</v>
          </cell>
          <cell r="U199">
            <v>0</v>
          </cell>
          <cell r="V199">
            <v>0</v>
          </cell>
          <cell r="W199">
            <v>1</v>
          </cell>
          <cell r="X199">
            <v>2</v>
          </cell>
          <cell r="Y199">
            <v>3</v>
          </cell>
          <cell r="Z199">
            <v>23</v>
          </cell>
          <cell r="AA199">
            <v>7</v>
          </cell>
          <cell r="AB199">
            <v>9</v>
          </cell>
          <cell r="AC199">
            <v>8</v>
          </cell>
          <cell r="AD199">
            <v>3</v>
          </cell>
          <cell r="AE199">
            <v>1</v>
          </cell>
          <cell r="AF199">
            <v>59</v>
          </cell>
          <cell r="AG199">
            <v>3</v>
          </cell>
          <cell r="AH199">
            <v>0</v>
          </cell>
          <cell r="AI199">
            <v>505</v>
          </cell>
          <cell r="AJ199">
            <v>99</v>
          </cell>
          <cell r="AK199">
            <v>23</v>
          </cell>
        </row>
        <row r="200">
          <cell r="C200">
            <v>350602014</v>
          </cell>
          <cell r="D200">
            <v>8</v>
          </cell>
          <cell r="E200">
            <v>0</v>
          </cell>
          <cell r="F200">
            <v>1</v>
          </cell>
          <cell r="G200">
            <v>0</v>
          </cell>
          <cell r="H200">
            <v>32</v>
          </cell>
          <cell r="I200">
            <v>1</v>
          </cell>
          <cell r="J200">
            <v>18</v>
          </cell>
          <cell r="K200">
            <v>20</v>
          </cell>
          <cell r="L200">
            <v>58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33</v>
          </cell>
          <cell r="R200">
            <v>1</v>
          </cell>
          <cell r="S200">
            <v>8</v>
          </cell>
          <cell r="T200">
            <v>2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6</v>
          </cell>
          <cell r="Z200">
            <v>37</v>
          </cell>
          <cell r="AA200">
            <v>2</v>
          </cell>
          <cell r="AB200">
            <v>4</v>
          </cell>
          <cell r="AC200">
            <v>12</v>
          </cell>
          <cell r="AD200">
            <v>3</v>
          </cell>
          <cell r="AE200">
            <v>0</v>
          </cell>
          <cell r="AF200">
            <v>52</v>
          </cell>
          <cell r="AG200">
            <v>3</v>
          </cell>
          <cell r="AH200">
            <v>0</v>
          </cell>
          <cell r="AI200">
            <v>301</v>
          </cell>
          <cell r="AJ200">
            <v>58</v>
          </cell>
          <cell r="AK200">
            <v>19</v>
          </cell>
        </row>
        <row r="201">
          <cell r="C201">
            <v>350602015</v>
          </cell>
          <cell r="D201">
            <v>9</v>
          </cell>
          <cell r="E201">
            <v>0</v>
          </cell>
          <cell r="F201">
            <v>0</v>
          </cell>
          <cell r="G201">
            <v>0</v>
          </cell>
          <cell r="H201">
            <v>12</v>
          </cell>
          <cell r="I201">
            <v>41</v>
          </cell>
          <cell r="J201">
            <v>2</v>
          </cell>
          <cell r="K201">
            <v>21</v>
          </cell>
          <cell r="L201">
            <v>3</v>
          </cell>
          <cell r="M201">
            <v>0</v>
          </cell>
          <cell r="N201">
            <v>0</v>
          </cell>
          <cell r="O201">
            <v>0</v>
          </cell>
          <cell r="P201">
            <v>4</v>
          </cell>
          <cell r="Q201">
            <v>5</v>
          </cell>
          <cell r="R201">
            <v>25</v>
          </cell>
          <cell r="S201">
            <v>6</v>
          </cell>
          <cell r="T201">
            <v>0</v>
          </cell>
          <cell r="U201">
            <v>12</v>
          </cell>
          <cell r="V201">
            <v>0</v>
          </cell>
          <cell r="W201">
            <v>0</v>
          </cell>
          <cell r="X201">
            <v>4</v>
          </cell>
          <cell r="Y201">
            <v>4</v>
          </cell>
          <cell r="Z201">
            <v>6</v>
          </cell>
          <cell r="AA201">
            <v>5</v>
          </cell>
          <cell r="AB201">
            <v>2</v>
          </cell>
          <cell r="AC201">
            <v>6</v>
          </cell>
          <cell r="AD201">
            <v>3</v>
          </cell>
          <cell r="AE201">
            <v>0</v>
          </cell>
          <cell r="AF201">
            <v>16</v>
          </cell>
          <cell r="AG201">
            <v>5</v>
          </cell>
          <cell r="AH201">
            <v>0</v>
          </cell>
          <cell r="AI201">
            <v>191</v>
          </cell>
          <cell r="AJ201">
            <v>41</v>
          </cell>
          <cell r="AK201">
            <v>20</v>
          </cell>
        </row>
        <row r="202">
          <cell r="C202">
            <v>350602016</v>
          </cell>
          <cell r="D202">
            <v>30</v>
          </cell>
          <cell r="E202">
            <v>0</v>
          </cell>
          <cell r="F202">
            <v>0</v>
          </cell>
          <cell r="G202">
            <v>4</v>
          </cell>
          <cell r="H202">
            <v>43</v>
          </cell>
          <cell r="I202">
            <v>2</v>
          </cell>
          <cell r="J202">
            <v>15</v>
          </cell>
          <cell r="K202">
            <v>4</v>
          </cell>
          <cell r="L202">
            <v>3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2</v>
          </cell>
          <cell r="R202">
            <v>34</v>
          </cell>
          <cell r="S202">
            <v>12</v>
          </cell>
          <cell r="T202">
            <v>4</v>
          </cell>
          <cell r="U202">
            <v>0</v>
          </cell>
          <cell r="V202">
            <v>0</v>
          </cell>
          <cell r="W202">
            <v>13</v>
          </cell>
          <cell r="X202">
            <v>8</v>
          </cell>
          <cell r="Y202">
            <v>8</v>
          </cell>
          <cell r="Z202">
            <v>7</v>
          </cell>
          <cell r="AA202">
            <v>11</v>
          </cell>
          <cell r="AB202">
            <v>8</v>
          </cell>
          <cell r="AC202">
            <v>10</v>
          </cell>
          <cell r="AD202">
            <v>1</v>
          </cell>
          <cell r="AE202">
            <v>0</v>
          </cell>
          <cell r="AF202">
            <v>60</v>
          </cell>
          <cell r="AG202">
            <v>1</v>
          </cell>
          <cell r="AH202">
            <v>0</v>
          </cell>
          <cell r="AI202">
            <v>280</v>
          </cell>
          <cell r="AJ202">
            <v>60</v>
          </cell>
          <cell r="AK202">
            <v>21</v>
          </cell>
        </row>
        <row r="203">
          <cell r="C203">
            <v>350602017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6</v>
          </cell>
          <cell r="I203">
            <v>0</v>
          </cell>
          <cell r="J203">
            <v>3</v>
          </cell>
          <cell r="K203">
            <v>13</v>
          </cell>
          <cell r="L203">
            <v>19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1</v>
          </cell>
          <cell r="R203">
            <v>5</v>
          </cell>
          <cell r="S203">
            <v>17</v>
          </cell>
          <cell r="T203">
            <v>2</v>
          </cell>
          <cell r="U203">
            <v>0</v>
          </cell>
          <cell r="V203">
            <v>0</v>
          </cell>
          <cell r="W203">
            <v>22</v>
          </cell>
          <cell r="X203">
            <v>0</v>
          </cell>
          <cell r="Y203">
            <v>2</v>
          </cell>
          <cell r="Z203">
            <v>6</v>
          </cell>
          <cell r="AA203">
            <v>10</v>
          </cell>
          <cell r="AB203">
            <v>14</v>
          </cell>
          <cell r="AC203">
            <v>2</v>
          </cell>
          <cell r="AD203">
            <v>1</v>
          </cell>
          <cell r="AE203">
            <v>0</v>
          </cell>
          <cell r="AF203">
            <v>43</v>
          </cell>
          <cell r="AG203">
            <v>3</v>
          </cell>
          <cell r="AH203">
            <v>0</v>
          </cell>
          <cell r="AI203">
            <v>170</v>
          </cell>
          <cell r="AJ203">
            <v>43</v>
          </cell>
          <cell r="AK203">
            <v>18</v>
          </cell>
        </row>
        <row r="204">
          <cell r="C204">
            <v>350602018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</v>
          </cell>
          <cell r="I204">
            <v>5</v>
          </cell>
          <cell r="J204">
            <v>5</v>
          </cell>
          <cell r="K204">
            <v>41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2</v>
          </cell>
          <cell r="R204">
            <v>0</v>
          </cell>
          <cell r="S204">
            <v>9</v>
          </cell>
          <cell r="T204">
            <v>4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1</v>
          </cell>
          <cell r="Z204">
            <v>41</v>
          </cell>
          <cell r="AA204">
            <v>7</v>
          </cell>
          <cell r="AB204">
            <v>6</v>
          </cell>
          <cell r="AC204">
            <v>7</v>
          </cell>
          <cell r="AD204">
            <v>1</v>
          </cell>
          <cell r="AE204">
            <v>1</v>
          </cell>
          <cell r="AF204">
            <v>85</v>
          </cell>
          <cell r="AG204">
            <v>2</v>
          </cell>
          <cell r="AH204">
            <v>0</v>
          </cell>
          <cell r="AI204">
            <v>221</v>
          </cell>
          <cell r="AJ204">
            <v>85</v>
          </cell>
          <cell r="AK204">
            <v>17</v>
          </cell>
        </row>
        <row r="205">
          <cell r="C205">
            <v>350602019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56</v>
          </cell>
          <cell r="I205">
            <v>15</v>
          </cell>
          <cell r="J205">
            <v>46</v>
          </cell>
          <cell r="K205">
            <v>18</v>
          </cell>
          <cell r="L205">
            <v>0</v>
          </cell>
          <cell r="M205">
            <v>0</v>
          </cell>
          <cell r="N205">
            <v>0</v>
          </cell>
          <cell r="O205">
            <v>8</v>
          </cell>
          <cell r="P205">
            <v>0</v>
          </cell>
          <cell r="Q205">
            <v>20</v>
          </cell>
          <cell r="R205">
            <v>1</v>
          </cell>
          <cell r="S205">
            <v>18</v>
          </cell>
          <cell r="T205">
            <v>7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6</v>
          </cell>
          <cell r="Z205">
            <v>16</v>
          </cell>
          <cell r="AA205">
            <v>6</v>
          </cell>
          <cell r="AB205">
            <v>11</v>
          </cell>
          <cell r="AC205">
            <v>7</v>
          </cell>
          <cell r="AD205">
            <v>2</v>
          </cell>
          <cell r="AE205">
            <v>1</v>
          </cell>
          <cell r="AF205">
            <v>60</v>
          </cell>
          <cell r="AG205">
            <v>4</v>
          </cell>
          <cell r="AH205">
            <v>0</v>
          </cell>
          <cell r="AI205">
            <v>302</v>
          </cell>
          <cell r="AJ205">
            <v>60</v>
          </cell>
          <cell r="AK205">
            <v>18</v>
          </cell>
        </row>
        <row r="206">
          <cell r="C206">
            <v>350602020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7</v>
          </cell>
          <cell r="I206">
            <v>0</v>
          </cell>
          <cell r="J206">
            <v>40</v>
          </cell>
          <cell r="K206">
            <v>24</v>
          </cell>
          <cell r="L206">
            <v>44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112</v>
          </cell>
          <cell r="R206">
            <v>14</v>
          </cell>
          <cell r="S206">
            <v>0</v>
          </cell>
          <cell r="T206">
            <v>5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31</v>
          </cell>
          <cell r="Z206">
            <v>0</v>
          </cell>
          <cell r="AA206">
            <v>7</v>
          </cell>
          <cell r="AB206">
            <v>3</v>
          </cell>
          <cell r="AC206">
            <v>15</v>
          </cell>
          <cell r="AD206">
            <v>2</v>
          </cell>
          <cell r="AE206">
            <v>0</v>
          </cell>
          <cell r="AF206">
            <v>57</v>
          </cell>
          <cell r="AG206">
            <v>2</v>
          </cell>
          <cell r="AH206">
            <v>0</v>
          </cell>
          <cell r="AI206">
            <v>363</v>
          </cell>
          <cell r="AJ206">
            <v>112</v>
          </cell>
          <cell r="AK206">
            <v>14</v>
          </cell>
        </row>
        <row r="207">
          <cell r="C207">
            <v>350602021</v>
          </cell>
          <cell r="D207">
            <v>18</v>
          </cell>
          <cell r="E207">
            <v>0</v>
          </cell>
          <cell r="F207">
            <v>1</v>
          </cell>
          <cell r="G207">
            <v>0</v>
          </cell>
          <cell r="H207">
            <v>44</v>
          </cell>
          <cell r="I207">
            <v>1</v>
          </cell>
          <cell r="J207">
            <v>34</v>
          </cell>
          <cell r="K207">
            <v>31</v>
          </cell>
          <cell r="L207">
            <v>49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47</v>
          </cell>
          <cell r="R207">
            <v>1</v>
          </cell>
          <cell r="S207">
            <v>13</v>
          </cell>
          <cell r="T207">
            <v>3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6</v>
          </cell>
          <cell r="Z207">
            <v>34</v>
          </cell>
          <cell r="AA207">
            <v>3</v>
          </cell>
          <cell r="AB207">
            <v>6</v>
          </cell>
          <cell r="AC207">
            <v>9</v>
          </cell>
          <cell r="AD207">
            <v>2</v>
          </cell>
          <cell r="AE207">
            <v>4</v>
          </cell>
          <cell r="AF207">
            <v>59</v>
          </cell>
          <cell r="AG207">
            <v>3</v>
          </cell>
          <cell r="AH207">
            <v>0</v>
          </cell>
          <cell r="AI207">
            <v>368</v>
          </cell>
          <cell r="AJ207">
            <v>59</v>
          </cell>
          <cell r="AK207">
            <v>20</v>
          </cell>
        </row>
        <row r="208">
          <cell r="C208">
            <v>350602022</v>
          </cell>
          <cell r="D208">
            <v>83</v>
          </cell>
          <cell r="E208">
            <v>0</v>
          </cell>
          <cell r="F208">
            <v>2</v>
          </cell>
          <cell r="G208">
            <v>0</v>
          </cell>
          <cell r="H208">
            <v>44</v>
          </cell>
          <cell r="I208">
            <v>0</v>
          </cell>
          <cell r="J208">
            <v>19</v>
          </cell>
          <cell r="K208">
            <v>18</v>
          </cell>
          <cell r="L208">
            <v>30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56</v>
          </cell>
          <cell r="R208">
            <v>2</v>
          </cell>
          <cell r="S208">
            <v>38</v>
          </cell>
          <cell r="T208">
            <v>8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8</v>
          </cell>
          <cell r="Z208">
            <v>21</v>
          </cell>
          <cell r="AA208">
            <v>9</v>
          </cell>
          <cell r="AB208">
            <v>12</v>
          </cell>
          <cell r="AC208">
            <v>6</v>
          </cell>
          <cell r="AD208">
            <v>2</v>
          </cell>
          <cell r="AE208">
            <v>1</v>
          </cell>
          <cell r="AF208">
            <v>43</v>
          </cell>
          <cell r="AG208">
            <v>3</v>
          </cell>
          <cell r="AH208">
            <v>0</v>
          </cell>
          <cell r="AI208">
            <v>405</v>
          </cell>
          <cell r="AJ208">
            <v>83</v>
          </cell>
          <cell r="AK208">
            <v>19</v>
          </cell>
        </row>
        <row r="209">
          <cell r="C209">
            <v>350602023</v>
          </cell>
          <cell r="D209">
            <v>3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37</v>
          </cell>
          <cell r="J209">
            <v>2</v>
          </cell>
          <cell r="K209">
            <v>59</v>
          </cell>
          <cell r="L209">
            <v>1</v>
          </cell>
          <cell r="M209">
            <v>0</v>
          </cell>
          <cell r="N209">
            <v>0</v>
          </cell>
          <cell r="O209">
            <v>5</v>
          </cell>
          <cell r="P209">
            <v>0</v>
          </cell>
          <cell r="Q209">
            <v>4</v>
          </cell>
          <cell r="R209">
            <v>0</v>
          </cell>
          <cell r="S209">
            <v>8</v>
          </cell>
          <cell r="T209">
            <v>3</v>
          </cell>
          <cell r="U209">
            <v>0</v>
          </cell>
          <cell r="V209">
            <v>0</v>
          </cell>
          <cell r="W209">
            <v>0</v>
          </cell>
          <cell r="X209">
            <v>2</v>
          </cell>
          <cell r="Y209">
            <v>0</v>
          </cell>
          <cell r="Z209">
            <v>1</v>
          </cell>
          <cell r="AA209">
            <v>5</v>
          </cell>
          <cell r="AB209">
            <v>2</v>
          </cell>
          <cell r="AC209">
            <v>13</v>
          </cell>
          <cell r="AD209">
            <v>0</v>
          </cell>
          <cell r="AE209">
            <v>6</v>
          </cell>
          <cell r="AF209">
            <v>24</v>
          </cell>
          <cell r="AG209">
            <v>11</v>
          </cell>
          <cell r="AH209">
            <v>0</v>
          </cell>
          <cell r="AI209">
            <v>186</v>
          </cell>
          <cell r="AJ209">
            <v>59</v>
          </cell>
          <cell r="AK209">
            <v>17</v>
          </cell>
        </row>
        <row r="210">
          <cell r="C210">
            <v>350601001</v>
          </cell>
          <cell r="D210">
            <v>1</v>
          </cell>
          <cell r="E210">
            <v>0</v>
          </cell>
          <cell r="F210">
            <v>2</v>
          </cell>
          <cell r="G210">
            <v>3</v>
          </cell>
          <cell r="H210">
            <v>5</v>
          </cell>
          <cell r="I210">
            <v>3</v>
          </cell>
          <cell r="J210">
            <v>12</v>
          </cell>
          <cell r="K210">
            <v>31</v>
          </cell>
          <cell r="L210">
            <v>0</v>
          </cell>
          <cell r="M210">
            <v>0</v>
          </cell>
          <cell r="N210">
            <v>0</v>
          </cell>
          <cell r="O210">
            <v>9</v>
          </cell>
          <cell r="P210">
            <v>0</v>
          </cell>
          <cell r="Q210">
            <v>29</v>
          </cell>
          <cell r="R210">
            <v>17</v>
          </cell>
          <cell r="S210">
            <v>7</v>
          </cell>
          <cell r="T210">
            <v>12</v>
          </cell>
          <cell r="U210">
            <v>4</v>
          </cell>
          <cell r="V210">
            <v>0</v>
          </cell>
          <cell r="W210">
            <v>0</v>
          </cell>
          <cell r="X210">
            <v>3</v>
          </cell>
          <cell r="Y210">
            <v>10</v>
          </cell>
          <cell r="Z210">
            <v>64</v>
          </cell>
          <cell r="AA210">
            <v>47</v>
          </cell>
          <cell r="AB210">
            <v>30</v>
          </cell>
          <cell r="AC210">
            <v>9</v>
          </cell>
          <cell r="AD210">
            <v>19</v>
          </cell>
          <cell r="AE210">
            <v>7</v>
          </cell>
          <cell r="AF210">
            <v>65</v>
          </cell>
          <cell r="AG210">
            <v>7</v>
          </cell>
          <cell r="AH210">
            <v>0</v>
          </cell>
          <cell r="AI210">
            <v>396</v>
          </cell>
          <cell r="AJ210">
            <v>65</v>
          </cell>
          <cell r="AK210">
            <v>23</v>
          </cell>
        </row>
        <row r="211">
          <cell r="C211">
            <v>350601002</v>
          </cell>
          <cell r="D211">
            <v>0</v>
          </cell>
          <cell r="E211">
            <v>0</v>
          </cell>
          <cell r="F211">
            <v>8</v>
          </cell>
          <cell r="G211">
            <v>3</v>
          </cell>
          <cell r="H211">
            <v>12</v>
          </cell>
          <cell r="I211">
            <v>7</v>
          </cell>
          <cell r="J211">
            <v>18</v>
          </cell>
          <cell r="K211">
            <v>17</v>
          </cell>
          <cell r="L211">
            <v>0</v>
          </cell>
          <cell r="M211">
            <v>1</v>
          </cell>
          <cell r="N211">
            <v>7</v>
          </cell>
          <cell r="O211">
            <v>0</v>
          </cell>
          <cell r="P211">
            <v>1</v>
          </cell>
          <cell r="Q211">
            <v>11</v>
          </cell>
          <cell r="R211">
            <v>12</v>
          </cell>
          <cell r="S211">
            <v>17</v>
          </cell>
          <cell r="T211">
            <v>35</v>
          </cell>
          <cell r="U211">
            <v>10</v>
          </cell>
          <cell r="V211">
            <v>0</v>
          </cell>
          <cell r="W211">
            <v>0</v>
          </cell>
          <cell r="X211">
            <v>4</v>
          </cell>
          <cell r="Y211">
            <v>16</v>
          </cell>
          <cell r="Z211">
            <v>81</v>
          </cell>
          <cell r="AA211">
            <v>53</v>
          </cell>
          <cell r="AB211">
            <v>46</v>
          </cell>
          <cell r="AC211">
            <v>17</v>
          </cell>
          <cell r="AD211">
            <v>32</v>
          </cell>
          <cell r="AE211">
            <v>12</v>
          </cell>
          <cell r="AF211">
            <v>40</v>
          </cell>
          <cell r="AG211">
            <v>8</v>
          </cell>
          <cell r="AH211">
            <v>0</v>
          </cell>
          <cell r="AI211">
            <v>468</v>
          </cell>
          <cell r="AJ211">
            <v>81</v>
          </cell>
          <cell r="AK211">
            <v>24</v>
          </cell>
        </row>
        <row r="212">
          <cell r="C212">
            <v>350601003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5</v>
          </cell>
          <cell r="I212">
            <v>0</v>
          </cell>
          <cell r="J212">
            <v>22</v>
          </cell>
          <cell r="K212">
            <v>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23</v>
          </cell>
          <cell r="R212">
            <v>0</v>
          </cell>
          <cell r="S212">
            <v>31</v>
          </cell>
          <cell r="T212">
            <v>20</v>
          </cell>
          <cell r="U212">
            <v>16</v>
          </cell>
          <cell r="V212">
            <v>0</v>
          </cell>
          <cell r="W212">
            <v>0</v>
          </cell>
          <cell r="X212">
            <v>0</v>
          </cell>
          <cell r="Y212">
            <v>25</v>
          </cell>
          <cell r="Z212">
            <v>21</v>
          </cell>
          <cell r="AA212">
            <v>18</v>
          </cell>
          <cell r="AB212">
            <v>32</v>
          </cell>
          <cell r="AC212">
            <v>12</v>
          </cell>
          <cell r="AD212">
            <v>21</v>
          </cell>
          <cell r="AE212">
            <v>8</v>
          </cell>
          <cell r="AF212">
            <v>36</v>
          </cell>
          <cell r="AG212">
            <v>4</v>
          </cell>
          <cell r="AH212">
            <v>0</v>
          </cell>
          <cell r="AI212">
            <v>299</v>
          </cell>
          <cell r="AJ212">
            <v>36</v>
          </cell>
          <cell r="AK212">
            <v>16</v>
          </cell>
        </row>
        <row r="213">
          <cell r="C213">
            <v>350601004</v>
          </cell>
          <cell r="D213">
            <v>0</v>
          </cell>
          <cell r="E213">
            <v>0</v>
          </cell>
          <cell r="F213">
            <v>1</v>
          </cell>
          <cell r="G213">
            <v>0</v>
          </cell>
          <cell r="H213">
            <v>1</v>
          </cell>
          <cell r="I213">
            <v>2</v>
          </cell>
          <cell r="J213">
            <v>5</v>
          </cell>
          <cell r="K213">
            <v>4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64</v>
          </cell>
          <cell r="R213">
            <v>13</v>
          </cell>
          <cell r="S213">
            <v>0</v>
          </cell>
          <cell r="T213">
            <v>44</v>
          </cell>
          <cell r="U213">
            <v>3</v>
          </cell>
          <cell r="V213">
            <v>0</v>
          </cell>
          <cell r="W213">
            <v>0</v>
          </cell>
          <cell r="X213">
            <v>5</v>
          </cell>
          <cell r="Y213">
            <v>38</v>
          </cell>
          <cell r="Z213">
            <v>35</v>
          </cell>
          <cell r="AA213">
            <v>30</v>
          </cell>
          <cell r="AB213">
            <v>29</v>
          </cell>
          <cell r="AC213">
            <v>3</v>
          </cell>
          <cell r="AD213">
            <v>25</v>
          </cell>
          <cell r="AE213">
            <v>4</v>
          </cell>
          <cell r="AF213">
            <v>30</v>
          </cell>
          <cell r="AG213">
            <v>2</v>
          </cell>
          <cell r="AH213">
            <v>0</v>
          </cell>
          <cell r="AI213">
            <v>338</v>
          </cell>
          <cell r="AJ213">
            <v>64</v>
          </cell>
          <cell r="AK213">
            <v>19</v>
          </cell>
        </row>
        <row r="214">
          <cell r="C214">
            <v>350601005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9</v>
          </cell>
          <cell r="I214">
            <v>25</v>
          </cell>
          <cell r="J214">
            <v>33</v>
          </cell>
          <cell r="K214">
            <v>0</v>
          </cell>
          <cell r="L214">
            <v>16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12</v>
          </cell>
          <cell r="R214">
            <v>11</v>
          </cell>
          <cell r="S214">
            <v>15</v>
          </cell>
          <cell r="T214">
            <v>20</v>
          </cell>
          <cell r="U214">
            <v>8</v>
          </cell>
          <cell r="V214">
            <v>0</v>
          </cell>
          <cell r="W214">
            <v>0</v>
          </cell>
          <cell r="X214">
            <v>0</v>
          </cell>
          <cell r="Y214">
            <v>31</v>
          </cell>
          <cell r="Z214">
            <v>40</v>
          </cell>
          <cell r="AA214">
            <v>45</v>
          </cell>
          <cell r="AB214">
            <v>25</v>
          </cell>
          <cell r="AC214">
            <v>20</v>
          </cell>
          <cell r="AD214">
            <v>20</v>
          </cell>
          <cell r="AE214">
            <v>9</v>
          </cell>
          <cell r="AF214">
            <v>37</v>
          </cell>
          <cell r="AG214">
            <v>5</v>
          </cell>
          <cell r="AH214">
            <v>0</v>
          </cell>
          <cell r="AI214">
            <v>381</v>
          </cell>
          <cell r="AJ214">
            <v>45</v>
          </cell>
          <cell r="AK214">
            <v>18</v>
          </cell>
        </row>
        <row r="215">
          <cell r="C215">
            <v>350601006</v>
          </cell>
          <cell r="D215">
            <v>0</v>
          </cell>
          <cell r="E215">
            <v>0</v>
          </cell>
          <cell r="F215">
            <v>0</v>
          </cell>
          <cell r="G215">
            <v>9</v>
          </cell>
          <cell r="H215">
            <v>8</v>
          </cell>
          <cell r="I215">
            <v>18</v>
          </cell>
          <cell r="J215">
            <v>20</v>
          </cell>
          <cell r="K215">
            <v>9</v>
          </cell>
          <cell r="L215">
            <v>1</v>
          </cell>
          <cell r="M215">
            <v>0</v>
          </cell>
          <cell r="N215">
            <v>2</v>
          </cell>
          <cell r="O215">
            <v>0</v>
          </cell>
          <cell r="P215">
            <v>0</v>
          </cell>
          <cell r="Q215">
            <v>25</v>
          </cell>
          <cell r="R215">
            <v>46</v>
          </cell>
          <cell r="S215">
            <v>11</v>
          </cell>
          <cell r="T215">
            <v>22</v>
          </cell>
          <cell r="U215">
            <v>10</v>
          </cell>
          <cell r="V215">
            <v>0</v>
          </cell>
          <cell r="W215">
            <v>0</v>
          </cell>
          <cell r="X215">
            <v>3</v>
          </cell>
          <cell r="Y215">
            <v>23</v>
          </cell>
          <cell r="Z215">
            <v>67</v>
          </cell>
          <cell r="AA215">
            <v>63</v>
          </cell>
          <cell r="AB215">
            <v>31</v>
          </cell>
          <cell r="AC215">
            <v>25</v>
          </cell>
          <cell r="AD215">
            <v>30</v>
          </cell>
          <cell r="AE215">
            <v>10</v>
          </cell>
          <cell r="AF215">
            <v>51</v>
          </cell>
          <cell r="AG215">
            <v>11</v>
          </cell>
          <cell r="AH215">
            <v>0</v>
          </cell>
          <cell r="AI215">
            <v>495</v>
          </cell>
          <cell r="AJ215">
            <v>67</v>
          </cell>
          <cell r="AK215">
            <v>22</v>
          </cell>
        </row>
        <row r="216">
          <cell r="C216">
            <v>350601007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15</v>
          </cell>
          <cell r="I216">
            <v>10</v>
          </cell>
          <cell r="J216">
            <v>15</v>
          </cell>
          <cell r="K216">
            <v>20</v>
          </cell>
          <cell r="L216">
            <v>15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15</v>
          </cell>
          <cell r="R216">
            <v>0</v>
          </cell>
          <cell r="S216">
            <v>10</v>
          </cell>
          <cell r="T216">
            <v>95</v>
          </cell>
          <cell r="U216">
            <v>5</v>
          </cell>
          <cell r="V216">
            <v>0</v>
          </cell>
          <cell r="W216">
            <v>0</v>
          </cell>
          <cell r="X216">
            <v>0</v>
          </cell>
          <cell r="Y216">
            <v>45</v>
          </cell>
          <cell r="Z216">
            <v>20</v>
          </cell>
          <cell r="AA216">
            <v>45</v>
          </cell>
          <cell r="AB216">
            <v>30</v>
          </cell>
          <cell r="AC216">
            <v>25</v>
          </cell>
          <cell r="AD216">
            <v>10</v>
          </cell>
          <cell r="AE216">
            <v>25</v>
          </cell>
          <cell r="AF216">
            <v>5</v>
          </cell>
          <cell r="AG216">
            <v>10</v>
          </cell>
          <cell r="AH216">
            <v>0</v>
          </cell>
          <cell r="AI216">
            <v>415</v>
          </cell>
          <cell r="AJ216">
            <v>95</v>
          </cell>
          <cell r="AK216">
            <v>18</v>
          </cell>
        </row>
        <row r="217">
          <cell r="C217">
            <v>350601008</v>
          </cell>
          <cell r="D217">
            <v>2</v>
          </cell>
          <cell r="E217">
            <v>7</v>
          </cell>
          <cell r="F217">
            <v>2</v>
          </cell>
          <cell r="G217">
            <v>1</v>
          </cell>
          <cell r="H217">
            <v>3</v>
          </cell>
          <cell r="I217">
            <v>18</v>
          </cell>
          <cell r="J217">
            <v>16</v>
          </cell>
          <cell r="K217">
            <v>48</v>
          </cell>
          <cell r="L217">
            <v>3</v>
          </cell>
          <cell r="M217">
            <v>0</v>
          </cell>
          <cell r="N217">
            <v>13</v>
          </cell>
          <cell r="O217">
            <v>0</v>
          </cell>
          <cell r="P217">
            <v>1</v>
          </cell>
          <cell r="Q217">
            <v>23</v>
          </cell>
          <cell r="R217">
            <v>123</v>
          </cell>
          <cell r="S217">
            <v>13</v>
          </cell>
          <cell r="T217">
            <v>22</v>
          </cell>
          <cell r="U217">
            <v>9</v>
          </cell>
          <cell r="V217">
            <v>0</v>
          </cell>
          <cell r="W217">
            <v>0</v>
          </cell>
          <cell r="X217">
            <v>2</v>
          </cell>
          <cell r="Y217">
            <v>18</v>
          </cell>
          <cell r="Z217">
            <v>113</v>
          </cell>
          <cell r="AA217">
            <v>30</v>
          </cell>
          <cell r="AB217">
            <v>21</v>
          </cell>
          <cell r="AC217">
            <v>11</v>
          </cell>
          <cell r="AD217">
            <v>23</v>
          </cell>
          <cell r="AE217">
            <v>7</v>
          </cell>
          <cell r="AF217">
            <v>48</v>
          </cell>
          <cell r="AG217">
            <v>4</v>
          </cell>
          <cell r="AH217">
            <v>0</v>
          </cell>
          <cell r="AI217">
            <v>581</v>
          </cell>
          <cell r="AJ217">
            <v>123</v>
          </cell>
          <cell r="AK217">
            <v>26</v>
          </cell>
        </row>
        <row r="218">
          <cell r="C218">
            <v>350601009</v>
          </cell>
          <cell r="D218">
            <v>0</v>
          </cell>
          <cell r="E218">
            <v>0</v>
          </cell>
          <cell r="F218">
            <v>2</v>
          </cell>
          <cell r="G218">
            <v>0</v>
          </cell>
          <cell r="H218">
            <v>9</v>
          </cell>
          <cell r="I218">
            <v>66</v>
          </cell>
          <cell r="J218">
            <v>6</v>
          </cell>
          <cell r="K218">
            <v>19</v>
          </cell>
          <cell r="L218">
            <v>9</v>
          </cell>
          <cell r="M218">
            <v>0</v>
          </cell>
          <cell r="N218">
            <v>0</v>
          </cell>
          <cell r="O218">
            <v>0</v>
          </cell>
          <cell r="P218">
            <v>1</v>
          </cell>
          <cell r="Q218">
            <v>13</v>
          </cell>
          <cell r="R218">
            <v>39</v>
          </cell>
          <cell r="S218">
            <v>22</v>
          </cell>
          <cell r="T218">
            <v>27</v>
          </cell>
          <cell r="U218">
            <v>0</v>
          </cell>
          <cell r="V218">
            <v>0</v>
          </cell>
          <cell r="W218">
            <v>2</v>
          </cell>
          <cell r="X218">
            <v>4</v>
          </cell>
          <cell r="Y218">
            <v>13</v>
          </cell>
          <cell r="Z218">
            <v>77</v>
          </cell>
          <cell r="AA218">
            <v>31</v>
          </cell>
          <cell r="AB218">
            <v>17</v>
          </cell>
          <cell r="AC218">
            <v>13</v>
          </cell>
          <cell r="AD218">
            <v>40</v>
          </cell>
          <cell r="AE218">
            <v>8</v>
          </cell>
          <cell r="AF218">
            <v>49</v>
          </cell>
          <cell r="AG218">
            <v>0</v>
          </cell>
          <cell r="AH218">
            <v>0</v>
          </cell>
          <cell r="AI218">
            <v>467</v>
          </cell>
          <cell r="AJ218">
            <v>77</v>
          </cell>
          <cell r="AK218">
            <v>21</v>
          </cell>
        </row>
        <row r="219">
          <cell r="C219">
            <v>350601010</v>
          </cell>
          <cell r="D219">
            <v>1</v>
          </cell>
          <cell r="E219">
            <v>2</v>
          </cell>
          <cell r="F219">
            <v>0</v>
          </cell>
          <cell r="G219">
            <v>0</v>
          </cell>
          <cell r="H219">
            <v>7</v>
          </cell>
          <cell r="I219">
            <v>16</v>
          </cell>
          <cell r="J219">
            <v>8</v>
          </cell>
          <cell r="K219">
            <v>18</v>
          </cell>
          <cell r="L219">
            <v>4</v>
          </cell>
          <cell r="M219">
            <v>0</v>
          </cell>
          <cell r="N219">
            <v>4</v>
          </cell>
          <cell r="O219">
            <v>0</v>
          </cell>
          <cell r="P219">
            <v>0</v>
          </cell>
          <cell r="Q219">
            <v>49</v>
          </cell>
          <cell r="R219">
            <v>26</v>
          </cell>
          <cell r="S219">
            <v>9</v>
          </cell>
          <cell r="T219">
            <v>14</v>
          </cell>
          <cell r="U219">
            <v>11</v>
          </cell>
          <cell r="V219">
            <v>0</v>
          </cell>
          <cell r="W219">
            <v>0</v>
          </cell>
          <cell r="X219">
            <v>3</v>
          </cell>
          <cell r="Y219">
            <v>24</v>
          </cell>
          <cell r="Z219">
            <v>60</v>
          </cell>
          <cell r="AA219">
            <v>51</v>
          </cell>
          <cell r="AB219">
            <v>18</v>
          </cell>
          <cell r="AC219">
            <v>17</v>
          </cell>
          <cell r="AD219">
            <v>26</v>
          </cell>
          <cell r="AE219">
            <v>10</v>
          </cell>
          <cell r="AF219">
            <v>48</v>
          </cell>
          <cell r="AG219">
            <v>2</v>
          </cell>
          <cell r="AH219">
            <v>1</v>
          </cell>
          <cell r="AI219">
            <v>429</v>
          </cell>
          <cell r="AJ219">
            <v>60</v>
          </cell>
          <cell r="AK219">
            <v>24</v>
          </cell>
        </row>
        <row r="220">
          <cell r="C220">
            <v>350601011</v>
          </cell>
          <cell r="D220">
            <v>1</v>
          </cell>
          <cell r="E220">
            <v>0</v>
          </cell>
          <cell r="F220">
            <v>0</v>
          </cell>
          <cell r="G220">
            <v>0</v>
          </cell>
          <cell r="H220">
            <v>5</v>
          </cell>
          <cell r="I220">
            <v>31</v>
          </cell>
          <cell r="J220">
            <v>9</v>
          </cell>
          <cell r="K220">
            <v>58</v>
          </cell>
          <cell r="L220">
            <v>0</v>
          </cell>
          <cell r="M220">
            <v>0</v>
          </cell>
          <cell r="N220">
            <v>0</v>
          </cell>
          <cell r="O220">
            <v>22</v>
          </cell>
          <cell r="P220">
            <v>1</v>
          </cell>
          <cell r="Q220">
            <v>19</v>
          </cell>
          <cell r="R220">
            <v>2</v>
          </cell>
          <cell r="S220">
            <v>31</v>
          </cell>
          <cell r="T220">
            <v>13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10</v>
          </cell>
          <cell r="Z220">
            <v>35</v>
          </cell>
          <cell r="AA220">
            <v>19</v>
          </cell>
          <cell r="AB220">
            <v>25</v>
          </cell>
          <cell r="AC220">
            <v>11</v>
          </cell>
          <cell r="AD220">
            <v>17</v>
          </cell>
          <cell r="AE220">
            <v>15</v>
          </cell>
          <cell r="AF220">
            <v>34</v>
          </cell>
          <cell r="AG220">
            <v>32</v>
          </cell>
          <cell r="AH220">
            <v>0</v>
          </cell>
          <cell r="AI220">
            <v>390</v>
          </cell>
          <cell r="AJ220">
            <v>58</v>
          </cell>
          <cell r="AK220">
            <v>20</v>
          </cell>
        </row>
        <row r="221">
          <cell r="C221">
            <v>350601012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11</v>
          </cell>
          <cell r="I221">
            <v>9</v>
          </cell>
          <cell r="J221">
            <v>1</v>
          </cell>
          <cell r="K221">
            <v>38</v>
          </cell>
          <cell r="L221">
            <v>0</v>
          </cell>
          <cell r="M221">
            <v>1</v>
          </cell>
          <cell r="N221">
            <v>0</v>
          </cell>
          <cell r="O221">
            <v>21</v>
          </cell>
          <cell r="P221">
            <v>2</v>
          </cell>
          <cell r="Q221">
            <v>5</v>
          </cell>
          <cell r="R221">
            <v>0</v>
          </cell>
          <cell r="S221">
            <v>23</v>
          </cell>
          <cell r="T221">
            <v>15</v>
          </cell>
          <cell r="U221">
            <v>1</v>
          </cell>
          <cell r="V221">
            <v>0</v>
          </cell>
          <cell r="W221">
            <v>0</v>
          </cell>
          <cell r="X221">
            <v>0</v>
          </cell>
          <cell r="Y221">
            <v>12</v>
          </cell>
          <cell r="Z221">
            <v>18</v>
          </cell>
          <cell r="AA221">
            <v>11</v>
          </cell>
          <cell r="AB221">
            <v>18</v>
          </cell>
          <cell r="AC221">
            <v>13</v>
          </cell>
          <cell r="AD221">
            <v>2</v>
          </cell>
          <cell r="AE221">
            <v>11</v>
          </cell>
          <cell r="AF221">
            <v>48</v>
          </cell>
          <cell r="AG221">
            <v>10</v>
          </cell>
          <cell r="AH221">
            <v>0</v>
          </cell>
          <cell r="AI221">
            <v>270</v>
          </cell>
          <cell r="AJ221">
            <v>48</v>
          </cell>
          <cell r="AK221">
            <v>20</v>
          </cell>
        </row>
        <row r="222">
          <cell r="C222">
            <v>350601013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9</v>
          </cell>
          <cell r="I222">
            <v>7</v>
          </cell>
          <cell r="J222">
            <v>5</v>
          </cell>
          <cell r="K222">
            <v>37</v>
          </cell>
          <cell r="L222">
            <v>1</v>
          </cell>
          <cell r="M222">
            <v>0</v>
          </cell>
          <cell r="N222">
            <v>0</v>
          </cell>
          <cell r="O222">
            <v>15</v>
          </cell>
          <cell r="P222">
            <v>9</v>
          </cell>
          <cell r="Q222">
            <v>33</v>
          </cell>
          <cell r="R222">
            <v>2</v>
          </cell>
          <cell r="S222">
            <v>23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6</v>
          </cell>
          <cell r="Z222">
            <v>33</v>
          </cell>
          <cell r="AA222">
            <v>12</v>
          </cell>
          <cell r="AB222">
            <v>19</v>
          </cell>
          <cell r="AC222">
            <v>12</v>
          </cell>
          <cell r="AD222">
            <v>18</v>
          </cell>
          <cell r="AE222">
            <v>32</v>
          </cell>
          <cell r="AF222">
            <v>72</v>
          </cell>
          <cell r="AG222">
            <v>10</v>
          </cell>
          <cell r="AH222">
            <v>0</v>
          </cell>
          <cell r="AI222">
            <v>355</v>
          </cell>
          <cell r="AJ222">
            <v>72</v>
          </cell>
          <cell r="AK222">
            <v>19</v>
          </cell>
        </row>
        <row r="223">
          <cell r="C223">
            <v>350601014</v>
          </cell>
          <cell r="D223">
            <v>2</v>
          </cell>
          <cell r="E223">
            <v>0</v>
          </cell>
          <cell r="F223">
            <v>0</v>
          </cell>
          <cell r="G223">
            <v>0</v>
          </cell>
          <cell r="H223">
            <v>13</v>
          </cell>
          <cell r="I223">
            <v>9</v>
          </cell>
          <cell r="J223">
            <v>7</v>
          </cell>
          <cell r="K223">
            <v>14</v>
          </cell>
          <cell r="L223">
            <v>5</v>
          </cell>
          <cell r="M223">
            <v>0</v>
          </cell>
          <cell r="N223">
            <v>0</v>
          </cell>
          <cell r="O223">
            <v>18</v>
          </cell>
          <cell r="P223">
            <v>11</v>
          </cell>
          <cell r="Q223">
            <v>15</v>
          </cell>
          <cell r="R223">
            <v>27</v>
          </cell>
          <cell r="S223">
            <v>17</v>
          </cell>
          <cell r="T223">
            <v>10</v>
          </cell>
          <cell r="U223">
            <v>3</v>
          </cell>
          <cell r="V223">
            <v>0</v>
          </cell>
          <cell r="W223">
            <v>0</v>
          </cell>
          <cell r="X223">
            <v>3</v>
          </cell>
          <cell r="Y223">
            <v>5</v>
          </cell>
          <cell r="Z223">
            <v>31</v>
          </cell>
          <cell r="AA223">
            <v>28</v>
          </cell>
          <cell r="AB223">
            <v>4</v>
          </cell>
          <cell r="AC223">
            <v>14</v>
          </cell>
          <cell r="AD223">
            <v>9</v>
          </cell>
          <cell r="AE223">
            <v>7</v>
          </cell>
          <cell r="AF223">
            <v>37</v>
          </cell>
          <cell r="AG223">
            <v>13</v>
          </cell>
          <cell r="AH223">
            <v>0</v>
          </cell>
          <cell r="AI223">
            <v>302</v>
          </cell>
          <cell r="AJ223">
            <v>37</v>
          </cell>
          <cell r="AK223">
            <v>23</v>
          </cell>
        </row>
        <row r="224">
          <cell r="C224">
            <v>350601015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18</v>
          </cell>
          <cell r="I224">
            <v>0</v>
          </cell>
          <cell r="J224">
            <v>9</v>
          </cell>
          <cell r="K224">
            <v>3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17</v>
          </cell>
          <cell r="R224">
            <v>8</v>
          </cell>
          <cell r="S224">
            <v>19</v>
          </cell>
          <cell r="T224">
            <v>15</v>
          </cell>
          <cell r="U224">
            <v>11</v>
          </cell>
          <cell r="V224">
            <v>0</v>
          </cell>
          <cell r="W224">
            <v>0</v>
          </cell>
          <cell r="X224">
            <v>9</v>
          </cell>
          <cell r="Y224">
            <v>28</v>
          </cell>
          <cell r="Z224">
            <v>33</v>
          </cell>
          <cell r="AA224">
            <v>12</v>
          </cell>
          <cell r="AB224">
            <v>38</v>
          </cell>
          <cell r="AC224">
            <v>21</v>
          </cell>
          <cell r="AD224">
            <v>24</v>
          </cell>
          <cell r="AE224">
            <v>12</v>
          </cell>
          <cell r="AF224">
            <v>31</v>
          </cell>
          <cell r="AG224">
            <v>6</v>
          </cell>
          <cell r="AH224">
            <v>0</v>
          </cell>
          <cell r="AI224">
            <v>314</v>
          </cell>
          <cell r="AJ224">
            <v>38</v>
          </cell>
          <cell r="AK224">
            <v>18</v>
          </cell>
        </row>
        <row r="225">
          <cell r="C225">
            <v>350125006</v>
          </cell>
          <cell r="D225">
            <v>4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1</v>
          </cell>
          <cell r="S225">
            <v>7</v>
          </cell>
          <cell r="T225">
            <v>7</v>
          </cell>
          <cell r="U225">
            <v>12</v>
          </cell>
          <cell r="V225">
            <v>6</v>
          </cell>
          <cell r="W225">
            <v>0</v>
          </cell>
          <cell r="X225">
            <v>50</v>
          </cell>
          <cell r="Y225">
            <v>3</v>
          </cell>
          <cell r="Z225">
            <v>0</v>
          </cell>
          <cell r="AA225">
            <v>12</v>
          </cell>
          <cell r="AB225">
            <v>0</v>
          </cell>
          <cell r="AC225">
            <v>0</v>
          </cell>
          <cell r="AD225">
            <v>8</v>
          </cell>
          <cell r="AE225">
            <v>1</v>
          </cell>
          <cell r="AF225">
            <v>7</v>
          </cell>
          <cell r="AG225">
            <v>2</v>
          </cell>
          <cell r="AH225">
            <v>71</v>
          </cell>
          <cell r="AI225">
            <v>191</v>
          </cell>
          <cell r="AJ225">
            <v>71</v>
          </cell>
          <cell r="AK225">
            <v>14</v>
          </cell>
        </row>
        <row r="226">
          <cell r="C226">
            <v>350125007</v>
          </cell>
          <cell r="D226">
            <v>3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15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6</v>
          </cell>
          <cell r="Q226">
            <v>0</v>
          </cell>
          <cell r="R226">
            <v>0</v>
          </cell>
          <cell r="S226">
            <v>0</v>
          </cell>
          <cell r="T226">
            <v>3</v>
          </cell>
          <cell r="U226">
            <v>3</v>
          </cell>
          <cell r="V226">
            <v>0</v>
          </cell>
          <cell r="W226">
            <v>13</v>
          </cell>
          <cell r="X226">
            <v>10</v>
          </cell>
          <cell r="Y226">
            <v>55</v>
          </cell>
          <cell r="Z226">
            <v>20</v>
          </cell>
          <cell r="AA226">
            <v>7</v>
          </cell>
          <cell r="AB226">
            <v>0</v>
          </cell>
          <cell r="AC226">
            <v>0</v>
          </cell>
          <cell r="AD226">
            <v>5</v>
          </cell>
          <cell r="AE226">
            <v>0</v>
          </cell>
          <cell r="AF226">
            <v>2</v>
          </cell>
          <cell r="AG226">
            <v>0</v>
          </cell>
          <cell r="AH226">
            <v>5</v>
          </cell>
          <cell r="AI226">
            <v>147</v>
          </cell>
          <cell r="AJ226">
            <v>55</v>
          </cell>
          <cell r="AK226">
            <v>13</v>
          </cell>
        </row>
        <row r="227">
          <cell r="C227">
            <v>350125008</v>
          </cell>
          <cell r="D227">
            <v>5</v>
          </cell>
          <cell r="E227">
            <v>3</v>
          </cell>
          <cell r="F227">
            <v>2</v>
          </cell>
          <cell r="G227">
            <v>9</v>
          </cell>
          <cell r="H227">
            <v>1</v>
          </cell>
          <cell r="I227">
            <v>0</v>
          </cell>
          <cell r="J227">
            <v>0</v>
          </cell>
          <cell r="K227">
            <v>14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18</v>
          </cell>
          <cell r="T227">
            <v>8</v>
          </cell>
          <cell r="U227">
            <v>11</v>
          </cell>
          <cell r="V227">
            <v>0</v>
          </cell>
          <cell r="W227">
            <v>5</v>
          </cell>
          <cell r="X227">
            <v>98</v>
          </cell>
          <cell r="Y227">
            <v>14</v>
          </cell>
          <cell r="Z227">
            <v>0</v>
          </cell>
          <cell r="AA227">
            <v>25</v>
          </cell>
          <cell r="AB227">
            <v>0</v>
          </cell>
          <cell r="AC227">
            <v>0</v>
          </cell>
          <cell r="AD227">
            <v>3</v>
          </cell>
          <cell r="AE227">
            <v>0</v>
          </cell>
          <cell r="AF227">
            <v>22</v>
          </cell>
          <cell r="AG227">
            <v>1</v>
          </cell>
          <cell r="AH227">
            <v>25</v>
          </cell>
          <cell r="AI227">
            <v>264</v>
          </cell>
          <cell r="AJ227">
            <v>98</v>
          </cell>
          <cell r="AK227">
            <v>17</v>
          </cell>
        </row>
        <row r="228">
          <cell r="C228">
            <v>350125009</v>
          </cell>
          <cell r="D228">
            <v>0</v>
          </cell>
          <cell r="E228">
            <v>0</v>
          </cell>
          <cell r="F228">
            <v>18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8</v>
          </cell>
          <cell r="V228">
            <v>10</v>
          </cell>
          <cell r="W228">
            <v>0</v>
          </cell>
          <cell r="X228">
            <v>46</v>
          </cell>
          <cell r="Y228">
            <v>21</v>
          </cell>
          <cell r="Z228">
            <v>0</v>
          </cell>
          <cell r="AA228">
            <v>26</v>
          </cell>
          <cell r="AB228">
            <v>0</v>
          </cell>
          <cell r="AC228">
            <v>0</v>
          </cell>
          <cell r="AD228">
            <v>7</v>
          </cell>
          <cell r="AE228">
            <v>0</v>
          </cell>
          <cell r="AF228">
            <v>5</v>
          </cell>
          <cell r="AG228">
            <v>9</v>
          </cell>
          <cell r="AH228">
            <v>89</v>
          </cell>
          <cell r="AI228">
            <v>239</v>
          </cell>
          <cell r="AJ228">
            <v>89</v>
          </cell>
          <cell r="AK228">
            <v>10</v>
          </cell>
        </row>
        <row r="229">
          <cell r="C229">
            <v>350125010</v>
          </cell>
          <cell r="D229">
            <v>3</v>
          </cell>
          <cell r="E229">
            <v>0</v>
          </cell>
          <cell r="F229">
            <v>17</v>
          </cell>
          <cell r="G229">
            <v>22</v>
          </cell>
          <cell r="H229">
            <v>2</v>
          </cell>
          <cell r="I229">
            <v>3</v>
          </cell>
          <cell r="J229">
            <v>0</v>
          </cell>
          <cell r="K229">
            <v>0</v>
          </cell>
          <cell r="L229">
            <v>0</v>
          </cell>
          <cell r="M229">
            <v>7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22</v>
          </cell>
          <cell r="T229">
            <v>0</v>
          </cell>
          <cell r="U229">
            <v>0</v>
          </cell>
          <cell r="V229">
            <v>3</v>
          </cell>
          <cell r="W229">
            <v>0</v>
          </cell>
          <cell r="X229">
            <v>40</v>
          </cell>
          <cell r="Y229">
            <v>7</v>
          </cell>
          <cell r="Z229">
            <v>0</v>
          </cell>
          <cell r="AA229">
            <v>22</v>
          </cell>
          <cell r="AB229">
            <v>0</v>
          </cell>
          <cell r="AC229">
            <v>3</v>
          </cell>
          <cell r="AD229">
            <v>4</v>
          </cell>
          <cell r="AE229">
            <v>0</v>
          </cell>
          <cell r="AF229">
            <v>12</v>
          </cell>
          <cell r="AG229">
            <v>1</v>
          </cell>
          <cell r="AH229">
            <v>60</v>
          </cell>
          <cell r="AI229">
            <v>228</v>
          </cell>
          <cell r="AJ229">
            <v>60</v>
          </cell>
          <cell r="AK229">
            <v>16</v>
          </cell>
        </row>
        <row r="230">
          <cell r="C230">
            <v>350125011</v>
          </cell>
          <cell r="D230">
            <v>1</v>
          </cell>
          <cell r="E230">
            <v>0</v>
          </cell>
          <cell r="F230">
            <v>0</v>
          </cell>
          <cell r="G230">
            <v>1</v>
          </cell>
          <cell r="H230">
            <v>2</v>
          </cell>
          <cell r="I230">
            <v>3</v>
          </cell>
          <cell r="J230">
            <v>0</v>
          </cell>
          <cell r="K230">
            <v>0</v>
          </cell>
          <cell r="L230">
            <v>0</v>
          </cell>
          <cell r="M230">
            <v>34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47</v>
          </cell>
          <cell r="V230">
            <v>0</v>
          </cell>
          <cell r="W230">
            <v>12</v>
          </cell>
          <cell r="X230">
            <v>0</v>
          </cell>
          <cell r="Y230">
            <v>6</v>
          </cell>
          <cell r="Z230">
            <v>10</v>
          </cell>
          <cell r="AA230">
            <v>3</v>
          </cell>
          <cell r="AB230">
            <v>6</v>
          </cell>
          <cell r="AC230">
            <v>0</v>
          </cell>
          <cell r="AD230">
            <v>1</v>
          </cell>
          <cell r="AE230">
            <v>17</v>
          </cell>
          <cell r="AF230">
            <v>1</v>
          </cell>
          <cell r="AG230">
            <v>1</v>
          </cell>
          <cell r="AH230">
            <v>26</v>
          </cell>
          <cell r="AI230">
            <v>171</v>
          </cell>
          <cell r="AJ230">
            <v>47</v>
          </cell>
          <cell r="AK230">
            <v>16</v>
          </cell>
        </row>
        <row r="231">
          <cell r="C231">
            <v>350125012</v>
          </cell>
          <cell r="D231">
            <v>2</v>
          </cell>
          <cell r="E231">
            <v>7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17</v>
          </cell>
          <cell r="N231">
            <v>0</v>
          </cell>
          <cell r="O231">
            <v>13</v>
          </cell>
          <cell r="P231">
            <v>0</v>
          </cell>
          <cell r="Q231">
            <v>0</v>
          </cell>
          <cell r="R231">
            <v>0</v>
          </cell>
          <cell r="S231">
            <v>2</v>
          </cell>
          <cell r="T231">
            <v>2</v>
          </cell>
          <cell r="U231">
            <v>16</v>
          </cell>
          <cell r="V231">
            <v>0</v>
          </cell>
          <cell r="W231">
            <v>12</v>
          </cell>
          <cell r="X231">
            <v>21</v>
          </cell>
          <cell r="Y231">
            <v>17</v>
          </cell>
          <cell r="Z231">
            <v>3</v>
          </cell>
          <cell r="AA231">
            <v>6</v>
          </cell>
          <cell r="AB231">
            <v>0</v>
          </cell>
          <cell r="AC231">
            <v>2</v>
          </cell>
          <cell r="AD231">
            <v>1</v>
          </cell>
          <cell r="AE231">
            <v>1</v>
          </cell>
          <cell r="AF231">
            <v>3</v>
          </cell>
          <cell r="AG231">
            <v>0</v>
          </cell>
          <cell r="AH231">
            <v>22</v>
          </cell>
          <cell r="AI231">
            <v>147</v>
          </cell>
          <cell r="AJ231">
            <v>22</v>
          </cell>
          <cell r="AK231">
            <v>17</v>
          </cell>
        </row>
        <row r="232">
          <cell r="C232">
            <v>350125013</v>
          </cell>
          <cell r="D232">
            <v>0</v>
          </cell>
          <cell r="E232">
            <v>5</v>
          </cell>
          <cell r="F232">
            <v>5</v>
          </cell>
          <cell r="G232">
            <v>3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4</v>
          </cell>
          <cell r="P232">
            <v>0</v>
          </cell>
          <cell r="Q232">
            <v>0</v>
          </cell>
          <cell r="R232">
            <v>0</v>
          </cell>
          <cell r="S232">
            <v>5</v>
          </cell>
          <cell r="T232">
            <v>10</v>
          </cell>
          <cell r="U232">
            <v>15</v>
          </cell>
          <cell r="V232">
            <v>0</v>
          </cell>
          <cell r="W232">
            <v>0</v>
          </cell>
          <cell r="X232">
            <v>5</v>
          </cell>
          <cell r="Y232">
            <v>3</v>
          </cell>
          <cell r="Z232">
            <v>5</v>
          </cell>
          <cell r="AA232">
            <v>10</v>
          </cell>
          <cell r="AB232">
            <v>0</v>
          </cell>
          <cell r="AC232">
            <v>5</v>
          </cell>
          <cell r="AD232">
            <v>10</v>
          </cell>
          <cell r="AE232">
            <v>0</v>
          </cell>
          <cell r="AF232">
            <v>10</v>
          </cell>
          <cell r="AG232">
            <v>15</v>
          </cell>
          <cell r="AH232">
            <v>0</v>
          </cell>
          <cell r="AI232">
            <v>110</v>
          </cell>
          <cell r="AJ232">
            <v>15</v>
          </cell>
          <cell r="AK232">
            <v>15</v>
          </cell>
        </row>
        <row r="233">
          <cell r="C233">
            <v>350125014</v>
          </cell>
          <cell r="D233">
            <v>24</v>
          </cell>
          <cell r="E233">
            <v>0</v>
          </cell>
          <cell r="F233">
            <v>10</v>
          </cell>
          <cell r="G233">
            <v>0</v>
          </cell>
          <cell r="H233">
            <v>8</v>
          </cell>
          <cell r="I233">
            <v>62</v>
          </cell>
          <cell r="J233">
            <v>4</v>
          </cell>
          <cell r="K233">
            <v>0</v>
          </cell>
          <cell r="L233">
            <v>0</v>
          </cell>
          <cell r="M233">
            <v>0</v>
          </cell>
          <cell r="N233">
            <v>4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54</v>
          </cell>
          <cell r="T233">
            <v>0</v>
          </cell>
          <cell r="U233">
            <v>0</v>
          </cell>
          <cell r="V233">
            <v>0</v>
          </cell>
          <cell r="W233">
            <v>16</v>
          </cell>
          <cell r="X233">
            <v>19</v>
          </cell>
          <cell r="Y233">
            <v>31</v>
          </cell>
          <cell r="Z233">
            <v>17</v>
          </cell>
          <cell r="AA233">
            <v>5</v>
          </cell>
          <cell r="AB233">
            <v>7</v>
          </cell>
          <cell r="AC233">
            <v>4</v>
          </cell>
          <cell r="AD233">
            <v>9</v>
          </cell>
          <cell r="AE233">
            <v>0</v>
          </cell>
          <cell r="AF233">
            <v>2</v>
          </cell>
          <cell r="AG233">
            <v>0</v>
          </cell>
          <cell r="AH233">
            <v>3</v>
          </cell>
          <cell r="AI233">
            <v>279</v>
          </cell>
          <cell r="AJ233">
            <v>62</v>
          </cell>
          <cell r="AK233">
            <v>17</v>
          </cell>
        </row>
        <row r="234">
          <cell r="C234">
            <v>350125015</v>
          </cell>
          <cell r="D234">
            <v>19</v>
          </cell>
          <cell r="E234">
            <v>0</v>
          </cell>
          <cell r="F234">
            <v>0</v>
          </cell>
          <cell r="G234">
            <v>1</v>
          </cell>
          <cell r="H234">
            <v>1</v>
          </cell>
          <cell r="I234">
            <v>4</v>
          </cell>
          <cell r="J234">
            <v>0</v>
          </cell>
          <cell r="K234">
            <v>0</v>
          </cell>
          <cell r="L234">
            <v>23</v>
          </cell>
          <cell r="M234">
            <v>9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2</v>
          </cell>
          <cell r="T234">
            <v>3</v>
          </cell>
          <cell r="U234">
            <v>3</v>
          </cell>
          <cell r="V234">
            <v>16</v>
          </cell>
          <cell r="W234">
            <v>0</v>
          </cell>
          <cell r="X234">
            <v>3</v>
          </cell>
          <cell r="Y234">
            <v>22</v>
          </cell>
          <cell r="Z234">
            <v>11</v>
          </cell>
          <cell r="AA234">
            <v>19</v>
          </cell>
          <cell r="AB234">
            <v>0</v>
          </cell>
          <cell r="AC234">
            <v>1</v>
          </cell>
          <cell r="AD234">
            <v>4</v>
          </cell>
          <cell r="AE234">
            <v>0</v>
          </cell>
          <cell r="AF234">
            <v>3</v>
          </cell>
          <cell r="AG234">
            <v>0</v>
          </cell>
          <cell r="AH234">
            <v>4</v>
          </cell>
          <cell r="AI234">
            <v>148</v>
          </cell>
          <cell r="AJ234">
            <v>23</v>
          </cell>
          <cell r="AK234">
            <v>18</v>
          </cell>
        </row>
        <row r="235">
          <cell r="C235">
            <v>350122032</v>
          </cell>
          <cell r="D235">
            <v>62</v>
          </cell>
          <cell r="E235">
            <v>23</v>
          </cell>
          <cell r="F235">
            <v>0</v>
          </cell>
          <cell r="G235">
            <v>11</v>
          </cell>
          <cell r="H235">
            <v>5</v>
          </cell>
          <cell r="I235">
            <v>0</v>
          </cell>
          <cell r="J235">
            <v>2</v>
          </cell>
          <cell r="K235">
            <v>0</v>
          </cell>
          <cell r="L235">
            <v>1</v>
          </cell>
          <cell r="M235">
            <v>35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26</v>
          </cell>
          <cell r="S235">
            <v>2</v>
          </cell>
          <cell r="T235">
            <v>33</v>
          </cell>
          <cell r="U235">
            <v>15</v>
          </cell>
          <cell r="V235">
            <v>10</v>
          </cell>
          <cell r="W235">
            <v>3</v>
          </cell>
          <cell r="X235">
            <v>52</v>
          </cell>
          <cell r="Y235">
            <v>34</v>
          </cell>
          <cell r="Z235">
            <v>15</v>
          </cell>
          <cell r="AA235">
            <v>13</v>
          </cell>
          <cell r="AB235">
            <v>0</v>
          </cell>
          <cell r="AC235">
            <v>2</v>
          </cell>
          <cell r="AD235">
            <v>17</v>
          </cell>
          <cell r="AE235">
            <v>0</v>
          </cell>
          <cell r="AF235">
            <v>22</v>
          </cell>
          <cell r="AG235">
            <v>0</v>
          </cell>
          <cell r="AH235">
            <v>18</v>
          </cell>
          <cell r="AI235">
            <v>401</v>
          </cell>
          <cell r="AJ235">
            <v>62</v>
          </cell>
          <cell r="AK235">
            <v>21</v>
          </cell>
        </row>
      </sheetData>
      <sheetData sheetId="14"/>
      <sheetData sheetId="15"/>
      <sheetData sheetId="16"/>
      <sheetData sheetId="17"/>
      <sheetData sheetId="18">
        <row r="2">
          <cell r="G2">
            <v>2022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"/>
      <sheetName val="Sheet1"/>
      <sheetName val="data"/>
      <sheetName val="bulanan"/>
      <sheetName val="ch-eff"/>
      <sheetName val="ch-ranc"/>
      <sheetName val="HSSnkys"/>
      <sheetName val="nakayasu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>
        <row r="8">
          <cell r="M8">
            <v>0.5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ta"/>
      <sheetName val="Tabel"/>
      <sheetName val="Grafik"/>
    </sheetNames>
    <sheetDataSet>
      <sheetData sheetId="0">
        <row r="1">
          <cell r="K1">
            <v>36</v>
          </cell>
        </row>
      </sheetData>
      <sheetData sheetId="1">
        <row r="11">
          <cell r="A11">
            <v>1</v>
          </cell>
          <cell r="B11" t="str">
            <v>Jan.1</v>
          </cell>
          <cell r="C11">
            <v>1575</v>
          </cell>
          <cell r="D11">
            <v>1.5</v>
          </cell>
          <cell r="E11">
            <v>2362.5</v>
          </cell>
          <cell r="F11">
            <v>7029</v>
          </cell>
          <cell r="G11">
            <v>2362.5</v>
          </cell>
          <cell r="H11">
            <v>11802</v>
          </cell>
          <cell r="I11">
            <v>1.5</v>
          </cell>
          <cell r="J11">
            <v>14162</v>
          </cell>
          <cell r="K11">
            <v>16430.599999999999</v>
          </cell>
          <cell r="L11">
            <v>14162</v>
          </cell>
          <cell r="M11">
            <v>1088</v>
          </cell>
          <cell r="N11">
            <v>1.5</v>
          </cell>
          <cell r="O11">
            <v>1632</v>
          </cell>
          <cell r="P11">
            <v>12075.5</v>
          </cell>
          <cell r="Q11">
            <v>1632</v>
          </cell>
          <cell r="R11">
            <v>1094</v>
          </cell>
          <cell r="S11">
            <v>1.5</v>
          </cell>
          <cell r="T11">
            <v>1641</v>
          </cell>
          <cell r="U11">
            <v>3730.3</v>
          </cell>
          <cell r="V11">
            <v>1641</v>
          </cell>
          <cell r="W11">
            <v>272</v>
          </cell>
          <cell r="X11">
            <v>1.5</v>
          </cell>
          <cell r="Y11">
            <v>408</v>
          </cell>
          <cell r="Z11">
            <v>562.5</v>
          </cell>
          <cell r="AA11">
            <v>408</v>
          </cell>
          <cell r="AB11">
            <v>1920</v>
          </cell>
          <cell r="AC11">
            <v>1.5</v>
          </cell>
          <cell r="AD11">
            <v>2880</v>
          </cell>
          <cell r="AE11">
            <v>8582</v>
          </cell>
          <cell r="AF11">
            <v>2880</v>
          </cell>
          <cell r="AG11">
            <v>4377</v>
          </cell>
          <cell r="AH11">
            <v>1.5</v>
          </cell>
          <cell r="AI11">
            <v>6565.5</v>
          </cell>
          <cell r="AJ11">
            <v>8348.7999999999993</v>
          </cell>
          <cell r="AK11">
            <v>6565.5</v>
          </cell>
        </row>
        <row r="12">
          <cell r="A12">
            <v>2</v>
          </cell>
          <cell r="B12" t="str">
            <v>Jan.2</v>
          </cell>
          <cell r="C12">
            <v>1575</v>
          </cell>
          <cell r="D12">
            <v>1.5</v>
          </cell>
          <cell r="E12">
            <v>2362.5</v>
          </cell>
          <cell r="F12">
            <v>6644.8</v>
          </cell>
          <cell r="G12">
            <v>2362.5</v>
          </cell>
          <cell r="H12">
            <v>11802</v>
          </cell>
          <cell r="I12">
            <v>1.5</v>
          </cell>
          <cell r="J12">
            <v>14162</v>
          </cell>
          <cell r="K12">
            <v>15022.1</v>
          </cell>
          <cell r="L12">
            <v>14162</v>
          </cell>
          <cell r="M12">
            <v>1088</v>
          </cell>
          <cell r="N12">
            <v>1.5</v>
          </cell>
          <cell r="O12">
            <v>1632</v>
          </cell>
          <cell r="P12">
            <v>8497.4</v>
          </cell>
          <cell r="Q12">
            <v>1632</v>
          </cell>
          <cell r="R12">
            <v>1094</v>
          </cell>
          <cell r="S12">
            <v>1.5</v>
          </cell>
          <cell r="T12">
            <v>1641</v>
          </cell>
          <cell r="U12">
            <v>2367.6999999999998</v>
          </cell>
          <cell r="V12">
            <v>1641</v>
          </cell>
          <cell r="W12">
            <v>272</v>
          </cell>
          <cell r="X12">
            <v>1.5</v>
          </cell>
          <cell r="Y12">
            <v>408</v>
          </cell>
          <cell r="Z12">
            <v>509</v>
          </cell>
          <cell r="AA12">
            <v>408</v>
          </cell>
          <cell r="AB12">
            <v>1920</v>
          </cell>
          <cell r="AC12">
            <v>1.5</v>
          </cell>
          <cell r="AD12">
            <v>2880</v>
          </cell>
          <cell r="AE12">
            <v>8219.7999999999993</v>
          </cell>
          <cell r="AF12">
            <v>2880</v>
          </cell>
          <cell r="AG12">
            <v>4377</v>
          </cell>
          <cell r="AH12">
            <v>1.5</v>
          </cell>
          <cell r="AI12">
            <v>6565.5</v>
          </cell>
          <cell r="AJ12">
            <v>8552.2000000000007</v>
          </cell>
          <cell r="AK12">
            <v>6565.5</v>
          </cell>
        </row>
        <row r="13">
          <cell r="A13">
            <v>3</v>
          </cell>
          <cell r="B13" t="str">
            <v>Jan.3</v>
          </cell>
          <cell r="C13">
            <v>1575</v>
          </cell>
          <cell r="D13">
            <v>1.5</v>
          </cell>
          <cell r="E13">
            <v>2362.5</v>
          </cell>
          <cell r="F13">
            <v>6411.090909090909</v>
          </cell>
          <cell r="G13">
            <v>2362.5</v>
          </cell>
          <cell r="H13">
            <v>11802</v>
          </cell>
          <cell r="I13">
            <v>1.5</v>
          </cell>
          <cell r="J13">
            <v>14162</v>
          </cell>
          <cell r="K13">
            <v>15396.363636363636</v>
          </cell>
          <cell r="L13">
            <v>14162</v>
          </cell>
          <cell r="M13">
            <v>1088</v>
          </cell>
          <cell r="N13">
            <v>1.5</v>
          </cell>
          <cell r="O13">
            <v>1632</v>
          </cell>
          <cell r="P13">
            <v>9120.9090909090901</v>
          </cell>
          <cell r="Q13">
            <v>1632</v>
          </cell>
          <cell r="R13">
            <v>1094</v>
          </cell>
          <cell r="S13">
            <v>1.5</v>
          </cell>
          <cell r="T13">
            <v>1641</v>
          </cell>
          <cell r="U13">
            <v>2078.4545454545455</v>
          </cell>
          <cell r="V13">
            <v>1641</v>
          </cell>
          <cell r="W13">
            <v>272</v>
          </cell>
          <cell r="X13">
            <v>1.5</v>
          </cell>
          <cell r="Y13">
            <v>408</v>
          </cell>
          <cell r="Z13">
            <v>509</v>
          </cell>
          <cell r="AA13">
            <v>408</v>
          </cell>
          <cell r="AB13">
            <v>1920</v>
          </cell>
          <cell r="AC13">
            <v>1.5</v>
          </cell>
          <cell r="AD13">
            <v>2880</v>
          </cell>
          <cell r="AE13">
            <v>16396.18181818182</v>
          </cell>
          <cell r="AF13">
            <v>2880</v>
          </cell>
          <cell r="AG13">
            <v>4377</v>
          </cell>
          <cell r="AH13">
            <v>1.5</v>
          </cell>
          <cell r="AI13">
            <v>6565.5</v>
          </cell>
          <cell r="AJ13">
            <v>8691.454545454546</v>
          </cell>
          <cell r="AK13">
            <v>6565.5</v>
          </cell>
        </row>
        <row r="14">
          <cell r="A14">
            <v>4</v>
          </cell>
          <cell r="B14" t="str">
            <v>Feb.1</v>
          </cell>
          <cell r="C14">
            <v>1575</v>
          </cell>
          <cell r="D14">
            <v>1.5</v>
          </cell>
          <cell r="E14">
            <v>2362.5</v>
          </cell>
          <cell r="F14">
            <v>6197.7</v>
          </cell>
          <cell r="G14">
            <v>2362.5</v>
          </cell>
          <cell r="H14">
            <v>11802</v>
          </cell>
          <cell r="I14">
            <v>1.5</v>
          </cell>
          <cell r="J14">
            <v>14162</v>
          </cell>
          <cell r="K14">
            <v>20338.2</v>
          </cell>
          <cell r="L14">
            <v>14162</v>
          </cell>
          <cell r="M14">
            <v>1088</v>
          </cell>
          <cell r="N14">
            <v>1.5</v>
          </cell>
          <cell r="O14">
            <v>1632</v>
          </cell>
          <cell r="P14">
            <v>13265.5</v>
          </cell>
          <cell r="Q14">
            <v>1632</v>
          </cell>
          <cell r="R14">
            <v>1094</v>
          </cell>
          <cell r="S14">
            <v>1.5</v>
          </cell>
          <cell r="T14">
            <v>1641</v>
          </cell>
          <cell r="U14">
            <v>4649.6000000000004</v>
          </cell>
          <cell r="V14">
            <v>1641</v>
          </cell>
          <cell r="W14">
            <v>272</v>
          </cell>
          <cell r="X14">
            <v>1.5</v>
          </cell>
          <cell r="Y14">
            <v>408</v>
          </cell>
          <cell r="Z14">
            <v>570.5</v>
          </cell>
          <cell r="AA14">
            <v>408</v>
          </cell>
          <cell r="AB14">
            <v>1920</v>
          </cell>
          <cell r="AC14">
            <v>1.5</v>
          </cell>
          <cell r="AD14">
            <v>2880</v>
          </cell>
          <cell r="AE14">
            <v>13847.5</v>
          </cell>
          <cell r="AF14">
            <v>2880</v>
          </cell>
          <cell r="AG14">
            <v>4377</v>
          </cell>
          <cell r="AH14">
            <v>1.5</v>
          </cell>
          <cell r="AI14">
            <v>6565.5</v>
          </cell>
          <cell r="AJ14">
            <v>8286.4</v>
          </cell>
          <cell r="AK14">
            <v>6565.5</v>
          </cell>
        </row>
        <row r="15">
          <cell r="A15">
            <v>5</v>
          </cell>
          <cell r="B15" t="str">
            <v>Feb.2</v>
          </cell>
          <cell r="C15">
            <v>1575</v>
          </cell>
          <cell r="D15">
            <v>1.5</v>
          </cell>
          <cell r="E15">
            <v>2362.5</v>
          </cell>
          <cell r="F15">
            <v>6118.7142857142853</v>
          </cell>
          <cell r="G15">
            <v>2362.5</v>
          </cell>
          <cell r="H15">
            <v>11802</v>
          </cell>
          <cell r="I15">
            <v>1.5</v>
          </cell>
          <cell r="J15">
            <v>14162</v>
          </cell>
          <cell r="K15">
            <v>15100.846153846154</v>
          </cell>
          <cell r="L15">
            <v>14162</v>
          </cell>
          <cell r="M15">
            <v>1088</v>
          </cell>
          <cell r="N15">
            <v>1.5</v>
          </cell>
          <cell r="O15">
            <v>1632</v>
          </cell>
          <cell r="P15">
            <v>14377.642857142857</v>
          </cell>
          <cell r="Q15">
            <v>1632</v>
          </cell>
          <cell r="R15">
            <v>1094</v>
          </cell>
          <cell r="S15">
            <v>1.5</v>
          </cell>
          <cell r="T15">
            <v>1641</v>
          </cell>
          <cell r="U15">
            <v>7013.5384615384619</v>
          </cell>
          <cell r="V15">
            <v>1641</v>
          </cell>
          <cell r="W15">
            <v>272</v>
          </cell>
          <cell r="X15">
            <v>1.5</v>
          </cell>
          <cell r="Y15">
            <v>408</v>
          </cell>
          <cell r="Z15">
            <v>3407.0714285714284</v>
          </cell>
          <cell r="AA15">
            <v>408</v>
          </cell>
          <cell r="AB15">
            <v>1920</v>
          </cell>
          <cell r="AC15">
            <v>1.5</v>
          </cell>
          <cell r="AD15">
            <v>2880</v>
          </cell>
          <cell r="AE15">
            <v>15051.76923076923</v>
          </cell>
          <cell r="AF15">
            <v>2880</v>
          </cell>
          <cell r="AG15">
            <v>4377</v>
          </cell>
          <cell r="AH15">
            <v>1.5</v>
          </cell>
          <cell r="AI15">
            <v>6565.5</v>
          </cell>
          <cell r="AJ15">
            <v>10249</v>
          </cell>
          <cell r="AK15">
            <v>6565.5</v>
          </cell>
        </row>
        <row r="16">
          <cell r="A16">
            <v>6</v>
          </cell>
          <cell r="B16" t="str">
            <v>Feb.3</v>
          </cell>
          <cell r="C16">
            <v>1575</v>
          </cell>
          <cell r="D16">
            <v>1.5</v>
          </cell>
          <cell r="E16">
            <v>2362.5</v>
          </cell>
          <cell r="F16">
            <v>6134</v>
          </cell>
          <cell r="G16">
            <v>2362.5</v>
          </cell>
          <cell r="H16">
            <v>11802</v>
          </cell>
          <cell r="I16">
            <v>1.5</v>
          </cell>
          <cell r="J16">
            <v>14162</v>
          </cell>
          <cell r="K16">
            <v>17664.875</v>
          </cell>
          <cell r="L16">
            <v>14162</v>
          </cell>
          <cell r="M16">
            <v>1088</v>
          </cell>
          <cell r="N16">
            <v>1.5</v>
          </cell>
          <cell r="O16">
            <v>1632</v>
          </cell>
          <cell r="P16">
            <v>15163.888888888889</v>
          </cell>
          <cell r="Q16">
            <v>1632</v>
          </cell>
          <cell r="R16">
            <v>1094</v>
          </cell>
          <cell r="S16">
            <v>1.5</v>
          </cell>
          <cell r="T16">
            <v>1641</v>
          </cell>
          <cell r="U16">
            <v>7793.75</v>
          </cell>
          <cell r="V16">
            <v>1641</v>
          </cell>
          <cell r="W16">
            <v>272</v>
          </cell>
          <cell r="X16">
            <v>1.5</v>
          </cell>
          <cell r="Y16">
            <v>408</v>
          </cell>
          <cell r="Z16">
            <v>4993.1111111111113</v>
          </cell>
          <cell r="AA16">
            <v>408</v>
          </cell>
          <cell r="AB16">
            <v>1920</v>
          </cell>
          <cell r="AC16">
            <v>1.5</v>
          </cell>
          <cell r="AD16">
            <v>2880</v>
          </cell>
          <cell r="AE16">
            <v>13959.625</v>
          </cell>
          <cell r="AF16">
            <v>2880</v>
          </cell>
          <cell r="AG16">
            <v>4377</v>
          </cell>
          <cell r="AH16">
            <v>1.5</v>
          </cell>
          <cell r="AI16">
            <v>6565.5</v>
          </cell>
          <cell r="AJ16">
            <v>10126.375</v>
          </cell>
          <cell r="AK16">
            <v>6565.5</v>
          </cell>
        </row>
        <row r="17">
          <cell r="A17">
            <v>7</v>
          </cell>
          <cell r="B17" t="str">
            <v>Mar.1</v>
          </cell>
          <cell r="C17">
            <v>1575</v>
          </cell>
          <cell r="D17">
            <v>1.5</v>
          </cell>
          <cell r="E17">
            <v>2362.5</v>
          </cell>
          <cell r="F17">
            <v>6393.4</v>
          </cell>
          <cell r="G17">
            <v>2362.5</v>
          </cell>
          <cell r="H17">
            <v>11802</v>
          </cell>
          <cell r="I17">
            <v>1.5</v>
          </cell>
          <cell r="J17">
            <v>14162</v>
          </cell>
          <cell r="K17">
            <v>30833</v>
          </cell>
          <cell r="L17">
            <v>14162</v>
          </cell>
          <cell r="M17">
            <v>1088</v>
          </cell>
          <cell r="N17">
            <v>1.5</v>
          </cell>
          <cell r="O17">
            <v>1632</v>
          </cell>
          <cell r="P17">
            <v>19501.900000000001</v>
          </cell>
          <cell r="Q17">
            <v>1632</v>
          </cell>
          <cell r="R17">
            <v>1094</v>
          </cell>
          <cell r="S17">
            <v>1.5</v>
          </cell>
          <cell r="T17">
            <v>1641</v>
          </cell>
          <cell r="U17">
            <v>12135.1</v>
          </cell>
          <cell r="V17">
            <v>1641</v>
          </cell>
          <cell r="W17">
            <v>272</v>
          </cell>
          <cell r="X17">
            <v>1.5</v>
          </cell>
          <cell r="Y17">
            <v>408</v>
          </cell>
          <cell r="Z17">
            <v>11382.6</v>
          </cell>
          <cell r="AA17">
            <v>408</v>
          </cell>
          <cell r="AB17">
            <v>1920</v>
          </cell>
          <cell r="AC17">
            <v>1.5</v>
          </cell>
          <cell r="AD17">
            <v>2880</v>
          </cell>
          <cell r="AE17">
            <v>24096.6</v>
          </cell>
          <cell r="AF17">
            <v>2880</v>
          </cell>
          <cell r="AG17">
            <v>4377</v>
          </cell>
          <cell r="AH17">
            <v>1.5</v>
          </cell>
          <cell r="AI17">
            <v>6565.5</v>
          </cell>
          <cell r="AJ17">
            <v>11079.5</v>
          </cell>
          <cell r="AK17">
            <v>6565.5</v>
          </cell>
        </row>
        <row r="18">
          <cell r="A18">
            <v>8</v>
          </cell>
          <cell r="B18" t="str">
            <v>Mar.2</v>
          </cell>
          <cell r="C18">
            <v>1575</v>
          </cell>
          <cell r="D18">
            <v>1.5</v>
          </cell>
          <cell r="E18">
            <v>2362.5</v>
          </cell>
          <cell r="F18">
            <v>7033.625</v>
          </cell>
          <cell r="G18">
            <v>2362.5</v>
          </cell>
          <cell r="H18">
            <v>11802</v>
          </cell>
          <cell r="I18">
            <v>1.5</v>
          </cell>
          <cell r="J18">
            <v>14162</v>
          </cell>
          <cell r="K18">
            <v>26631.75</v>
          </cell>
          <cell r="L18">
            <v>14162</v>
          </cell>
          <cell r="M18">
            <v>1088</v>
          </cell>
          <cell r="N18">
            <v>1.5</v>
          </cell>
          <cell r="O18">
            <v>1632</v>
          </cell>
          <cell r="P18">
            <v>22424.25</v>
          </cell>
          <cell r="Q18">
            <v>1632</v>
          </cell>
          <cell r="R18">
            <v>1094</v>
          </cell>
          <cell r="S18">
            <v>1.5</v>
          </cell>
          <cell r="T18">
            <v>1641</v>
          </cell>
          <cell r="U18">
            <v>12955.4375</v>
          </cell>
          <cell r="V18">
            <v>1641</v>
          </cell>
          <cell r="W18">
            <v>272</v>
          </cell>
          <cell r="X18">
            <v>1.5</v>
          </cell>
          <cell r="Y18">
            <v>408</v>
          </cell>
          <cell r="Z18">
            <v>10691</v>
          </cell>
          <cell r="AA18">
            <v>408</v>
          </cell>
          <cell r="AB18">
            <v>1920</v>
          </cell>
          <cell r="AC18">
            <v>1.5</v>
          </cell>
          <cell r="AD18">
            <v>2880</v>
          </cell>
          <cell r="AE18">
            <v>22308.125</v>
          </cell>
          <cell r="AF18">
            <v>2880</v>
          </cell>
          <cell r="AG18">
            <v>4377</v>
          </cell>
          <cell r="AH18">
            <v>1.5</v>
          </cell>
          <cell r="AI18">
            <v>6565.5</v>
          </cell>
          <cell r="AJ18">
            <v>12943</v>
          </cell>
          <cell r="AK18">
            <v>6565.5</v>
          </cell>
        </row>
        <row r="19">
          <cell r="A19">
            <v>9</v>
          </cell>
          <cell r="B19" t="str">
            <v>Mar.3</v>
          </cell>
          <cell r="C19">
            <v>1575</v>
          </cell>
          <cell r="D19">
            <v>1.5</v>
          </cell>
          <cell r="E19">
            <v>2362.5</v>
          </cell>
          <cell r="F19">
            <v>6893</v>
          </cell>
          <cell r="G19">
            <v>2362.5</v>
          </cell>
          <cell r="H19">
            <v>11802</v>
          </cell>
          <cell r="I19">
            <v>1.5</v>
          </cell>
          <cell r="J19">
            <v>14162</v>
          </cell>
          <cell r="K19">
            <v>28088.81818181818</v>
          </cell>
          <cell r="L19">
            <v>14162</v>
          </cell>
          <cell r="M19">
            <v>1088</v>
          </cell>
          <cell r="N19">
            <v>1.5</v>
          </cell>
          <cell r="O19">
            <v>1632</v>
          </cell>
          <cell r="P19">
            <v>24058.636363636364</v>
          </cell>
          <cell r="Q19">
            <v>1632</v>
          </cell>
          <cell r="R19">
            <v>1094</v>
          </cell>
          <cell r="S19">
            <v>1.5</v>
          </cell>
          <cell r="T19">
            <v>1641</v>
          </cell>
          <cell r="U19">
            <v>13150.545454545454</v>
          </cell>
          <cell r="V19">
            <v>1641</v>
          </cell>
          <cell r="W19">
            <v>272</v>
          </cell>
          <cell r="X19">
            <v>1.5</v>
          </cell>
          <cell r="Y19">
            <v>408</v>
          </cell>
          <cell r="Z19">
            <v>10450.818181818182</v>
          </cell>
          <cell r="AA19">
            <v>408</v>
          </cell>
          <cell r="AB19">
            <v>1920</v>
          </cell>
          <cell r="AC19">
            <v>1.5</v>
          </cell>
          <cell r="AD19">
            <v>2880</v>
          </cell>
          <cell r="AE19">
            <v>21737.454545454544</v>
          </cell>
          <cell r="AF19">
            <v>2880</v>
          </cell>
          <cell r="AG19">
            <v>4377</v>
          </cell>
          <cell r="AH19">
            <v>1.5</v>
          </cell>
          <cell r="AI19">
            <v>6565.5</v>
          </cell>
          <cell r="AJ19">
            <v>12916.818181818182</v>
          </cell>
          <cell r="AK19">
            <v>6565.5</v>
          </cell>
        </row>
        <row r="20">
          <cell r="A20">
            <v>10</v>
          </cell>
          <cell r="B20" t="str">
            <v>Apr.1</v>
          </cell>
          <cell r="C20">
            <v>1575</v>
          </cell>
          <cell r="D20">
            <v>1.5</v>
          </cell>
          <cell r="E20">
            <v>2362.5</v>
          </cell>
          <cell r="F20">
            <v>6576.6</v>
          </cell>
          <cell r="G20">
            <v>2362.5</v>
          </cell>
          <cell r="H20">
            <v>11802</v>
          </cell>
          <cell r="I20">
            <v>1.5</v>
          </cell>
          <cell r="J20">
            <v>14162</v>
          </cell>
          <cell r="K20">
            <v>19686.8</v>
          </cell>
          <cell r="L20">
            <v>14162</v>
          </cell>
          <cell r="M20">
            <v>1088</v>
          </cell>
          <cell r="N20">
            <v>1.5</v>
          </cell>
          <cell r="O20">
            <v>1632</v>
          </cell>
          <cell r="P20">
            <v>12356.2</v>
          </cell>
          <cell r="Q20">
            <v>1632</v>
          </cell>
          <cell r="R20">
            <v>1094</v>
          </cell>
          <cell r="S20">
            <v>1.5</v>
          </cell>
          <cell r="T20">
            <v>1641</v>
          </cell>
          <cell r="U20">
            <v>7005</v>
          </cell>
          <cell r="V20">
            <v>1641</v>
          </cell>
          <cell r="W20">
            <v>272</v>
          </cell>
          <cell r="X20">
            <v>1.5</v>
          </cell>
          <cell r="Y20">
            <v>408</v>
          </cell>
          <cell r="Z20">
            <v>2206.6</v>
          </cell>
          <cell r="AA20">
            <v>408</v>
          </cell>
          <cell r="AB20">
            <v>1920</v>
          </cell>
          <cell r="AC20">
            <v>1.5</v>
          </cell>
          <cell r="AD20">
            <v>2880</v>
          </cell>
          <cell r="AE20">
            <v>23494.1</v>
          </cell>
          <cell r="AF20">
            <v>2880</v>
          </cell>
          <cell r="AG20">
            <v>4377</v>
          </cell>
          <cell r="AH20">
            <v>1.5</v>
          </cell>
          <cell r="AI20">
            <v>6565.5</v>
          </cell>
          <cell r="AJ20">
            <v>8667</v>
          </cell>
          <cell r="AK20">
            <v>6565.5</v>
          </cell>
        </row>
        <row r="21">
          <cell r="A21">
            <v>11</v>
          </cell>
          <cell r="B21" t="str">
            <v>Apr.2</v>
          </cell>
          <cell r="C21">
            <v>1575</v>
          </cell>
          <cell r="D21">
            <v>1.5</v>
          </cell>
          <cell r="E21">
            <v>2362.5</v>
          </cell>
          <cell r="F21">
            <v>6604.8666666666668</v>
          </cell>
          <cell r="G21">
            <v>2362.5</v>
          </cell>
          <cell r="H21">
            <v>11802</v>
          </cell>
          <cell r="I21">
            <v>1.5</v>
          </cell>
          <cell r="J21">
            <v>14162</v>
          </cell>
          <cell r="K21">
            <v>19686.8</v>
          </cell>
          <cell r="L21">
            <v>14162</v>
          </cell>
          <cell r="M21">
            <v>1088</v>
          </cell>
          <cell r="N21">
            <v>1.5</v>
          </cell>
          <cell r="O21">
            <v>1632</v>
          </cell>
          <cell r="P21">
            <v>17522.466666666667</v>
          </cell>
          <cell r="Q21">
            <v>1632</v>
          </cell>
          <cell r="R21">
            <v>1094</v>
          </cell>
          <cell r="S21">
            <v>1.5</v>
          </cell>
          <cell r="T21">
            <v>1641</v>
          </cell>
          <cell r="U21">
            <v>6347.8</v>
          </cell>
          <cell r="V21">
            <v>1641</v>
          </cell>
          <cell r="W21">
            <v>272</v>
          </cell>
          <cell r="X21">
            <v>1.5</v>
          </cell>
          <cell r="Y21">
            <v>408</v>
          </cell>
          <cell r="Z21">
            <v>2102.2666666666669</v>
          </cell>
          <cell r="AA21">
            <v>408</v>
          </cell>
          <cell r="AB21">
            <v>1920</v>
          </cell>
          <cell r="AC21">
            <v>1.5</v>
          </cell>
          <cell r="AD21">
            <v>2880</v>
          </cell>
          <cell r="AE21">
            <v>12935.533333333333</v>
          </cell>
          <cell r="AF21">
            <v>2880</v>
          </cell>
          <cell r="AG21">
            <v>4377</v>
          </cell>
          <cell r="AH21">
            <v>1.5</v>
          </cell>
          <cell r="AI21">
            <v>6565.5</v>
          </cell>
          <cell r="AJ21">
            <v>6992.6</v>
          </cell>
          <cell r="AK21">
            <v>6565.5</v>
          </cell>
        </row>
        <row r="22">
          <cell r="A22">
            <v>12</v>
          </cell>
          <cell r="B22" t="str">
            <v>Apr.3</v>
          </cell>
          <cell r="C22">
            <v>1575</v>
          </cell>
          <cell r="D22">
            <v>1.5</v>
          </cell>
          <cell r="E22">
            <v>2362.5</v>
          </cell>
          <cell r="F22">
            <v>6470</v>
          </cell>
          <cell r="G22">
            <v>2362.5</v>
          </cell>
          <cell r="H22">
            <v>11802</v>
          </cell>
          <cell r="I22">
            <v>1.5</v>
          </cell>
          <cell r="J22">
            <v>14162</v>
          </cell>
          <cell r="K22">
            <v>19686.8</v>
          </cell>
          <cell r="L22">
            <v>14162</v>
          </cell>
          <cell r="M22">
            <v>1088</v>
          </cell>
          <cell r="N22">
            <v>1.5</v>
          </cell>
          <cell r="O22">
            <v>1632</v>
          </cell>
          <cell r="P22">
            <v>18067.2</v>
          </cell>
          <cell r="Q22">
            <v>1632</v>
          </cell>
          <cell r="R22">
            <v>1094</v>
          </cell>
          <cell r="S22">
            <v>1.5</v>
          </cell>
          <cell r="T22">
            <v>1641</v>
          </cell>
          <cell r="U22">
            <v>5727.2</v>
          </cell>
          <cell r="V22">
            <v>1641</v>
          </cell>
          <cell r="W22">
            <v>272</v>
          </cell>
          <cell r="X22">
            <v>1.5</v>
          </cell>
          <cell r="Y22">
            <v>408</v>
          </cell>
          <cell r="Z22">
            <v>1854.8</v>
          </cell>
          <cell r="AA22">
            <v>408</v>
          </cell>
          <cell r="AB22">
            <v>1920</v>
          </cell>
          <cell r="AC22">
            <v>1.5</v>
          </cell>
          <cell r="AD22">
            <v>2880</v>
          </cell>
          <cell r="AE22">
            <v>12130.5</v>
          </cell>
          <cell r="AF22">
            <v>2880</v>
          </cell>
          <cell r="AG22">
            <v>4377</v>
          </cell>
          <cell r="AH22">
            <v>1.5</v>
          </cell>
          <cell r="AI22">
            <v>6565.5</v>
          </cell>
          <cell r="AJ22">
            <v>6636.1</v>
          </cell>
          <cell r="AK22">
            <v>6565.5</v>
          </cell>
        </row>
        <row r="23">
          <cell r="A23">
            <v>13</v>
          </cell>
          <cell r="B23" t="str">
            <v>Mei.1</v>
          </cell>
          <cell r="C23">
            <v>1575</v>
          </cell>
          <cell r="D23">
            <v>1.5</v>
          </cell>
          <cell r="E23">
            <v>2362.5</v>
          </cell>
          <cell r="F23">
            <v>6258.5</v>
          </cell>
          <cell r="G23">
            <v>2362.5</v>
          </cell>
          <cell r="H23">
            <v>11802</v>
          </cell>
          <cell r="I23">
            <v>1.5</v>
          </cell>
          <cell r="J23">
            <v>14162</v>
          </cell>
          <cell r="K23">
            <v>18344.400000000001</v>
          </cell>
          <cell r="L23">
            <v>14162</v>
          </cell>
          <cell r="M23">
            <v>1088</v>
          </cell>
          <cell r="N23">
            <v>1.5</v>
          </cell>
          <cell r="O23">
            <v>1632</v>
          </cell>
          <cell r="P23">
            <v>10536.3</v>
          </cell>
          <cell r="Q23">
            <v>1632</v>
          </cell>
          <cell r="R23">
            <v>1094</v>
          </cell>
          <cell r="S23">
            <v>1.5</v>
          </cell>
          <cell r="T23">
            <v>1641</v>
          </cell>
          <cell r="U23">
            <v>5869.3</v>
          </cell>
          <cell r="V23">
            <v>1641</v>
          </cell>
          <cell r="W23">
            <v>272</v>
          </cell>
          <cell r="X23">
            <v>1.5</v>
          </cell>
          <cell r="Y23">
            <v>408</v>
          </cell>
          <cell r="Z23">
            <v>17720.5</v>
          </cell>
          <cell r="AA23">
            <v>408</v>
          </cell>
          <cell r="AB23">
            <v>1920</v>
          </cell>
          <cell r="AC23">
            <v>1.5</v>
          </cell>
          <cell r="AD23">
            <v>2880</v>
          </cell>
          <cell r="AE23">
            <v>13373</v>
          </cell>
          <cell r="AF23">
            <v>2880</v>
          </cell>
          <cell r="AG23">
            <v>4377</v>
          </cell>
          <cell r="AH23">
            <v>1.5</v>
          </cell>
          <cell r="AI23">
            <v>6565.5</v>
          </cell>
          <cell r="AJ23">
            <v>6571</v>
          </cell>
          <cell r="AK23">
            <v>6565.5</v>
          </cell>
        </row>
        <row r="24">
          <cell r="A24">
            <v>14</v>
          </cell>
          <cell r="B24" t="str">
            <v>Mei.2</v>
          </cell>
          <cell r="C24">
            <v>1575</v>
          </cell>
          <cell r="D24">
            <v>1.5</v>
          </cell>
          <cell r="E24">
            <v>2362.5</v>
          </cell>
          <cell r="F24">
            <v>6039.125</v>
          </cell>
          <cell r="G24">
            <v>2362.5</v>
          </cell>
          <cell r="H24">
            <v>11802</v>
          </cell>
          <cell r="I24">
            <v>1.5</v>
          </cell>
          <cell r="J24">
            <v>14162</v>
          </cell>
          <cell r="K24">
            <v>14901.1875</v>
          </cell>
          <cell r="L24">
            <v>14162</v>
          </cell>
          <cell r="M24">
            <v>1088</v>
          </cell>
          <cell r="N24">
            <v>1.5</v>
          </cell>
          <cell r="O24">
            <v>1632</v>
          </cell>
          <cell r="P24">
            <v>9278.5</v>
          </cell>
          <cell r="Q24">
            <v>1632</v>
          </cell>
          <cell r="R24">
            <v>1094</v>
          </cell>
          <cell r="S24">
            <v>1.5</v>
          </cell>
          <cell r="T24">
            <v>1641</v>
          </cell>
          <cell r="U24">
            <v>4088.3125</v>
          </cell>
          <cell r="V24">
            <v>1641</v>
          </cell>
          <cell r="W24">
            <v>272</v>
          </cell>
          <cell r="X24">
            <v>1.5</v>
          </cell>
          <cell r="Y24">
            <v>408</v>
          </cell>
          <cell r="Z24">
            <v>2747.75</v>
          </cell>
          <cell r="AA24">
            <v>408</v>
          </cell>
          <cell r="AB24">
            <v>1920</v>
          </cell>
          <cell r="AC24">
            <v>1.5</v>
          </cell>
          <cell r="AD24">
            <v>2880</v>
          </cell>
          <cell r="AE24">
            <v>12394.25</v>
          </cell>
          <cell r="AF24">
            <v>2880</v>
          </cell>
          <cell r="AG24">
            <v>4377</v>
          </cell>
          <cell r="AH24">
            <v>1.5</v>
          </cell>
          <cell r="AI24">
            <v>6565.5</v>
          </cell>
          <cell r="AJ24">
            <v>6260.0625</v>
          </cell>
          <cell r="AK24">
            <v>6260.0625</v>
          </cell>
        </row>
        <row r="25">
          <cell r="A25">
            <v>15</v>
          </cell>
          <cell r="B25" t="str">
            <v>Mei.3</v>
          </cell>
          <cell r="C25">
            <v>1575</v>
          </cell>
          <cell r="D25">
            <v>1.5</v>
          </cell>
          <cell r="E25">
            <v>2362.5</v>
          </cell>
          <cell r="F25">
            <v>5929.818181818182</v>
          </cell>
          <cell r="G25">
            <v>2362.5</v>
          </cell>
          <cell r="H25">
            <v>11802</v>
          </cell>
          <cell r="I25">
            <v>1.5</v>
          </cell>
          <cell r="J25">
            <v>14162</v>
          </cell>
          <cell r="K25">
            <v>14505</v>
          </cell>
          <cell r="L25">
            <v>14162</v>
          </cell>
          <cell r="M25">
            <v>1088</v>
          </cell>
          <cell r="N25">
            <v>1.5</v>
          </cell>
          <cell r="O25">
            <v>1632</v>
          </cell>
          <cell r="P25">
            <v>9335.545454545454</v>
          </cell>
          <cell r="Q25">
            <v>1632</v>
          </cell>
          <cell r="R25">
            <v>1094</v>
          </cell>
          <cell r="S25">
            <v>1.5</v>
          </cell>
          <cell r="T25">
            <v>1641</v>
          </cell>
          <cell r="U25">
            <v>4162</v>
          </cell>
          <cell r="V25">
            <v>1641</v>
          </cell>
          <cell r="W25">
            <v>272</v>
          </cell>
          <cell r="X25">
            <v>1.5</v>
          </cell>
          <cell r="Y25">
            <v>408</v>
          </cell>
          <cell r="Z25">
            <v>2419.2727272727275</v>
          </cell>
          <cell r="AA25">
            <v>408</v>
          </cell>
          <cell r="AB25">
            <v>1920</v>
          </cell>
          <cell r="AC25">
            <v>1.5</v>
          </cell>
          <cell r="AD25">
            <v>2880</v>
          </cell>
          <cell r="AE25">
            <v>12265.545454545454</v>
          </cell>
          <cell r="AF25">
            <v>2880</v>
          </cell>
          <cell r="AG25">
            <v>4377</v>
          </cell>
          <cell r="AH25">
            <v>1.5</v>
          </cell>
          <cell r="AI25">
            <v>6565.5</v>
          </cell>
          <cell r="AJ25">
            <v>6205.090909090909</v>
          </cell>
          <cell r="AK25">
            <v>6205.090909090909</v>
          </cell>
        </row>
        <row r="26">
          <cell r="A26">
            <v>16</v>
          </cell>
          <cell r="B26" t="str">
            <v>Jun.1</v>
          </cell>
          <cell r="C26">
            <v>1575</v>
          </cell>
          <cell r="D26">
            <v>1.5</v>
          </cell>
          <cell r="E26">
            <v>2362.5</v>
          </cell>
          <cell r="F26">
            <v>6014.6</v>
          </cell>
          <cell r="G26">
            <v>2362.5</v>
          </cell>
          <cell r="H26">
            <v>11802</v>
          </cell>
          <cell r="I26">
            <v>1.5</v>
          </cell>
          <cell r="J26">
            <v>14162</v>
          </cell>
          <cell r="K26">
            <v>12761.2</v>
          </cell>
          <cell r="L26">
            <v>12761.2</v>
          </cell>
          <cell r="M26">
            <v>1088</v>
          </cell>
          <cell r="N26">
            <v>1.5</v>
          </cell>
          <cell r="O26">
            <v>1632</v>
          </cell>
          <cell r="P26">
            <v>6300.9</v>
          </cell>
          <cell r="Q26">
            <v>1632</v>
          </cell>
          <cell r="R26">
            <v>1094</v>
          </cell>
          <cell r="S26">
            <v>1.5</v>
          </cell>
          <cell r="T26">
            <v>1641</v>
          </cell>
          <cell r="U26">
            <v>2957.5</v>
          </cell>
          <cell r="V26">
            <v>1641</v>
          </cell>
          <cell r="W26">
            <v>272</v>
          </cell>
          <cell r="X26">
            <v>1.5</v>
          </cell>
          <cell r="Y26">
            <v>408</v>
          </cell>
          <cell r="Z26">
            <v>577</v>
          </cell>
          <cell r="AA26">
            <v>408</v>
          </cell>
          <cell r="AB26">
            <v>1920</v>
          </cell>
          <cell r="AC26">
            <v>1.5</v>
          </cell>
          <cell r="AD26">
            <v>2880</v>
          </cell>
          <cell r="AE26">
            <v>6081.4</v>
          </cell>
          <cell r="AF26">
            <v>2880</v>
          </cell>
          <cell r="AG26">
            <v>4377</v>
          </cell>
          <cell r="AH26">
            <v>1.5</v>
          </cell>
          <cell r="AI26">
            <v>6565.5</v>
          </cell>
          <cell r="AJ26">
            <v>5448</v>
          </cell>
          <cell r="AK26">
            <v>5448</v>
          </cell>
        </row>
        <row r="27">
          <cell r="A27">
            <v>17</v>
          </cell>
          <cell r="B27" t="str">
            <v>Jun.2</v>
          </cell>
          <cell r="C27">
            <v>1575</v>
          </cell>
          <cell r="D27">
            <v>1.5</v>
          </cell>
          <cell r="E27">
            <v>2362.5</v>
          </cell>
          <cell r="F27">
            <v>5045.7333333333336</v>
          </cell>
          <cell r="G27">
            <v>2362.5</v>
          </cell>
          <cell r="H27">
            <v>11802</v>
          </cell>
          <cell r="I27">
            <v>1.5</v>
          </cell>
          <cell r="J27">
            <v>14162</v>
          </cell>
          <cell r="K27">
            <v>9548.2666666666664</v>
          </cell>
          <cell r="L27">
            <v>9548.2666666666664</v>
          </cell>
          <cell r="M27">
            <v>1088</v>
          </cell>
          <cell r="N27">
            <v>1.5</v>
          </cell>
          <cell r="O27">
            <v>1632</v>
          </cell>
          <cell r="P27">
            <v>5657.9333333333334</v>
          </cell>
          <cell r="Q27">
            <v>1632</v>
          </cell>
          <cell r="R27">
            <v>1094</v>
          </cell>
          <cell r="S27">
            <v>1.5</v>
          </cell>
          <cell r="T27">
            <v>1641</v>
          </cell>
          <cell r="U27">
            <v>2117.4</v>
          </cell>
          <cell r="V27">
            <v>1641</v>
          </cell>
          <cell r="W27">
            <v>272</v>
          </cell>
          <cell r="X27">
            <v>1.5</v>
          </cell>
          <cell r="Y27">
            <v>408</v>
          </cell>
          <cell r="Z27">
            <v>509</v>
          </cell>
          <cell r="AA27">
            <v>408</v>
          </cell>
          <cell r="AB27">
            <v>1920</v>
          </cell>
          <cell r="AC27">
            <v>1.5</v>
          </cell>
          <cell r="AD27">
            <v>2880</v>
          </cell>
          <cell r="AE27">
            <v>9466.5333333333328</v>
          </cell>
          <cell r="AF27">
            <v>2880</v>
          </cell>
          <cell r="AG27">
            <v>4377</v>
          </cell>
          <cell r="AH27">
            <v>1.5</v>
          </cell>
          <cell r="AI27">
            <v>6565.5</v>
          </cell>
          <cell r="AJ27">
            <v>5333.6</v>
          </cell>
          <cell r="AK27">
            <v>5333.6</v>
          </cell>
        </row>
        <row r="28">
          <cell r="A28">
            <v>18</v>
          </cell>
          <cell r="B28" t="str">
            <v>Jun.3</v>
          </cell>
          <cell r="C28">
            <v>1575</v>
          </cell>
          <cell r="D28">
            <v>1.5</v>
          </cell>
          <cell r="E28">
            <v>2362.5</v>
          </cell>
          <cell r="F28">
            <v>5109.3</v>
          </cell>
          <cell r="G28">
            <v>2362.5</v>
          </cell>
          <cell r="H28">
            <v>11802</v>
          </cell>
          <cell r="I28">
            <v>1.5</v>
          </cell>
          <cell r="J28">
            <v>14162</v>
          </cell>
          <cell r="K28">
            <v>7976.2</v>
          </cell>
          <cell r="L28">
            <v>7976.2</v>
          </cell>
          <cell r="M28">
            <v>1088</v>
          </cell>
          <cell r="N28">
            <v>1.5</v>
          </cell>
          <cell r="O28">
            <v>1632</v>
          </cell>
          <cell r="P28">
            <v>5430.2</v>
          </cell>
          <cell r="Q28">
            <v>1632</v>
          </cell>
          <cell r="R28">
            <v>1094</v>
          </cell>
          <cell r="S28">
            <v>1.5</v>
          </cell>
          <cell r="T28">
            <v>1641</v>
          </cell>
          <cell r="U28">
            <v>2061.1999999999998</v>
          </cell>
          <cell r="V28">
            <v>1641</v>
          </cell>
          <cell r="W28">
            <v>272</v>
          </cell>
          <cell r="X28">
            <v>1.5</v>
          </cell>
          <cell r="Y28">
            <v>408</v>
          </cell>
          <cell r="Z28">
            <v>509</v>
          </cell>
          <cell r="AA28">
            <v>408</v>
          </cell>
          <cell r="AB28">
            <v>1920</v>
          </cell>
          <cell r="AC28">
            <v>1.5</v>
          </cell>
          <cell r="AD28">
            <v>2880</v>
          </cell>
          <cell r="AE28">
            <v>11190.8</v>
          </cell>
          <cell r="AF28">
            <v>2880</v>
          </cell>
          <cell r="AG28">
            <v>4377</v>
          </cell>
          <cell r="AH28">
            <v>1.5</v>
          </cell>
          <cell r="AI28">
            <v>6565.5</v>
          </cell>
          <cell r="AJ28">
            <v>5305</v>
          </cell>
          <cell r="AK28">
            <v>5305</v>
          </cell>
        </row>
        <row r="29">
          <cell r="A29">
            <v>19</v>
          </cell>
          <cell r="B29" t="str">
            <v>Jul.1</v>
          </cell>
          <cell r="C29">
            <v>1575</v>
          </cell>
          <cell r="D29">
            <v>1.5</v>
          </cell>
          <cell r="E29">
            <v>2362.5</v>
          </cell>
          <cell r="F29">
            <v>5185</v>
          </cell>
          <cell r="G29">
            <v>2362.5</v>
          </cell>
          <cell r="H29">
            <v>11802</v>
          </cell>
          <cell r="I29">
            <v>1.5</v>
          </cell>
          <cell r="J29">
            <v>14162</v>
          </cell>
          <cell r="K29">
            <v>12348</v>
          </cell>
          <cell r="L29">
            <v>12348</v>
          </cell>
          <cell r="M29">
            <v>1088</v>
          </cell>
          <cell r="N29">
            <v>1.5</v>
          </cell>
          <cell r="O29">
            <v>1632</v>
          </cell>
          <cell r="P29">
            <v>6300.9</v>
          </cell>
          <cell r="Q29">
            <v>1632</v>
          </cell>
          <cell r="R29">
            <v>1094</v>
          </cell>
          <cell r="S29">
            <v>1.5</v>
          </cell>
          <cell r="T29">
            <v>1641</v>
          </cell>
          <cell r="U29">
            <v>1178</v>
          </cell>
          <cell r="V29">
            <v>1178</v>
          </cell>
          <cell r="W29">
            <v>272</v>
          </cell>
          <cell r="X29">
            <v>1.5</v>
          </cell>
          <cell r="Y29">
            <v>408</v>
          </cell>
          <cell r="Z29">
            <v>283</v>
          </cell>
          <cell r="AA29">
            <v>283</v>
          </cell>
          <cell r="AB29">
            <v>1920</v>
          </cell>
          <cell r="AC29">
            <v>1.5</v>
          </cell>
          <cell r="AD29">
            <v>2880</v>
          </cell>
          <cell r="AE29">
            <v>5748.2</v>
          </cell>
          <cell r="AF29">
            <v>2880</v>
          </cell>
          <cell r="AG29">
            <v>4377</v>
          </cell>
          <cell r="AH29">
            <v>1.5</v>
          </cell>
          <cell r="AI29">
            <v>6565.5</v>
          </cell>
          <cell r="AJ29">
            <v>5259</v>
          </cell>
          <cell r="AK29">
            <v>5259</v>
          </cell>
        </row>
        <row r="30">
          <cell r="A30">
            <v>20</v>
          </cell>
          <cell r="B30" t="str">
            <v>Jul.2</v>
          </cell>
          <cell r="C30">
            <v>1575</v>
          </cell>
          <cell r="D30">
            <v>1.5</v>
          </cell>
          <cell r="E30">
            <v>2362.5</v>
          </cell>
          <cell r="F30">
            <v>5175.1875</v>
          </cell>
          <cell r="G30">
            <v>2362.5</v>
          </cell>
          <cell r="H30">
            <v>11802</v>
          </cell>
          <cell r="I30">
            <v>1.5</v>
          </cell>
          <cell r="J30">
            <v>14162</v>
          </cell>
          <cell r="K30">
            <v>11998.6875</v>
          </cell>
          <cell r="L30">
            <v>11998.6875</v>
          </cell>
          <cell r="M30">
            <v>1088</v>
          </cell>
          <cell r="N30">
            <v>1.5</v>
          </cell>
          <cell r="O30">
            <v>1632</v>
          </cell>
          <cell r="P30">
            <v>5622</v>
          </cell>
          <cell r="Q30">
            <v>1632</v>
          </cell>
          <cell r="R30">
            <v>1094</v>
          </cell>
          <cell r="S30">
            <v>1.5</v>
          </cell>
          <cell r="T30">
            <v>1641</v>
          </cell>
          <cell r="U30">
            <v>718.25</v>
          </cell>
          <cell r="V30">
            <v>718.25</v>
          </cell>
          <cell r="W30">
            <v>272</v>
          </cell>
          <cell r="X30">
            <v>1.5</v>
          </cell>
          <cell r="Y30">
            <v>408</v>
          </cell>
          <cell r="Z30">
            <v>163.6875</v>
          </cell>
          <cell r="AA30">
            <v>163.6875</v>
          </cell>
          <cell r="AB30">
            <v>1920</v>
          </cell>
          <cell r="AC30">
            <v>1.5</v>
          </cell>
          <cell r="AD30">
            <v>2880</v>
          </cell>
          <cell r="AE30">
            <v>4926.9375</v>
          </cell>
          <cell r="AF30">
            <v>2880</v>
          </cell>
          <cell r="AG30">
            <v>4377</v>
          </cell>
          <cell r="AH30">
            <v>1.5</v>
          </cell>
          <cell r="AI30">
            <v>6565.5</v>
          </cell>
          <cell r="AJ30">
            <v>4350</v>
          </cell>
          <cell r="AK30">
            <v>4350</v>
          </cell>
        </row>
        <row r="31">
          <cell r="A31">
            <v>21</v>
          </cell>
          <cell r="B31" t="str">
            <v>Jul.3</v>
          </cell>
          <cell r="C31">
            <v>1575</v>
          </cell>
          <cell r="D31">
            <v>1.5</v>
          </cell>
          <cell r="E31">
            <v>2362.5</v>
          </cell>
          <cell r="F31">
            <v>5132</v>
          </cell>
          <cell r="G31">
            <v>2362.5</v>
          </cell>
          <cell r="H31">
            <v>11802</v>
          </cell>
          <cell r="I31">
            <v>1.5</v>
          </cell>
          <cell r="J31">
            <v>14162</v>
          </cell>
          <cell r="K31">
            <v>12829.09090909091</v>
          </cell>
          <cell r="L31">
            <v>12829.09090909091</v>
          </cell>
          <cell r="M31">
            <v>1088</v>
          </cell>
          <cell r="N31">
            <v>1.5</v>
          </cell>
          <cell r="O31">
            <v>1632</v>
          </cell>
          <cell r="P31">
            <v>5398.636363636364</v>
          </cell>
          <cell r="Q31">
            <v>1632</v>
          </cell>
          <cell r="R31">
            <v>1094</v>
          </cell>
          <cell r="S31">
            <v>1.5</v>
          </cell>
          <cell r="T31">
            <v>1641</v>
          </cell>
          <cell r="U31">
            <v>582</v>
          </cell>
          <cell r="V31">
            <v>582</v>
          </cell>
          <cell r="W31">
            <v>272</v>
          </cell>
          <cell r="X31">
            <v>1.5</v>
          </cell>
          <cell r="Y31">
            <v>408</v>
          </cell>
          <cell r="Z31">
            <v>134</v>
          </cell>
          <cell r="AA31">
            <v>134</v>
          </cell>
          <cell r="AB31">
            <v>1920</v>
          </cell>
          <cell r="AC31">
            <v>1.5</v>
          </cell>
          <cell r="AD31">
            <v>2880</v>
          </cell>
          <cell r="AE31">
            <v>3620.6363636363635</v>
          </cell>
          <cell r="AF31">
            <v>2880</v>
          </cell>
          <cell r="AG31">
            <v>4377</v>
          </cell>
          <cell r="AH31">
            <v>1.5</v>
          </cell>
          <cell r="AI31">
            <v>6565.5</v>
          </cell>
          <cell r="AJ31">
            <v>4350</v>
          </cell>
          <cell r="AK31">
            <v>4350</v>
          </cell>
        </row>
        <row r="32">
          <cell r="A32">
            <v>22</v>
          </cell>
          <cell r="B32" t="str">
            <v>Ags.1</v>
          </cell>
          <cell r="C32">
            <v>1575</v>
          </cell>
          <cell r="D32">
            <v>1.5</v>
          </cell>
          <cell r="E32">
            <v>2362.5</v>
          </cell>
          <cell r="F32">
            <v>5353.1</v>
          </cell>
          <cell r="G32">
            <v>2362.5</v>
          </cell>
          <cell r="H32">
            <v>11802</v>
          </cell>
          <cell r="I32">
            <v>1.5</v>
          </cell>
          <cell r="J32">
            <v>14162</v>
          </cell>
          <cell r="K32">
            <v>2587.1999999999998</v>
          </cell>
          <cell r="L32">
            <v>2587.1999999999998</v>
          </cell>
          <cell r="M32">
            <v>1088</v>
          </cell>
          <cell r="N32">
            <v>1.5</v>
          </cell>
          <cell r="O32">
            <v>1632</v>
          </cell>
          <cell r="P32">
            <v>4684</v>
          </cell>
          <cell r="Q32">
            <v>1632</v>
          </cell>
          <cell r="R32">
            <v>1094</v>
          </cell>
          <cell r="S32">
            <v>1.5</v>
          </cell>
          <cell r="T32">
            <v>1641</v>
          </cell>
          <cell r="U32">
            <v>456</v>
          </cell>
          <cell r="V32">
            <v>456</v>
          </cell>
          <cell r="W32">
            <v>272</v>
          </cell>
          <cell r="X32">
            <v>1.5</v>
          </cell>
          <cell r="Y32">
            <v>408</v>
          </cell>
          <cell r="Z32">
            <v>94</v>
          </cell>
          <cell r="AA32">
            <v>94</v>
          </cell>
          <cell r="AB32">
            <v>1920</v>
          </cell>
          <cell r="AC32">
            <v>1.5</v>
          </cell>
          <cell r="AD32">
            <v>2880</v>
          </cell>
          <cell r="AE32">
            <v>8978.7000000000007</v>
          </cell>
          <cell r="AF32">
            <v>2880</v>
          </cell>
          <cell r="AG32">
            <v>4377</v>
          </cell>
          <cell r="AH32">
            <v>1.5</v>
          </cell>
          <cell r="AI32">
            <v>6565.5</v>
          </cell>
          <cell r="AJ32">
            <v>4350</v>
          </cell>
          <cell r="AK32">
            <v>4350</v>
          </cell>
        </row>
        <row r="33">
          <cell r="A33">
            <v>23</v>
          </cell>
          <cell r="B33" t="str">
            <v>Ags.2</v>
          </cell>
          <cell r="C33">
            <v>1575</v>
          </cell>
          <cell r="D33">
            <v>1.5</v>
          </cell>
          <cell r="E33">
            <v>2362.5</v>
          </cell>
          <cell r="F33">
            <v>5841.6875</v>
          </cell>
          <cell r="G33">
            <v>2362.5</v>
          </cell>
          <cell r="H33">
            <v>11802</v>
          </cell>
          <cell r="I33">
            <v>1.5</v>
          </cell>
          <cell r="J33">
            <v>14162</v>
          </cell>
          <cell r="K33">
            <v>12897.75</v>
          </cell>
          <cell r="L33">
            <v>12897.75</v>
          </cell>
          <cell r="M33">
            <v>1088</v>
          </cell>
          <cell r="N33">
            <v>1.5</v>
          </cell>
          <cell r="O33">
            <v>1632</v>
          </cell>
          <cell r="P33">
            <v>4199.8125</v>
          </cell>
          <cell r="Q33">
            <v>1632</v>
          </cell>
          <cell r="R33">
            <v>1094</v>
          </cell>
          <cell r="S33">
            <v>1.5</v>
          </cell>
          <cell r="T33">
            <v>1641</v>
          </cell>
          <cell r="U33">
            <v>441.625</v>
          </cell>
          <cell r="V33">
            <v>441.625</v>
          </cell>
          <cell r="W33">
            <v>272</v>
          </cell>
          <cell r="X33">
            <v>1.5</v>
          </cell>
          <cell r="Y33">
            <v>408</v>
          </cell>
          <cell r="Z33">
            <v>107</v>
          </cell>
          <cell r="AA33">
            <v>107</v>
          </cell>
          <cell r="AB33">
            <v>1920</v>
          </cell>
          <cell r="AC33">
            <v>1.5</v>
          </cell>
          <cell r="AD33">
            <v>2880</v>
          </cell>
          <cell r="AE33">
            <v>1855.0625</v>
          </cell>
          <cell r="AF33">
            <v>1855.0625</v>
          </cell>
          <cell r="AG33">
            <v>4377</v>
          </cell>
          <cell r="AH33">
            <v>1.5</v>
          </cell>
          <cell r="AI33">
            <v>6565.5</v>
          </cell>
          <cell r="AJ33">
            <v>4198.75</v>
          </cell>
          <cell r="AK33">
            <v>4198.75</v>
          </cell>
        </row>
        <row r="34">
          <cell r="A34">
            <v>24</v>
          </cell>
          <cell r="B34" t="str">
            <v>Ags.3</v>
          </cell>
          <cell r="C34">
            <v>1575</v>
          </cell>
          <cell r="D34">
            <v>1.5</v>
          </cell>
          <cell r="E34">
            <v>2362.5</v>
          </cell>
          <cell r="F34">
            <v>5937.727272727273</v>
          </cell>
          <cell r="G34">
            <v>2362.5</v>
          </cell>
          <cell r="H34">
            <v>11802</v>
          </cell>
          <cell r="I34">
            <v>1.5</v>
          </cell>
          <cell r="J34">
            <v>14162</v>
          </cell>
          <cell r="K34">
            <v>12802.363636363636</v>
          </cell>
          <cell r="L34">
            <v>12802.363636363636</v>
          </cell>
          <cell r="M34">
            <v>1088</v>
          </cell>
          <cell r="N34">
            <v>1.5</v>
          </cell>
          <cell r="O34">
            <v>1632</v>
          </cell>
          <cell r="P34">
            <v>4144.272727272727</v>
          </cell>
          <cell r="Q34">
            <v>1632</v>
          </cell>
          <cell r="R34">
            <v>1094</v>
          </cell>
          <cell r="S34">
            <v>1.5</v>
          </cell>
          <cell r="T34">
            <v>1641</v>
          </cell>
          <cell r="U34">
            <v>416</v>
          </cell>
          <cell r="V34">
            <v>416</v>
          </cell>
          <cell r="W34">
            <v>272</v>
          </cell>
          <cell r="X34">
            <v>1.5</v>
          </cell>
          <cell r="Y34">
            <v>408</v>
          </cell>
          <cell r="Z34">
            <v>107</v>
          </cell>
          <cell r="AA34">
            <v>107</v>
          </cell>
          <cell r="AB34">
            <v>1920</v>
          </cell>
          <cell r="AC34">
            <v>1.5</v>
          </cell>
          <cell r="AD34">
            <v>2880</v>
          </cell>
          <cell r="AE34">
            <v>1814.2727272727273</v>
          </cell>
          <cell r="AF34">
            <v>1814.2727272727273</v>
          </cell>
          <cell r="AG34">
            <v>4377</v>
          </cell>
          <cell r="AH34">
            <v>1.5</v>
          </cell>
          <cell r="AI34">
            <v>6565.5</v>
          </cell>
          <cell r="AJ34">
            <v>4130</v>
          </cell>
          <cell r="AK34">
            <v>4130</v>
          </cell>
        </row>
        <row r="35">
          <cell r="A35">
            <v>25</v>
          </cell>
          <cell r="B35" t="str">
            <v>Sep.1</v>
          </cell>
          <cell r="C35">
            <v>1575</v>
          </cell>
          <cell r="D35">
            <v>1.5</v>
          </cell>
          <cell r="E35">
            <v>2362.5</v>
          </cell>
          <cell r="F35">
            <v>5045.3</v>
          </cell>
          <cell r="G35">
            <v>2362.5</v>
          </cell>
          <cell r="H35">
            <v>11802</v>
          </cell>
          <cell r="I35">
            <v>1.5</v>
          </cell>
          <cell r="J35">
            <v>14162</v>
          </cell>
          <cell r="K35">
            <v>13210.5</v>
          </cell>
          <cell r="L35">
            <v>13210.5</v>
          </cell>
          <cell r="M35">
            <v>1088</v>
          </cell>
          <cell r="N35">
            <v>1.5</v>
          </cell>
          <cell r="O35">
            <v>1632</v>
          </cell>
          <cell r="P35">
            <v>4221.6000000000004</v>
          </cell>
          <cell r="Q35">
            <v>1632</v>
          </cell>
          <cell r="R35">
            <v>1094</v>
          </cell>
          <cell r="S35">
            <v>1.5</v>
          </cell>
          <cell r="T35">
            <v>1641</v>
          </cell>
          <cell r="U35">
            <v>416</v>
          </cell>
          <cell r="V35">
            <v>416</v>
          </cell>
          <cell r="W35">
            <v>272</v>
          </cell>
          <cell r="X35">
            <v>1.5</v>
          </cell>
          <cell r="Y35">
            <v>408</v>
          </cell>
          <cell r="Z35">
            <v>107</v>
          </cell>
          <cell r="AA35">
            <v>107</v>
          </cell>
          <cell r="AB35">
            <v>1920</v>
          </cell>
          <cell r="AC35">
            <v>1.5</v>
          </cell>
          <cell r="AD35">
            <v>2880</v>
          </cell>
          <cell r="AE35">
            <v>1654.2</v>
          </cell>
          <cell r="AF35">
            <v>1654.2</v>
          </cell>
          <cell r="AG35">
            <v>4377</v>
          </cell>
          <cell r="AH35">
            <v>1.5</v>
          </cell>
          <cell r="AI35">
            <v>6565.5</v>
          </cell>
          <cell r="AJ35">
            <v>4130</v>
          </cell>
          <cell r="AK35">
            <v>4130</v>
          </cell>
        </row>
        <row r="36">
          <cell r="A36">
            <v>26</v>
          </cell>
          <cell r="B36" t="str">
            <v>Sep.2</v>
          </cell>
          <cell r="C36">
            <v>1575</v>
          </cell>
          <cell r="D36">
            <v>1.5</v>
          </cell>
          <cell r="E36">
            <v>2362.5</v>
          </cell>
          <cell r="F36">
            <v>5242.5333333333338</v>
          </cell>
          <cell r="G36">
            <v>2362.5</v>
          </cell>
          <cell r="H36">
            <v>11802</v>
          </cell>
          <cell r="I36">
            <v>1.5</v>
          </cell>
          <cell r="J36">
            <v>14162</v>
          </cell>
          <cell r="K36">
            <v>12238.8</v>
          </cell>
          <cell r="L36">
            <v>12238.8</v>
          </cell>
          <cell r="M36">
            <v>1088</v>
          </cell>
          <cell r="N36">
            <v>1.5</v>
          </cell>
          <cell r="O36">
            <v>1632</v>
          </cell>
          <cell r="P36">
            <v>3040.8666666666668</v>
          </cell>
          <cell r="Q36">
            <v>1632</v>
          </cell>
          <cell r="R36">
            <v>1094</v>
          </cell>
          <cell r="S36">
            <v>1.5</v>
          </cell>
          <cell r="T36">
            <v>1641</v>
          </cell>
          <cell r="U36">
            <v>416</v>
          </cell>
          <cell r="V36">
            <v>416</v>
          </cell>
          <cell r="W36">
            <v>272</v>
          </cell>
          <cell r="X36">
            <v>1.5</v>
          </cell>
          <cell r="Y36">
            <v>408</v>
          </cell>
          <cell r="Z36">
            <v>94</v>
          </cell>
          <cell r="AA36">
            <v>94</v>
          </cell>
          <cell r="AB36">
            <v>1920</v>
          </cell>
          <cell r="AC36">
            <v>1.5</v>
          </cell>
          <cell r="AD36">
            <v>2880</v>
          </cell>
          <cell r="AE36">
            <v>1715.4666666666667</v>
          </cell>
          <cell r="AF36">
            <v>1715.4666666666667</v>
          </cell>
          <cell r="AG36">
            <v>4377</v>
          </cell>
          <cell r="AH36">
            <v>1.5</v>
          </cell>
          <cell r="AI36">
            <v>6565.5</v>
          </cell>
          <cell r="AJ36">
            <v>4130</v>
          </cell>
          <cell r="AK36">
            <v>4130</v>
          </cell>
        </row>
        <row r="37">
          <cell r="A37">
            <v>27</v>
          </cell>
          <cell r="B37" t="str">
            <v>Sep.3</v>
          </cell>
          <cell r="C37">
            <v>1575</v>
          </cell>
          <cell r="D37">
            <v>1.5</v>
          </cell>
          <cell r="E37">
            <v>2362.5</v>
          </cell>
          <cell r="F37">
            <v>5243.1</v>
          </cell>
          <cell r="G37">
            <v>2362.5</v>
          </cell>
          <cell r="H37">
            <v>11802</v>
          </cell>
          <cell r="I37">
            <v>1.5</v>
          </cell>
          <cell r="J37">
            <v>14162</v>
          </cell>
          <cell r="K37">
            <v>12184.2</v>
          </cell>
          <cell r="L37">
            <v>12184.2</v>
          </cell>
          <cell r="M37">
            <v>1088</v>
          </cell>
          <cell r="N37">
            <v>1.5</v>
          </cell>
          <cell r="O37">
            <v>1632</v>
          </cell>
          <cell r="P37">
            <v>2902.7</v>
          </cell>
          <cell r="Q37">
            <v>1632</v>
          </cell>
          <cell r="R37">
            <v>1094</v>
          </cell>
          <cell r="S37">
            <v>1.5</v>
          </cell>
          <cell r="T37">
            <v>1641</v>
          </cell>
          <cell r="U37">
            <v>416</v>
          </cell>
          <cell r="V37">
            <v>416</v>
          </cell>
          <cell r="W37">
            <v>272</v>
          </cell>
          <cell r="X37">
            <v>1.5</v>
          </cell>
          <cell r="Y37">
            <v>408</v>
          </cell>
          <cell r="Z37">
            <v>94</v>
          </cell>
          <cell r="AA37">
            <v>94</v>
          </cell>
          <cell r="AB37">
            <v>1920</v>
          </cell>
          <cell r="AC37">
            <v>1.5</v>
          </cell>
          <cell r="AD37">
            <v>2880</v>
          </cell>
          <cell r="AE37">
            <v>1838</v>
          </cell>
          <cell r="AF37">
            <v>1838</v>
          </cell>
          <cell r="AG37">
            <v>4377</v>
          </cell>
          <cell r="AH37">
            <v>1.5</v>
          </cell>
          <cell r="AI37">
            <v>6565.5</v>
          </cell>
          <cell r="AJ37">
            <v>4130</v>
          </cell>
          <cell r="AK37">
            <v>4130</v>
          </cell>
        </row>
        <row r="38">
          <cell r="A38">
            <v>28</v>
          </cell>
          <cell r="B38" t="str">
            <v>Okt.1</v>
          </cell>
          <cell r="C38">
            <v>1575</v>
          </cell>
          <cell r="D38">
            <v>1.5</v>
          </cell>
          <cell r="E38">
            <v>2362.5</v>
          </cell>
          <cell r="F38">
            <v>4614</v>
          </cell>
          <cell r="G38">
            <v>2362.5</v>
          </cell>
          <cell r="H38">
            <v>11802</v>
          </cell>
          <cell r="I38">
            <v>1.5</v>
          </cell>
          <cell r="J38">
            <v>14162</v>
          </cell>
          <cell r="K38">
            <v>13504.8</v>
          </cell>
          <cell r="L38">
            <v>13504.8</v>
          </cell>
          <cell r="M38">
            <v>1088</v>
          </cell>
          <cell r="N38">
            <v>1.5</v>
          </cell>
          <cell r="O38">
            <v>1632</v>
          </cell>
          <cell r="P38">
            <v>6640.9</v>
          </cell>
          <cell r="Q38">
            <v>1632</v>
          </cell>
          <cell r="R38">
            <v>1094</v>
          </cell>
          <cell r="S38">
            <v>1.5</v>
          </cell>
          <cell r="T38">
            <v>1641</v>
          </cell>
          <cell r="U38">
            <v>3920.9</v>
          </cell>
          <cell r="V38">
            <v>1641</v>
          </cell>
          <cell r="W38">
            <v>272</v>
          </cell>
          <cell r="X38">
            <v>1.5</v>
          </cell>
          <cell r="Y38">
            <v>408</v>
          </cell>
          <cell r="Z38">
            <v>94</v>
          </cell>
          <cell r="AA38">
            <v>94</v>
          </cell>
          <cell r="AB38">
            <v>1920</v>
          </cell>
          <cell r="AC38">
            <v>1.5</v>
          </cell>
          <cell r="AD38">
            <v>2880</v>
          </cell>
          <cell r="AE38">
            <v>2935.6</v>
          </cell>
          <cell r="AF38">
            <v>2880</v>
          </cell>
          <cell r="AG38">
            <v>4377</v>
          </cell>
          <cell r="AH38">
            <v>1.5</v>
          </cell>
          <cell r="AI38">
            <v>6565.5</v>
          </cell>
          <cell r="AJ38">
            <v>5226.3999999999996</v>
          </cell>
          <cell r="AK38">
            <v>5226.3999999999996</v>
          </cell>
        </row>
        <row r="39">
          <cell r="A39">
            <v>29</v>
          </cell>
          <cell r="B39" t="str">
            <v>Okt.2</v>
          </cell>
          <cell r="C39">
            <v>1575</v>
          </cell>
          <cell r="D39">
            <v>1.5</v>
          </cell>
          <cell r="E39">
            <v>2362.5</v>
          </cell>
          <cell r="F39">
            <v>4111.4375</v>
          </cell>
          <cell r="G39">
            <v>2362.5</v>
          </cell>
          <cell r="H39">
            <v>11802</v>
          </cell>
          <cell r="I39">
            <v>1.5</v>
          </cell>
          <cell r="J39">
            <v>14162</v>
          </cell>
          <cell r="K39">
            <v>13886.25</v>
          </cell>
          <cell r="L39">
            <v>13886.25</v>
          </cell>
          <cell r="M39">
            <v>1088</v>
          </cell>
          <cell r="N39">
            <v>1.5</v>
          </cell>
          <cell r="O39">
            <v>1632</v>
          </cell>
          <cell r="P39">
            <v>3956</v>
          </cell>
          <cell r="Q39">
            <v>1632</v>
          </cell>
          <cell r="R39">
            <v>1094</v>
          </cell>
          <cell r="S39">
            <v>1.5</v>
          </cell>
          <cell r="T39">
            <v>1641</v>
          </cell>
          <cell r="U39">
            <v>330.75</v>
          </cell>
          <cell r="V39">
            <v>330.75</v>
          </cell>
          <cell r="W39">
            <v>272</v>
          </cell>
          <cell r="X39">
            <v>1.5</v>
          </cell>
          <cell r="Y39">
            <v>408</v>
          </cell>
          <cell r="Z39">
            <v>69</v>
          </cell>
          <cell r="AA39">
            <v>69</v>
          </cell>
          <cell r="AB39">
            <v>1920</v>
          </cell>
          <cell r="AC39">
            <v>1.5</v>
          </cell>
          <cell r="AD39">
            <v>2880</v>
          </cell>
          <cell r="AE39">
            <v>2201.375</v>
          </cell>
          <cell r="AF39">
            <v>2201.375</v>
          </cell>
          <cell r="AG39">
            <v>4377</v>
          </cell>
          <cell r="AH39">
            <v>1.5</v>
          </cell>
          <cell r="AI39">
            <v>6565.5</v>
          </cell>
          <cell r="AJ39">
            <v>7085.3125</v>
          </cell>
          <cell r="AK39">
            <v>6565.5</v>
          </cell>
        </row>
        <row r="40">
          <cell r="A40">
            <v>30</v>
          </cell>
          <cell r="B40" t="str">
            <v>Okt.3</v>
          </cell>
          <cell r="C40">
            <v>1575</v>
          </cell>
          <cell r="D40">
            <v>1.5</v>
          </cell>
          <cell r="E40">
            <v>2362.5</v>
          </cell>
          <cell r="F40">
            <v>3883</v>
          </cell>
          <cell r="G40">
            <v>2362.5</v>
          </cell>
          <cell r="H40">
            <v>11802</v>
          </cell>
          <cell r="I40">
            <v>1.5</v>
          </cell>
          <cell r="J40">
            <v>14162</v>
          </cell>
          <cell r="K40">
            <v>13530.363636363636</v>
          </cell>
          <cell r="L40">
            <v>13530.363636363636</v>
          </cell>
          <cell r="M40">
            <v>1088</v>
          </cell>
          <cell r="N40">
            <v>1.5</v>
          </cell>
          <cell r="O40">
            <v>1632</v>
          </cell>
          <cell r="P40">
            <v>4186.272727272727</v>
          </cell>
          <cell r="Q40">
            <v>1632</v>
          </cell>
          <cell r="R40">
            <v>1094</v>
          </cell>
          <cell r="S40">
            <v>1.5</v>
          </cell>
          <cell r="T40">
            <v>1641</v>
          </cell>
          <cell r="U40">
            <v>342</v>
          </cell>
          <cell r="V40">
            <v>342</v>
          </cell>
          <cell r="W40">
            <v>272</v>
          </cell>
          <cell r="X40">
            <v>1.5</v>
          </cell>
          <cell r="Y40">
            <v>408</v>
          </cell>
          <cell r="Z40">
            <v>69</v>
          </cell>
          <cell r="AA40">
            <v>69</v>
          </cell>
          <cell r="AB40">
            <v>1920</v>
          </cell>
          <cell r="AC40">
            <v>1.5</v>
          </cell>
          <cell r="AD40">
            <v>2880</v>
          </cell>
          <cell r="AE40">
            <v>2388.3636363636365</v>
          </cell>
          <cell r="AF40">
            <v>2388.3636363636365</v>
          </cell>
          <cell r="AG40">
            <v>4377</v>
          </cell>
          <cell r="AH40">
            <v>1.5</v>
          </cell>
          <cell r="AI40">
            <v>6565.5</v>
          </cell>
          <cell r="AJ40">
            <v>7538.454545454545</v>
          </cell>
          <cell r="AK40">
            <v>6565.5</v>
          </cell>
        </row>
        <row r="41">
          <cell r="A41">
            <v>31</v>
          </cell>
          <cell r="B41" t="str">
            <v>Nop.1</v>
          </cell>
          <cell r="C41">
            <v>1575</v>
          </cell>
          <cell r="D41">
            <v>1.5</v>
          </cell>
          <cell r="E41">
            <v>2362.5</v>
          </cell>
          <cell r="F41">
            <v>6228.5</v>
          </cell>
          <cell r="G41">
            <v>2362.5</v>
          </cell>
          <cell r="H41">
            <v>11802</v>
          </cell>
          <cell r="I41">
            <v>1.5</v>
          </cell>
          <cell r="J41">
            <v>14162</v>
          </cell>
          <cell r="K41">
            <v>16605</v>
          </cell>
          <cell r="L41">
            <v>14162</v>
          </cell>
          <cell r="M41">
            <v>1088</v>
          </cell>
          <cell r="N41">
            <v>1.5</v>
          </cell>
          <cell r="O41">
            <v>1632</v>
          </cell>
          <cell r="P41">
            <v>6716</v>
          </cell>
          <cell r="Q41">
            <v>1632</v>
          </cell>
          <cell r="R41">
            <v>1094</v>
          </cell>
          <cell r="S41">
            <v>1.5</v>
          </cell>
          <cell r="T41">
            <v>1641</v>
          </cell>
          <cell r="U41">
            <v>1420.3</v>
          </cell>
          <cell r="V41">
            <v>1420.3</v>
          </cell>
          <cell r="W41">
            <v>272</v>
          </cell>
          <cell r="X41">
            <v>1.5</v>
          </cell>
          <cell r="Y41">
            <v>408</v>
          </cell>
          <cell r="Z41">
            <v>164</v>
          </cell>
          <cell r="AA41">
            <v>164</v>
          </cell>
          <cell r="AB41">
            <v>1920</v>
          </cell>
          <cell r="AC41">
            <v>1.5</v>
          </cell>
          <cell r="AD41">
            <v>2880</v>
          </cell>
          <cell r="AE41">
            <v>2925.1</v>
          </cell>
          <cell r="AF41">
            <v>2880</v>
          </cell>
          <cell r="AG41">
            <v>4377</v>
          </cell>
          <cell r="AH41">
            <v>1.5</v>
          </cell>
          <cell r="AI41">
            <v>6565.5</v>
          </cell>
          <cell r="AJ41">
            <v>8555.1</v>
          </cell>
          <cell r="AK41">
            <v>6565.5</v>
          </cell>
        </row>
        <row r="42">
          <cell r="A42">
            <v>32</v>
          </cell>
          <cell r="B42" t="str">
            <v>Nop.2</v>
          </cell>
          <cell r="C42">
            <v>1575</v>
          </cell>
          <cell r="D42">
            <v>1.5</v>
          </cell>
          <cell r="E42">
            <v>2362.5</v>
          </cell>
          <cell r="F42">
            <v>6035.8</v>
          </cell>
          <cell r="G42">
            <v>2362.5</v>
          </cell>
          <cell r="H42">
            <v>11802</v>
          </cell>
          <cell r="I42">
            <v>1.5</v>
          </cell>
          <cell r="J42">
            <v>14162</v>
          </cell>
          <cell r="K42">
            <v>14642.2</v>
          </cell>
          <cell r="L42">
            <v>14162</v>
          </cell>
          <cell r="M42">
            <v>1088</v>
          </cell>
          <cell r="N42">
            <v>1.5</v>
          </cell>
          <cell r="O42">
            <v>1632</v>
          </cell>
          <cell r="P42">
            <v>9013.8666666666668</v>
          </cell>
          <cell r="Q42">
            <v>1632</v>
          </cell>
          <cell r="R42">
            <v>1094</v>
          </cell>
          <cell r="S42">
            <v>1.5</v>
          </cell>
          <cell r="T42">
            <v>1641</v>
          </cell>
          <cell r="U42">
            <v>2198.1333333333332</v>
          </cell>
          <cell r="V42">
            <v>1641</v>
          </cell>
          <cell r="W42">
            <v>272</v>
          </cell>
          <cell r="X42">
            <v>1.5</v>
          </cell>
          <cell r="Y42">
            <v>408</v>
          </cell>
          <cell r="Z42">
            <v>296.33333333333331</v>
          </cell>
          <cell r="AA42">
            <v>296.33333333333331</v>
          </cell>
          <cell r="AB42">
            <v>1920</v>
          </cell>
          <cell r="AC42">
            <v>1.5</v>
          </cell>
          <cell r="AD42">
            <v>2880</v>
          </cell>
          <cell r="AE42">
            <v>9074.9333333333325</v>
          </cell>
          <cell r="AF42">
            <v>2880</v>
          </cell>
          <cell r="AG42">
            <v>4377</v>
          </cell>
          <cell r="AH42">
            <v>1.5</v>
          </cell>
          <cell r="AI42">
            <v>6565.5</v>
          </cell>
          <cell r="AJ42">
            <v>10601.533333333333</v>
          </cell>
          <cell r="AK42">
            <v>6565.5</v>
          </cell>
        </row>
        <row r="43">
          <cell r="A43">
            <v>33</v>
          </cell>
          <cell r="B43" t="str">
            <v>Nop.3</v>
          </cell>
          <cell r="C43">
            <v>1575</v>
          </cell>
          <cell r="D43">
            <v>1.5</v>
          </cell>
          <cell r="E43">
            <v>2362.5</v>
          </cell>
          <cell r="F43">
            <v>5913.9</v>
          </cell>
          <cell r="G43">
            <v>2362.5</v>
          </cell>
          <cell r="H43">
            <v>11802</v>
          </cell>
          <cell r="I43">
            <v>1.5</v>
          </cell>
          <cell r="J43">
            <v>14162</v>
          </cell>
          <cell r="K43">
            <v>16216.3</v>
          </cell>
          <cell r="L43">
            <v>14162</v>
          </cell>
          <cell r="M43">
            <v>1088</v>
          </cell>
          <cell r="N43">
            <v>1.5</v>
          </cell>
          <cell r="O43">
            <v>1632</v>
          </cell>
          <cell r="P43">
            <v>9260.1</v>
          </cell>
          <cell r="Q43">
            <v>1632</v>
          </cell>
          <cell r="R43">
            <v>1094</v>
          </cell>
          <cell r="S43">
            <v>1.5</v>
          </cell>
          <cell r="T43">
            <v>1641</v>
          </cell>
          <cell r="U43">
            <v>2420.6</v>
          </cell>
          <cell r="V43">
            <v>1641</v>
          </cell>
          <cell r="W43">
            <v>272</v>
          </cell>
          <cell r="X43">
            <v>1.5</v>
          </cell>
          <cell r="Y43">
            <v>408</v>
          </cell>
          <cell r="Z43">
            <v>321</v>
          </cell>
          <cell r="AA43">
            <v>321</v>
          </cell>
          <cell r="AB43">
            <v>1920</v>
          </cell>
          <cell r="AC43">
            <v>1.5</v>
          </cell>
          <cell r="AD43">
            <v>2880</v>
          </cell>
          <cell r="AE43">
            <v>9414.7000000000007</v>
          </cell>
          <cell r="AF43">
            <v>2880</v>
          </cell>
          <cell r="AG43">
            <v>4377</v>
          </cell>
          <cell r="AH43">
            <v>1.5</v>
          </cell>
          <cell r="AI43">
            <v>6565.5</v>
          </cell>
          <cell r="AJ43">
            <v>11247</v>
          </cell>
          <cell r="AK43">
            <v>6565.5</v>
          </cell>
        </row>
        <row r="44">
          <cell r="A44">
            <v>34</v>
          </cell>
          <cell r="B44" t="str">
            <v>Des.1</v>
          </cell>
          <cell r="C44">
            <v>1575</v>
          </cell>
          <cell r="D44">
            <v>1.5</v>
          </cell>
          <cell r="E44">
            <v>2362.5</v>
          </cell>
          <cell r="F44">
            <v>3555.1</v>
          </cell>
          <cell r="G44">
            <v>2362.5</v>
          </cell>
          <cell r="H44">
            <v>11802</v>
          </cell>
          <cell r="I44">
            <v>1.5</v>
          </cell>
          <cell r="J44">
            <v>14162</v>
          </cell>
          <cell r="K44">
            <v>15455.4</v>
          </cell>
          <cell r="L44">
            <v>14162</v>
          </cell>
          <cell r="M44">
            <v>1088</v>
          </cell>
          <cell r="N44">
            <v>1.5</v>
          </cell>
          <cell r="O44">
            <v>1632</v>
          </cell>
          <cell r="P44">
            <v>7759</v>
          </cell>
          <cell r="Q44">
            <v>1632</v>
          </cell>
          <cell r="R44">
            <v>1094</v>
          </cell>
          <cell r="S44">
            <v>1.5</v>
          </cell>
          <cell r="T44">
            <v>1641</v>
          </cell>
          <cell r="U44">
            <v>1865.3</v>
          </cell>
          <cell r="V44">
            <v>1641</v>
          </cell>
          <cell r="W44">
            <v>272</v>
          </cell>
          <cell r="X44">
            <v>1.5</v>
          </cell>
          <cell r="Y44">
            <v>408</v>
          </cell>
          <cell r="Z44">
            <v>443</v>
          </cell>
          <cell r="AA44">
            <v>408</v>
          </cell>
          <cell r="AB44">
            <v>1920</v>
          </cell>
          <cell r="AC44">
            <v>1.5</v>
          </cell>
          <cell r="AD44">
            <v>2880</v>
          </cell>
          <cell r="AE44">
            <v>5908</v>
          </cell>
          <cell r="AF44">
            <v>2880</v>
          </cell>
          <cell r="AG44">
            <v>4377</v>
          </cell>
          <cell r="AH44">
            <v>1.5</v>
          </cell>
          <cell r="AI44">
            <v>6565.5</v>
          </cell>
          <cell r="AJ44">
            <v>14732.3</v>
          </cell>
          <cell r="AK44">
            <v>6565.5</v>
          </cell>
        </row>
        <row r="45">
          <cell r="A45">
            <v>35</v>
          </cell>
          <cell r="B45" t="str">
            <v>Des.2</v>
          </cell>
          <cell r="C45">
            <v>1575</v>
          </cell>
          <cell r="D45">
            <v>1.5</v>
          </cell>
          <cell r="E45">
            <v>2362.5</v>
          </cell>
          <cell r="F45">
            <v>6665.5625</v>
          </cell>
          <cell r="G45">
            <v>2362.5</v>
          </cell>
          <cell r="H45">
            <v>11802</v>
          </cell>
          <cell r="I45">
            <v>1.5</v>
          </cell>
          <cell r="J45">
            <v>14162</v>
          </cell>
          <cell r="K45">
            <v>18243.5625</v>
          </cell>
          <cell r="L45">
            <v>14162</v>
          </cell>
          <cell r="M45">
            <v>1088</v>
          </cell>
          <cell r="N45">
            <v>1.5</v>
          </cell>
          <cell r="O45">
            <v>1632</v>
          </cell>
          <cell r="P45">
            <v>10263.4375</v>
          </cell>
          <cell r="Q45">
            <v>1632</v>
          </cell>
          <cell r="R45">
            <v>1094</v>
          </cell>
          <cell r="S45">
            <v>1.5</v>
          </cell>
          <cell r="T45">
            <v>1641</v>
          </cell>
          <cell r="U45">
            <v>5998.5625</v>
          </cell>
          <cell r="V45">
            <v>1641</v>
          </cell>
          <cell r="W45">
            <v>272</v>
          </cell>
          <cell r="X45">
            <v>1.5</v>
          </cell>
          <cell r="Y45">
            <v>408</v>
          </cell>
          <cell r="Z45">
            <v>2331.1875</v>
          </cell>
          <cell r="AA45">
            <v>408</v>
          </cell>
          <cell r="AB45">
            <v>1920</v>
          </cell>
          <cell r="AC45">
            <v>1.5</v>
          </cell>
          <cell r="AD45">
            <v>2880</v>
          </cell>
          <cell r="AE45">
            <v>15051.9375</v>
          </cell>
          <cell r="AF45">
            <v>2880</v>
          </cell>
          <cell r="AG45">
            <v>4377</v>
          </cell>
          <cell r="AH45">
            <v>1.5</v>
          </cell>
          <cell r="AI45">
            <v>6565.5</v>
          </cell>
          <cell r="AJ45">
            <v>14732.3</v>
          </cell>
          <cell r="AK45">
            <v>6565.5</v>
          </cell>
        </row>
        <row r="46">
          <cell r="A46">
            <v>36</v>
          </cell>
          <cell r="B46" t="str">
            <v>Des.3</v>
          </cell>
          <cell r="C46">
            <v>1575</v>
          </cell>
          <cell r="D46">
            <v>1.5</v>
          </cell>
          <cell r="E46">
            <v>2362.5</v>
          </cell>
          <cell r="F46">
            <v>6800</v>
          </cell>
          <cell r="G46">
            <v>2362.5</v>
          </cell>
          <cell r="H46">
            <v>11802</v>
          </cell>
          <cell r="I46">
            <v>1.5</v>
          </cell>
          <cell r="J46">
            <v>14162</v>
          </cell>
          <cell r="K46">
            <v>18783.81818181818</v>
          </cell>
          <cell r="L46">
            <v>14162</v>
          </cell>
          <cell r="M46">
            <v>1088</v>
          </cell>
          <cell r="N46">
            <v>1.5</v>
          </cell>
          <cell r="O46">
            <v>1632</v>
          </cell>
          <cell r="P46">
            <v>9663.636363636364</v>
          </cell>
          <cell r="Q46">
            <v>1632</v>
          </cell>
          <cell r="R46">
            <v>1094</v>
          </cell>
          <cell r="S46">
            <v>1.5</v>
          </cell>
          <cell r="T46">
            <v>1641</v>
          </cell>
          <cell r="U46">
            <v>6377.909090909091</v>
          </cell>
          <cell r="V46">
            <v>1641</v>
          </cell>
          <cell r="W46">
            <v>272</v>
          </cell>
          <cell r="X46">
            <v>1.5</v>
          </cell>
          <cell r="Y46">
            <v>408</v>
          </cell>
          <cell r="Z46">
            <v>2565.7272727272725</v>
          </cell>
          <cell r="AA46">
            <v>408</v>
          </cell>
          <cell r="AB46">
            <v>1920</v>
          </cell>
          <cell r="AC46">
            <v>1.5</v>
          </cell>
          <cell r="AD46">
            <v>2880</v>
          </cell>
          <cell r="AE46">
            <v>16176.90909090909</v>
          </cell>
          <cell r="AF46">
            <v>2880</v>
          </cell>
          <cell r="AG46">
            <v>4377</v>
          </cell>
          <cell r="AH46">
            <v>1.5</v>
          </cell>
          <cell r="AI46">
            <v>6565.5</v>
          </cell>
          <cell r="AJ46">
            <v>14732.3</v>
          </cell>
          <cell r="AK46">
            <v>6565.5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ta"/>
      <sheetName val="Tabel"/>
      <sheetName val="Grafik"/>
    </sheetNames>
    <sheetDataSet>
      <sheetData sheetId="0" refreshError="1"/>
      <sheetData sheetId="1">
        <row r="14">
          <cell r="A14">
            <v>1</v>
          </cell>
          <cell r="B14" t="str">
            <v>Jan.1</v>
          </cell>
          <cell r="C14">
            <v>1575</v>
          </cell>
          <cell r="D14">
            <v>1.65</v>
          </cell>
          <cell r="E14">
            <v>2598.75</v>
          </cell>
          <cell r="F14">
            <v>7080.7</v>
          </cell>
          <cell r="G14">
            <v>2598.75</v>
          </cell>
          <cell r="H14">
            <v>11802</v>
          </cell>
          <cell r="I14">
            <v>1.8</v>
          </cell>
          <cell r="J14">
            <v>21243.600000000002</v>
          </cell>
          <cell r="K14">
            <v>26172.37272727273</v>
          </cell>
          <cell r="L14">
            <v>21243.600000000002</v>
          </cell>
          <cell r="M14">
            <v>1088</v>
          </cell>
          <cell r="N14">
            <v>1.62</v>
          </cell>
          <cell r="O14">
            <v>1762.5600000000002</v>
          </cell>
          <cell r="P14">
            <v>15697.009090909089</v>
          </cell>
          <cell r="Q14">
            <v>1762.5600000000002</v>
          </cell>
          <cell r="R14">
            <v>1094</v>
          </cell>
          <cell r="S14">
            <v>1.62</v>
          </cell>
          <cell r="T14">
            <v>1772.2800000000002</v>
          </cell>
          <cell r="U14">
            <v>20728.400000000001</v>
          </cell>
          <cell r="V14">
            <v>1772.2800000000002</v>
          </cell>
          <cell r="W14">
            <v>272</v>
          </cell>
          <cell r="X14">
            <v>1.62</v>
          </cell>
          <cell r="Y14">
            <v>440.64000000000004</v>
          </cell>
          <cell r="Z14">
            <v>10091.5</v>
          </cell>
          <cell r="AA14">
            <v>440.64000000000004</v>
          </cell>
          <cell r="AB14">
            <v>1920</v>
          </cell>
          <cell r="AC14">
            <v>1.65</v>
          </cell>
          <cell r="AD14">
            <v>3168</v>
          </cell>
          <cell r="AE14">
            <v>28851.699999999997</v>
          </cell>
          <cell r="AF14">
            <v>3168</v>
          </cell>
        </row>
        <row r="15">
          <cell r="A15">
            <v>2</v>
          </cell>
          <cell r="B15" t="str">
            <v>Jan.2</v>
          </cell>
          <cell r="C15">
            <v>1575</v>
          </cell>
          <cell r="D15">
            <v>1.65</v>
          </cell>
          <cell r="E15">
            <v>2598.75</v>
          </cell>
          <cell r="F15">
            <v>8502.5363636363636</v>
          </cell>
          <cell r="G15">
            <v>2598.75</v>
          </cell>
          <cell r="H15">
            <v>11802</v>
          </cell>
          <cell r="I15">
            <v>1.8</v>
          </cell>
          <cell r="J15">
            <v>21243.600000000002</v>
          </cell>
          <cell r="K15">
            <v>27239.199999999997</v>
          </cell>
          <cell r="L15">
            <v>21243.600000000002</v>
          </cell>
          <cell r="M15">
            <v>1088</v>
          </cell>
          <cell r="N15">
            <v>1.62</v>
          </cell>
          <cell r="O15">
            <v>1762.5600000000002</v>
          </cell>
          <cell r="P15">
            <v>17197.390909090911</v>
          </cell>
          <cell r="Q15">
            <v>1762.5600000000002</v>
          </cell>
          <cell r="R15">
            <v>1094</v>
          </cell>
          <cell r="S15">
            <v>1.62</v>
          </cell>
          <cell r="T15">
            <v>1772.2800000000002</v>
          </cell>
          <cell r="U15">
            <v>30802.799999999999</v>
          </cell>
          <cell r="V15">
            <v>1772.2800000000002</v>
          </cell>
          <cell r="W15">
            <v>272</v>
          </cell>
          <cell r="X15">
            <v>1.62</v>
          </cell>
          <cell r="Y15">
            <v>440.64000000000004</v>
          </cell>
          <cell r="Z15">
            <v>7719.5090909090914</v>
          </cell>
          <cell r="AA15">
            <v>440.64000000000004</v>
          </cell>
          <cell r="AB15">
            <v>1920</v>
          </cell>
          <cell r="AC15">
            <v>1.65</v>
          </cell>
          <cell r="AD15">
            <v>3168</v>
          </cell>
          <cell r="AE15">
            <v>29547.620000000003</v>
          </cell>
          <cell r="AF15">
            <v>3168</v>
          </cell>
        </row>
        <row r="16">
          <cell r="A16">
            <v>3</v>
          </cell>
          <cell r="B16" t="str">
            <v>Jan.3</v>
          </cell>
          <cell r="C16">
            <v>1575</v>
          </cell>
          <cell r="D16">
            <v>1.65</v>
          </cell>
          <cell r="E16">
            <v>2598.75</v>
          </cell>
          <cell r="F16">
            <v>8107.2975206611563</v>
          </cell>
          <cell r="G16">
            <v>2598.75</v>
          </cell>
          <cell r="H16">
            <v>11802</v>
          </cell>
          <cell r="I16">
            <v>1.8</v>
          </cell>
          <cell r="J16">
            <v>21243.600000000002</v>
          </cell>
          <cell r="K16">
            <v>27586.479338842972</v>
          </cell>
          <cell r="L16">
            <v>21243.600000000002</v>
          </cell>
          <cell r="M16">
            <v>1088</v>
          </cell>
          <cell r="N16">
            <v>1.62</v>
          </cell>
          <cell r="O16">
            <v>1762.5600000000002</v>
          </cell>
          <cell r="P16">
            <v>16334.611570247933</v>
          </cell>
          <cell r="Q16">
            <v>1762.5600000000002</v>
          </cell>
          <cell r="R16">
            <v>1094</v>
          </cell>
          <cell r="S16">
            <v>1.62</v>
          </cell>
          <cell r="T16">
            <v>1772.2800000000002</v>
          </cell>
          <cell r="U16">
            <v>18219</v>
          </cell>
          <cell r="V16">
            <v>1772.2800000000002</v>
          </cell>
          <cell r="W16">
            <v>272</v>
          </cell>
          <cell r="X16">
            <v>1.62</v>
          </cell>
          <cell r="Y16">
            <v>440.64000000000004</v>
          </cell>
          <cell r="Z16">
            <v>9381.6975206611569</v>
          </cell>
          <cell r="AA16">
            <v>440.64000000000004</v>
          </cell>
          <cell r="AB16">
            <v>1920</v>
          </cell>
          <cell r="AC16">
            <v>1.65</v>
          </cell>
          <cell r="AD16">
            <v>3168</v>
          </cell>
          <cell r="AE16">
            <v>28226.165289256198</v>
          </cell>
          <cell r="AF16">
            <v>3168</v>
          </cell>
        </row>
        <row r="17">
          <cell r="A17">
            <v>4</v>
          </cell>
          <cell r="B17" t="str">
            <v>Feb.1</v>
          </cell>
          <cell r="C17">
            <v>1575</v>
          </cell>
          <cell r="D17">
            <v>1.65</v>
          </cell>
          <cell r="E17">
            <v>2598.75</v>
          </cell>
          <cell r="F17">
            <v>9823.6909090909085</v>
          </cell>
          <cell r="G17">
            <v>2598.75</v>
          </cell>
          <cell r="H17">
            <v>11802</v>
          </cell>
          <cell r="I17">
            <v>1.8</v>
          </cell>
          <cell r="J17">
            <v>21243.600000000002</v>
          </cell>
          <cell r="K17">
            <v>27568.354545454542</v>
          </cell>
          <cell r="L17">
            <v>21243.600000000002</v>
          </cell>
          <cell r="M17">
            <v>1088</v>
          </cell>
          <cell r="N17">
            <v>1.62</v>
          </cell>
          <cell r="O17">
            <v>1762.5600000000002</v>
          </cell>
          <cell r="P17">
            <v>16798.618181818179</v>
          </cell>
          <cell r="Q17">
            <v>1762.5600000000002</v>
          </cell>
          <cell r="R17">
            <v>1094</v>
          </cell>
          <cell r="S17">
            <v>1.62</v>
          </cell>
          <cell r="T17">
            <v>1772.2800000000002</v>
          </cell>
          <cell r="U17">
            <v>15760</v>
          </cell>
          <cell r="V17">
            <v>1772.2800000000002</v>
          </cell>
          <cell r="W17">
            <v>272</v>
          </cell>
          <cell r="X17">
            <v>1.62</v>
          </cell>
          <cell r="Y17">
            <v>440.64000000000004</v>
          </cell>
          <cell r="Z17">
            <v>8574.4090909090901</v>
          </cell>
          <cell r="AA17">
            <v>440.64000000000004</v>
          </cell>
          <cell r="AB17">
            <v>1920</v>
          </cell>
          <cell r="AC17">
            <v>1.65</v>
          </cell>
          <cell r="AD17">
            <v>3168</v>
          </cell>
          <cell r="AE17">
            <v>30265.663636363635</v>
          </cell>
          <cell r="AF17">
            <v>3168</v>
          </cell>
        </row>
        <row r="18">
          <cell r="A18">
            <v>5</v>
          </cell>
          <cell r="B18" t="str">
            <v>Feb.2</v>
          </cell>
          <cell r="C18">
            <v>1575</v>
          </cell>
          <cell r="D18">
            <v>1.65</v>
          </cell>
          <cell r="E18">
            <v>2598.75</v>
          </cell>
          <cell r="F18">
            <v>9923.8629370629369</v>
          </cell>
          <cell r="G18">
            <v>2598.75</v>
          </cell>
          <cell r="H18">
            <v>11802</v>
          </cell>
          <cell r="I18">
            <v>1.8</v>
          </cell>
          <cell r="J18">
            <v>21243.600000000002</v>
          </cell>
          <cell r="K18">
            <v>31451.195804195802</v>
          </cell>
          <cell r="L18">
            <v>21243.600000000002</v>
          </cell>
          <cell r="M18">
            <v>1088</v>
          </cell>
          <cell r="N18">
            <v>1.62</v>
          </cell>
          <cell r="O18">
            <v>1762.5600000000002</v>
          </cell>
          <cell r="P18">
            <v>18382.776223776222</v>
          </cell>
          <cell r="Q18">
            <v>1762.5600000000002</v>
          </cell>
          <cell r="R18">
            <v>1094</v>
          </cell>
          <cell r="S18">
            <v>1.62</v>
          </cell>
          <cell r="T18">
            <v>1772.2800000000002</v>
          </cell>
          <cell r="U18">
            <v>18237.923076923078</v>
          </cell>
          <cell r="V18">
            <v>1772.2800000000002</v>
          </cell>
          <cell r="W18">
            <v>272</v>
          </cell>
          <cell r="X18">
            <v>1.62</v>
          </cell>
          <cell r="Y18">
            <v>440.64000000000004</v>
          </cell>
          <cell r="Z18">
            <v>7156.1818181818171</v>
          </cell>
          <cell r="AA18">
            <v>440.64000000000004</v>
          </cell>
          <cell r="AB18">
            <v>1920</v>
          </cell>
          <cell r="AC18">
            <v>1.65</v>
          </cell>
          <cell r="AD18">
            <v>3168</v>
          </cell>
          <cell r="AE18">
            <v>31625.076923076926</v>
          </cell>
          <cell r="AF18">
            <v>3168</v>
          </cell>
        </row>
        <row r="19">
          <cell r="A19">
            <v>6</v>
          </cell>
          <cell r="B19" t="str">
            <v>Feb.3</v>
          </cell>
          <cell r="C19">
            <v>1575</v>
          </cell>
          <cell r="D19">
            <v>1.65</v>
          </cell>
          <cell r="E19">
            <v>2598.75</v>
          </cell>
          <cell r="F19">
            <v>9938.4704545454551</v>
          </cell>
          <cell r="G19">
            <v>2598.75</v>
          </cell>
          <cell r="H19">
            <v>11802</v>
          </cell>
          <cell r="I19">
            <v>1.8</v>
          </cell>
          <cell r="J19">
            <v>21243.600000000002</v>
          </cell>
          <cell r="K19">
            <v>34548.375</v>
          </cell>
          <cell r="L19">
            <v>21243.600000000002</v>
          </cell>
          <cell r="M19">
            <v>1088</v>
          </cell>
          <cell r="N19">
            <v>1.62</v>
          </cell>
          <cell r="O19">
            <v>1762.5600000000002</v>
          </cell>
          <cell r="P19">
            <v>18201.352272727272</v>
          </cell>
          <cell r="Q19">
            <v>1762.5600000000002</v>
          </cell>
          <cell r="R19">
            <v>1094</v>
          </cell>
          <cell r="S19">
            <v>1.62</v>
          </cell>
          <cell r="T19">
            <v>1772.2800000000002</v>
          </cell>
          <cell r="U19">
            <v>19171</v>
          </cell>
          <cell r="V19">
            <v>1772.2800000000002</v>
          </cell>
          <cell r="W19">
            <v>272</v>
          </cell>
          <cell r="X19">
            <v>1.62</v>
          </cell>
          <cell r="Y19">
            <v>440.64000000000004</v>
          </cell>
          <cell r="Z19">
            <v>7326.920454545455</v>
          </cell>
          <cell r="AA19">
            <v>440.64000000000004</v>
          </cell>
          <cell r="AB19">
            <v>1920</v>
          </cell>
          <cell r="AC19">
            <v>1.65</v>
          </cell>
          <cell r="AD19">
            <v>3168</v>
          </cell>
          <cell r="AE19">
            <v>33421.13636363636</v>
          </cell>
          <cell r="AF19">
            <v>3168</v>
          </cell>
        </row>
        <row r="20">
          <cell r="A20">
            <v>7</v>
          </cell>
          <cell r="B20" t="str">
            <v>Mar.1</v>
          </cell>
          <cell r="C20">
            <v>1575</v>
          </cell>
          <cell r="D20">
            <v>1.65</v>
          </cell>
          <cell r="E20">
            <v>2598.75</v>
          </cell>
          <cell r="F20">
            <v>10059.6</v>
          </cell>
          <cell r="G20">
            <v>2598.75</v>
          </cell>
          <cell r="H20">
            <v>11802</v>
          </cell>
          <cell r="I20">
            <v>1.8</v>
          </cell>
          <cell r="J20">
            <v>21243.600000000002</v>
          </cell>
          <cell r="K20">
            <v>26105.527272727271</v>
          </cell>
          <cell r="L20">
            <v>21243.600000000002</v>
          </cell>
          <cell r="M20">
            <v>1088</v>
          </cell>
          <cell r="N20">
            <v>1.62</v>
          </cell>
          <cell r="O20">
            <v>1762.5600000000002</v>
          </cell>
          <cell r="P20">
            <v>17800.745454545457</v>
          </cell>
          <cell r="Q20">
            <v>1762.5600000000002</v>
          </cell>
          <cell r="R20">
            <v>1094</v>
          </cell>
          <cell r="S20">
            <v>1.62</v>
          </cell>
          <cell r="T20">
            <v>1772.2800000000002</v>
          </cell>
          <cell r="U20">
            <v>19287</v>
          </cell>
          <cell r="V20">
            <v>1772.2800000000002</v>
          </cell>
          <cell r="W20">
            <v>272</v>
          </cell>
          <cell r="X20">
            <v>1.62</v>
          </cell>
          <cell r="Y20">
            <v>440.64000000000004</v>
          </cell>
          <cell r="Z20">
            <v>7485.6909090909094</v>
          </cell>
          <cell r="AA20">
            <v>440.64000000000004</v>
          </cell>
          <cell r="AB20">
            <v>1920</v>
          </cell>
          <cell r="AC20">
            <v>1.65</v>
          </cell>
          <cell r="AD20">
            <v>3168</v>
          </cell>
          <cell r="AE20">
            <v>29113.063636363633</v>
          </cell>
          <cell r="AF20">
            <v>3168</v>
          </cell>
        </row>
        <row r="21">
          <cell r="A21">
            <v>8</v>
          </cell>
          <cell r="B21" t="str">
            <v>Mar.2</v>
          </cell>
          <cell r="C21">
            <v>1575</v>
          </cell>
          <cell r="D21">
            <v>1.65</v>
          </cell>
          <cell r="E21">
            <v>2598.75</v>
          </cell>
          <cell r="F21">
            <v>8829.2272727272721</v>
          </cell>
          <cell r="G21">
            <v>2598.75</v>
          </cell>
          <cell r="H21">
            <v>11802</v>
          </cell>
          <cell r="I21">
            <v>1.8</v>
          </cell>
          <cell r="J21">
            <v>21243.600000000002</v>
          </cell>
          <cell r="K21">
            <v>27753.840909090908</v>
          </cell>
          <cell r="L21">
            <v>21243.600000000002</v>
          </cell>
          <cell r="M21">
            <v>1088</v>
          </cell>
          <cell r="N21">
            <v>1.62</v>
          </cell>
          <cell r="O21">
            <v>1762.5600000000002</v>
          </cell>
          <cell r="P21">
            <v>18706.034090909092</v>
          </cell>
          <cell r="Q21">
            <v>1762.5600000000002</v>
          </cell>
          <cell r="R21">
            <v>1094</v>
          </cell>
          <cell r="S21">
            <v>1.62</v>
          </cell>
          <cell r="T21">
            <v>1772.2800000000002</v>
          </cell>
          <cell r="U21">
            <v>17952.3125</v>
          </cell>
          <cell r="V21">
            <v>1772.2800000000002</v>
          </cell>
          <cell r="W21">
            <v>272</v>
          </cell>
          <cell r="X21">
            <v>1.62</v>
          </cell>
          <cell r="Y21">
            <v>440.64000000000004</v>
          </cell>
          <cell r="Z21">
            <v>6676.914772727273</v>
          </cell>
          <cell r="AA21">
            <v>440.64000000000004</v>
          </cell>
          <cell r="AB21">
            <v>1920</v>
          </cell>
          <cell r="AC21">
            <v>1.65</v>
          </cell>
          <cell r="AD21">
            <v>3168</v>
          </cell>
          <cell r="AE21">
            <v>27697.863636363636</v>
          </cell>
          <cell r="AF21">
            <v>3168</v>
          </cell>
        </row>
        <row r="22">
          <cell r="A22">
            <v>9</v>
          </cell>
          <cell r="B22" t="str">
            <v>Mar.3</v>
          </cell>
          <cell r="C22">
            <v>1575</v>
          </cell>
          <cell r="D22">
            <v>1.65</v>
          </cell>
          <cell r="E22">
            <v>2598.75</v>
          </cell>
          <cell r="F22">
            <v>8842.8595041322333</v>
          </cell>
          <cell r="G22">
            <v>2598.75</v>
          </cell>
          <cell r="H22">
            <v>11802</v>
          </cell>
          <cell r="I22">
            <v>1.8</v>
          </cell>
          <cell r="J22">
            <v>21243.600000000002</v>
          </cell>
          <cell r="K22">
            <v>27329.132231404958</v>
          </cell>
          <cell r="L22">
            <v>21243.600000000002</v>
          </cell>
          <cell r="M22">
            <v>1088</v>
          </cell>
          <cell r="N22">
            <v>1.62</v>
          </cell>
          <cell r="O22">
            <v>1762.5600000000002</v>
          </cell>
          <cell r="P22">
            <v>18737.909090909092</v>
          </cell>
          <cell r="Q22">
            <v>1762.5600000000002</v>
          </cell>
          <cell r="R22">
            <v>1094</v>
          </cell>
          <cell r="S22">
            <v>1.62</v>
          </cell>
          <cell r="T22">
            <v>1772.2800000000002</v>
          </cell>
          <cell r="U22">
            <v>23001.090909090908</v>
          </cell>
          <cell r="V22">
            <v>1772.2800000000002</v>
          </cell>
          <cell r="W22">
            <v>272</v>
          </cell>
          <cell r="X22">
            <v>1.62</v>
          </cell>
          <cell r="Y22">
            <v>440.64000000000004</v>
          </cell>
          <cell r="Z22">
            <v>6744.4380165289249</v>
          </cell>
          <cell r="AA22">
            <v>440.64000000000004</v>
          </cell>
          <cell r="AB22">
            <v>1920</v>
          </cell>
          <cell r="AC22">
            <v>1.65</v>
          </cell>
          <cell r="AD22">
            <v>3168</v>
          </cell>
          <cell r="AE22">
            <v>26926.421487603304</v>
          </cell>
          <cell r="AF22">
            <v>3168</v>
          </cell>
        </row>
        <row r="23">
          <cell r="A23">
            <v>10</v>
          </cell>
          <cell r="B23" t="str">
            <v>Apr.1</v>
          </cell>
          <cell r="C23">
            <v>1575</v>
          </cell>
          <cell r="D23">
            <v>1.65</v>
          </cell>
          <cell r="E23">
            <v>2598.75</v>
          </cell>
          <cell r="F23">
            <v>6728.181818181818</v>
          </cell>
          <cell r="G23">
            <v>2598.75</v>
          </cell>
          <cell r="H23">
            <v>11802</v>
          </cell>
          <cell r="I23">
            <v>1.8</v>
          </cell>
          <cell r="J23">
            <v>21243.600000000002</v>
          </cell>
          <cell r="K23">
            <v>19653.636363636364</v>
          </cell>
          <cell r="L23">
            <v>19653.636363636364</v>
          </cell>
          <cell r="M23">
            <v>1088</v>
          </cell>
          <cell r="N23">
            <v>1.62</v>
          </cell>
          <cell r="O23">
            <v>1762.5600000000002</v>
          </cell>
          <cell r="P23">
            <v>16593.436363636363</v>
          </cell>
          <cell r="Q23">
            <v>1762.5600000000002</v>
          </cell>
          <cell r="R23">
            <v>1094</v>
          </cell>
          <cell r="S23">
            <v>1.62</v>
          </cell>
          <cell r="T23">
            <v>1772.2800000000002</v>
          </cell>
          <cell r="U23">
            <v>24056.9</v>
          </cell>
          <cell r="V23">
            <v>1772.2800000000002</v>
          </cell>
          <cell r="W23">
            <v>272</v>
          </cell>
          <cell r="X23">
            <v>1.62</v>
          </cell>
          <cell r="Y23">
            <v>440.64000000000004</v>
          </cell>
          <cell r="Z23">
            <v>4635.590909090909</v>
          </cell>
          <cell r="AA23">
            <v>440.64000000000004</v>
          </cell>
          <cell r="AB23">
            <v>1920</v>
          </cell>
          <cell r="AC23">
            <v>1.65</v>
          </cell>
          <cell r="AD23">
            <v>3168</v>
          </cell>
          <cell r="AE23">
            <v>31853.618181818179</v>
          </cell>
          <cell r="AF23">
            <v>3168</v>
          </cell>
        </row>
        <row r="24">
          <cell r="A24">
            <v>11</v>
          </cell>
          <cell r="B24" t="str">
            <v>Apr.2</v>
          </cell>
          <cell r="C24">
            <v>1575</v>
          </cell>
          <cell r="D24">
            <v>1.65</v>
          </cell>
          <cell r="E24">
            <v>2598.75</v>
          </cell>
          <cell r="F24">
            <v>8214.4151515151516</v>
          </cell>
          <cell r="G24">
            <v>2598.75</v>
          </cell>
          <cell r="H24">
            <v>11802</v>
          </cell>
          <cell r="I24">
            <v>1.8</v>
          </cell>
          <cell r="J24">
            <v>21243.600000000002</v>
          </cell>
          <cell r="K24">
            <v>27203.854545454549</v>
          </cell>
          <cell r="L24">
            <v>21243.600000000002</v>
          </cell>
          <cell r="M24">
            <v>1088</v>
          </cell>
          <cell r="N24">
            <v>1.62</v>
          </cell>
          <cell r="O24">
            <v>1762.5600000000002</v>
          </cell>
          <cell r="P24">
            <v>18320.454545454544</v>
          </cell>
          <cell r="Q24">
            <v>1762.5600000000002</v>
          </cell>
          <cell r="R24">
            <v>1094</v>
          </cell>
          <cell r="S24">
            <v>1.62</v>
          </cell>
          <cell r="T24">
            <v>1772.2800000000002</v>
          </cell>
          <cell r="U24">
            <v>19645</v>
          </cell>
          <cell r="V24">
            <v>1772.2800000000002</v>
          </cell>
          <cell r="W24">
            <v>272</v>
          </cell>
          <cell r="X24">
            <v>1.62</v>
          </cell>
          <cell r="Y24">
            <v>440.64000000000004</v>
          </cell>
          <cell r="Z24">
            <v>4510.4727272727278</v>
          </cell>
          <cell r="AA24">
            <v>440.64000000000004</v>
          </cell>
          <cell r="AB24">
            <v>1920</v>
          </cell>
          <cell r="AC24">
            <v>1.65</v>
          </cell>
          <cell r="AD24">
            <v>3168</v>
          </cell>
          <cell r="AE24">
            <v>26931.709090909091</v>
          </cell>
          <cell r="AF24">
            <v>3168</v>
          </cell>
        </row>
        <row r="25">
          <cell r="A25">
            <v>12</v>
          </cell>
          <cell r="B25" t="str">
            <v>Apr.3</v>
          </cell>
          <cell r="C25">
            <v>1575</v>
          </cell>
          <cell r="D25">
            <v>1.65</v>
          </cell>
          <cell r="E25">
            <v>2598.75</v>
          </cell>
          <cell r="F25">
            <v>8147.3818181818178</v>
          </cell>
          <cell r="G25">
            <v>2598.75</v>
          </cell>
          <cell r="H25">
            <v>11802</v>
          </cell>
          <cell r="I25">
            <v>1.8</v>
          </cell>
          <cell r="J25">
            <v>21243.600000000002</v>
          </cell>
          <cell r="K25">
            <v>26935.372727272726</v>
          </cell>
          <cell r="L25">
            <v>21243.600000000002</v>
          </cell>
          <cell r="M25">
            <v>1088</v>
          </cell>
          <cell r="N25">
            <v>1.62</v>
          </cell>
          <cell r="O25">
            <v>1762.5600000000002</v>
          </cell>
          <cell r="P25">
            <v>17973.454545454544</v>
          </cell>
          <cell r="Q25">
            <v>1762.5600000000002</v>
          </cell>
          <cell r="R25">
            <v>1094</v>
          </cell>
          <cell r="S25">
            <v>1.62</v>
          </cell>
          <cell r="T25">
            <v>1772.2800000000002</v>
          </cell>
          <cell r="U25">
            <v>21813</v>
          </cell>
          <cell r="V25">
            <v>1772.2800000000002</v>
          </cell>
          <cell r="W25">
            <v>272</v>
          </cell>
          <cell r="X25">
            <v>1.62</v>
          </cell>
          <cell r="Y25">
            <v>440.64000000000004</v>
          </cell>
          <cell r="Z25">
            <v>3942.6454545454544</v>
          </cell>
          <cell r="AA25">
            <v>440.64000000000004</v>
          </cell>
          <cell r="AB25">
            <v>1920</v>
          </cell>
          <cell r="AC25">
            <v>1.65</v>
          </cell>
          <cell r="AD25">
            <v>3168</v>
          </cell>
          <cell r="AE25">
            <v>27130.9</v>
          </cell>
          <cell r="AF25">
            <v>3168</v>
          </cell>
        </row>
        <row r="26">
          <cell r="A26">
            <v>13</v>
          </cell>
          <cell r="B26" t="str">
            <v>Mei.1</v>
          </cell>
          <cell r="C26">
            <v>1575</v>
          </cell>
          <cell r="D26">
            <v>1.65</v>
          </cell>
          <cell r="E26">
            <v>2598.75</v>
          </cell>
          <cell r="F26">
            <v>8902.2909090909106</v>
          </cell>
          <cell r="G26">
            <v>2598.75</v>
          </cell>
          <cell r="H26">
            <v>11802</v>
          </cell>
          <cell r="I26">
            <v>1.8</v>
          </cell>
          <cell r="J26">
            <v>21243.600000000002</v>
          </cell>
          <cell r="K26">
            <v>25013.245454545457</v>
          </cell>
          <cell r="L26">
            <v>21243.600000000002</v>
          </cell>
          <cell r="M26">
            <v>1088</v>
          </cell>
          <cell r="N26">
            <v>1.62</v>
          </cell>
          <cell r="O26">
            <v>1762.5600000000002</v>
          </cell>
          <cell r="P26">
            <v>17476.354545454546</v>
          </cell>
          <cell r="Q26">
            <v>1762.5600000000002</v>
          </cell>
          <cell r="R26">
            <v>1094</v>
          </cell>
          <cell r="S26">
            <v>1.62</v>
          </cell>
          <cell r="T26">
            <v>1772.2800000000002</v>
          </cell>
          <cell r="U26">
            <v>15593.4</v>
          </cell>
          <cell r="V26">
            <v>1772.2800000000002</v>
          </cell>
          <cell r="W26">
            <v>272</v>
          </cell>
          <cell r="X26">
            <v>1.62</v>
          </cell>
          <cell r="Y26">
            <v>440.64000000000004</v>
          </cell>
          <cell r="Z26">
            <v>3813.5181818181813</v>
          </cell>
          <cell r="AA26">
            <v>440.64000000000004</v>
          </cell>
          <cell r="AB26">
            <v>1920</v>
          </cell>
          <cell r="AC26">
            <v>1.65</v>
          </cell>
          <cell r="AD26">
            <v>3168</v>
          </cell>
          <cell r="AE26">
            <v>21451.363636363632</v>
          </cell>
          <cell r="AF26">
            <v>3168</v>
          </cell>
        </row>
        <row r="27">
          <cell r="A27">
            <v>14</v>
          </cell>
          <cell r="B27" t="str">
            <v>Mei.2</v>
          </cell>
          <cell r="C27">
            <v>1575</v>
          </cell>
          <cell r="D27">
            <v>1.65</v>
          </cell>
          <cell r="E27">
            <v>2598.75</v>
          </cell>
          <cell r="F27">
            <v>7709.0193181818177</v>
          </cell>
          <cell r="G27">
            <v>2598.75</v>
          </cell>
          <cell r="H27">
            <v>11802</v>
          </cell>
          <cell r="I27">
            <v>1.8</v>
          </cell>
          <cell r="J27">
            <v>21243.600000000002</v>
          </cell>
          <cell r="K27">
            <v>21721.30681818182</v>
          </cell>
          <cell r="L27">
            <v>21243.600000000002</v>
          </cell>
          <cell r="M27">
            <v>1088</v>
          </cell>
          <cell r="N27">
            <v>1.62</v>
          </cell>
          <cell r="O27">
            <v>1762.5600000000002</v>
          </cell>
          <cell r="P27">
            <v>12028.886363636364</v>
          </cell>
          <cell r="Q27">
            <v>1762.5600000000002</v>
          </cell>
          <cell r="R27">
            <v>1094</v>
          </cell>
          <cell r="S27">
            <v>1.62</v>
          </cell>
          <cell r="T27">
            <v>1772.2800000000002</v>
          </cell>
          <cell r="U27">
            <v>7208.75</v>
          </cell>
          <cell r="V27">
            <v>1772.2800000000002</v>
          </cell>
          <cell r="W27">
            <v>272</v>
          </cell>
          <cell r="X27">
            <v>1.62</v>
          </cell>
          <cell r="Y27">
            <v>440.64000000000004</v>
          </cell>
          <cell r="Z27">
            <v>2967.596590909091</v>
          </cell>
          <cell r="AA27">
            <v>440.64000000000004</v>
          </cell>
          <cell r="AB27">
            <v>1920</v>
          </cell>
          <cell r="AC27">
            <v>1.65</v>
          </cell>
          <cell r="AD27">
            <v>3168</v>
          </cell>
          <cell r="AE27">
            <v>14704.90909090909</v>
          </cell>
          <cell r="AF27">
            <v>3168</v>
          </cell>
        </row>
        <row r="28">
          <cell r="A28">
            <v>15</v>
          </cell>
          <cell r="B28" t="str">
            <v>Mei.3</v>
          </cell>
          <cell r="C28">
            <v>1575</v>
          </cell>
          <cell r="D28">
            <v>1.65</v>
          </cell>
          <cell r="E28">
            <v>2598.75</v>
          </cell>
          <cell r="F28">
            <v>7505.0644628099171</v>
          </cell>
          <cell r="G28">
            <v>2598.75</v>
          </cell>
          <cell r="H28">
            <v>11802</v>
          </cell>
          <cell r="I28">
            <v>1.8</v>
          </cell>
          <cell r="J28">
            <v>21243.600000000002</v>
          </cell>
          <cell r="K28">
            <v>21721.30681818182</v>
          </cell>
          <cell r="L28">
            <v>21243.600000000002</v>
          </cell>
          <cell r="M28">
            <v>1088</v>
          </cell>
          <cell r="N28">
            <v>1.62</v>
          </cell>
          <cell r="O28">
            <v>1762.5600000000002</v>
          </cell>
          <cell r="P28">
            <v>12028.886363636364</v>
          </cell>
          <cell r="Q28">
            <v>1762.5600000000002</v>
          </cell>
          <cell r="R28">
            <v>1094</v>
          </cell>
          <cell r="S28">
            <v>1.62</v>
          </cell>
          <cell r="T28">
            <v>1772.2800000000002</v>
          </cell>
          <cell r="U28">
            <v>7208.75</v>
          </cell>
          <cell r="V28">
            <v>1772.2800000000002</v>
          </cell>
          <cell r="W28">
            <v>272</v>
          </cell>
          <cell r="X28">
            <v>1.62</v>
          </cell>
          <cell r="Y28">
            <v>440.64000000000004</v>
          </cell>
          <cell r="Z28">
            <v>2967.596590909091</v>
          </cell>
          <cell r="AA28">
            <v>440.64000000000004</v>
          </cell>
          <cell r="AB28">
            <v>1920</v>
          </cell>
          <cell r="AC28">
            <v>1.65</v>
          </cell>
          <cell r="AD28">
            <v>3168</v>
          </cell>
          <cell r="AE28">
            <v>14704.90909090909</v>
          </cell>
          <cell r="AF28">
            <v>3168</v>
          </cell>
        </row>
        <row r="29">
          <cell r="A29">
            <v>16</v>
          </cell>
          <cell r="B29" t="str">
            <v>Jun.1</v>
          </cell>
          <cell r="C29">
            <v>1575</v>
          </cell>
          <cell r="D29">
            <v>1.65</v>
          </cell>
          <cell r="E29">
            <v>2598.75</v>
          </cell>
          <cell r="F29">
            <v>6673.8272727272733</v>
          </cell>
          <cell r="G29">
            <v>2598.75</v>
          </cell>
          <cell r="H29">
            <v>11802</v>
          </cell>
          <cell r="I29">
            <v>1.8</v>
          </cell>
          <cell r="J29">
            <v>21243.600000000002</v>
          </cell>
          <cell r="K29">
            <v>19684.454545454544</v>
          </cell>
          <cell r="L29">
            <v>19684.454545454544</v>
          </cell>
          <cell r="M29">
            <v>1088</v>
          </cell>
          <cell r="N29">
            <v>1.62</v>
          </cell>
          <cell r="O29">
            <v>1762.5600000000002</v>
          </cell>
          <cell r="P29">
            <v>10667.681818181818</v>
          </cell>
          <cell r="Q29">
            <v>1762.5600000000002</v>
          </cell>
          <cell r="R29">
            <v>1094</v>
          </cell>
          <cell r="S29">
            <v>1.62</v>
          </cell>
          <cell r="T29">
            <v>1772.2800000000002</v>
          </cell>
          <cell r="U29">
            <v>20779</v>
          </cell>
          <cell r="V29">
            <v>1772.2800000000002</v>
          </cell>
          <cell r="W29">
            <v>272</v>
          </cell>
          <cell r="X29">
            <v>1.62</v>
          </cell>
          <cell r="Y29">
            <v>440.64000000000004</v>
          </cell>
          <cell r="Z29">
            <v>2328.2999999999997</v>
          </cell>
          <cell r="AA29">
            <v>440.64000000000004</v>
          </cell>
          <cell r="AB29">
            <v>1920</v>
          </cell>
          <cell r="AC29">
            <v>1.65</v>
          </cell>
          <cell r="AD29">
            <v>3168</v>
          </cell>
          <cell r="AE29">
            <v>13635.872727272728</v>
          </cell>
          <cell r="AF29">
            <v>3168</v>
          </cell>
        </row>
        <row r="30">
          <cell r="A30">
            <v>17</v>
          </cell>
          <cell r="B30" t="str">
            <v>Jun.2</v>
          </cell>
          <cell r="C30">
            <v>1575</v>
          </cell>
          <cell r="D30">
            <v>1.65</v>
          </cell>
          <cell r="E30">
            <v>2598.75</v>
          </cell>
          <cell r="F30">
            <v>7247.8090909090915</v>
          </cell>
          <cell r="G30">
            <v>2598.75</v>
          </cell>
          <cell r="H30">
            <v>11802</v>
          </cell>
          <cell r="I30">
            <v>1.8</v>
          </cell>
          <cell r="J30">
            <v>21243.600000000002</v>
          </cell>
          <cell r="K30">
            <v>20057.387878787878</v>
          </cell>
          <cell r="L30">
            <v>20057.387878787878</v>
          </cell>
          <cell r="M30">
            <v>1088</v>
          </cell>
          <cell r="N30">
            <v>1.62</v>
          </cell>
          <cell r="O30">
            <v>1762.5600000000002</v>
          </cell>
          <cell r="P30">
            <v>11318.715151515151</v>
          </cell>
          <cell r="Q30">
            <v>1762.5600000000002</v>
          </cell>
          <cell r="R30">
            <v>1094</v>
          </cell>
          <cell r="S30">
            <v>1.62</v>
          </cell>
          <cell r="T30">
            <v>1772.2800000000002</v>
          </cell>
          <cell r="U30">
            <v>8214.6666666666661</v>
          </cell>
          <cell r="V30">
            <v>1772.2800000000002</v>
          </cell>
          <cell r="W30">
            <v>272</v>
          </cell>
          <cell r="X30">
            <v>1.62</v>
          </cell>
          <cell r="Y30">
            <v>440.64000000000004</v>
          </cell>
          <cell r="Z30">
            <v>2345.4363636363637</v>
          </cell>
          <cell r="AA30">
            <v>440.64000000000004</v>
          </cell>
          <cell r="AB30">
            <v>1920</v>
          </cell>
          <cell r="AC30">
            <v>1.65</v>
          </cell>
          <cell r="AD30">
            <v>3168</v>
          </cell>
          <cell r="AE30">
            <v>15008.205681818181</v>
          </cell>
          <cell r="AF30">
            <v>3168</v>
          </cell>
        </row>
        <row r="31">
          <cell r="A31">
            <v>18</v>
          </cell>
          <cell r="B31" t="str">
            <v>Jun.3</v>
          </cell>
          <cell r="C31">
            <v>1575</v>
          </cell>
          <cell r="D31">
            <v>1.65</v>
          </cell>
          <cell r="E31">
            <v>2598.75</v>
          </cell>
          <cell r="F31">
            <v>7322.636363636364</v>
          </cell>
          <cell r="G31">
            <v>2598.75</v>
          </cell>
          <cell r="H31">
            <v>11802</v>
          </cell>
          <cell r="I31">
            <v>1.8</v>
          </cell>
          <cell r="J31">
            <v>21243.600000000002</v>
          </cell>
          <cell r="K31">
            <v>20072.572727272727</v>
          </cell>
          <cell r="L31">
            <v>20072.572727272727</v>
          </cell>
          <cell r="M31">
            <v>1088</v>
          </cell>
          <cell r="N31">
            <v>1.62</v>
          </cell>
          <cell r="O31">
            <v>1762.5600000000002</v>
          </cell>
          <cell r="P31">
            <v>12222.727272727272</v>
          </cell>
          <cell r="Q31">
            <v>1762.5600000000002</v>
          </cell>
          <cell r="R31">
            <v>1094</v>
          </cell>
          <cell r="S31">
            <v>1.62</v>
          </cell>
          <cell r="T31">
            <v>1772.2800000000002</v>
          </cell>
          <cell r="U31">
            <v>8246</v>
          </cell>
          <cell r="V31">
            <v>1772.2800000000002</v>
          </cell>
          <cell r="W31">
            <v>272</v>
          </cell>
          <cell r="X31">
            <v>1.62</v>
          </cell>
          <cell r="Y31">
            <v>440.64000000000004</v>
          </cell>
          <cell r="Z31">
            <v>2391.4454545454541</v>
          </cell>
          <cell r="AA31">
            <v>440.64000000000004</v>
          </cell>
          <cell r="AB31">
            <v>1920</v>
          </cell>
          <cell r="AC31">
            <v>1.65</v>
          </cell>
          <cell r="AD31">
            <v>3168</v>
          </cell>
          <cell r="AE31">
            <v>15801.484297520661</v>
          </cell>
          <cell r="AF31">
            <v>3168</v>
          </cell>
        </row>
        <row r="32">
          <cell r="A32">
            <v>19</v>
          </cell>
          <cell r="B32" t="str">
            <v>Jul.1</v>
          </cell>
          <cell r="C32">
            <v>1575</v>
          </cell>
          <cell r="D32">
            <v>1.65</v>
          </cell>
          <cell r="E32">
            <v>2598.75</v>
          </cell>
          <cell r="F32">
            <v>6467.8</v>
          </cell>
          <cell r="G32">
            <v>2598.75</v>
          </cell>
          <cell r="H32">
            <v>11802</v>
          </cell>
          <cell r="I32">
            <v>1.8</v>
          </cell>
          <cell r="J32">
            <v>21243.600000000002</v>
          </cell>
          <cell r="K32">
            <v>18274.427272727273</v>
          </cell>
          <cell r="L32">
            <v>18274.427272727273</v>
          </cell>
          <cell r="M32">
            <v>1088</v>
          </cell>
          <cell r="N32">
            <v>1.62</v>
          </cell>
          <cell r="O32">
            <v>1762.5600000000002</v>
          </cell>
          <cell r="P32">
            <v>10412.454545454546</v>
          </cell>
          <cell r="Q32">
            <v>1762.5600000000002</v>
          </cell>
          <cell r="R32">
            <v>1094</v>
          </cell>
          <cell r="S32">
            <v>1.62</v>
          </cell>
          <cell r="T32">
            <v>1772.2800000000002</v>
          </cell>
          <cell r="U32">
            <v>8366</v>
          </cell>
          <cell r="V32">
            <v>1772.2800000000002</v>
          </cell>
          <cell r="W32">
            <v>272</v>
          </cell>
          <cell r="X32">
            <v>1.62</v>
          </cell>
          <cell r="Y32">
            <v>440.64000000000004</v>
          </cell>
          <cell r="Z32">
            <v>1341.409090909091</v>
          </cell>
          <cell r="AA32">
            <v>440.64000000000004</v>
          </cell>
          <cell r="AB32">
            <v>1920</v>
          </cell>
          <cell r="AC32">
            <v>1.65</v>
          </cell>
          <cell r="AD32">
            <v>3168</v>
          </cell>
          <cell r="AE32">
            <v>11226.527272727275</v>
          </cell>
          <cell r="AF32">
            <v>3168</v>
          </cell>
        </row>
        <row r="33">
          <cell r="A33">
            <v>20</v>
          </cell>
          <cell r="B33" t="str">
            <v>Jul.2</v>
          </cell>
          <cell r="C33">
            <v>1575</v>
          </cell>
          <cell r="D33">
            <v>1.65</v>
          </cell>
          <cell r="E33">
            <v>2598.75</v>
          </cell>
          <cell r="F33">
            <v>6411.380681818182</v>
          </cell>
          <cell r="G33">
            <v>2598.75</v>
          </cell>
          <cell r="H33">
            <v>11802</v>
          </cell>
          <cell r="I33">
            <v>1.8</v>
          </cell>
          <cell r="J33">
            <v>21243.600000000002</v>
          </cell>
          <cell r="K33">
            <v>17748.55681818182</v>
          </cell>
          <cell r="L33">
            <v>17748.55681818182</v>
          </cell>
          <cell r="M33">
            <v>1088</v>
          </cell>
          <cell r="N33">
            <v>1.62</v>
          </cell>
          <cell r="O33">
            <v>1762.5600000000002</v>
          </cell>
          <cell r="P33">
            <v>9719.204545454546</v>
          </cell>
          <cell r="Q33">
            <v>1762.5600000000002</v>
          </cell>
          <cell r="R33">
            <v>1094</v>
          </cell>
          <cell r="S33">
            <v>1.62</v>
          </cell>
          <cell r="T33">
            <v>1772.2800000000002</v>
          </cell>
          <cell r="U33">
            <v>7969.6875</v>
          </cell>
          <cell r="V33">
            <v>1772.2800000000002</v>
          </cell>
          <cell r="W33">
            <v>272</v>
          </cell>
          <cell r="X33">
            <v>1.62</v>
          </cell>
          <cell r="Y33">
            <v>440.64000000000004</v>
          </cell>
          <cell r="Z33">
            <v>882.05113636363637</v>
          </cell>
          <cell r="AA33">
            <v>440.64000000000004</v>
          </cell>
          <cell r="AB33">
            <v>1920</v>
          </cell>
          <cell r="AC33">
            <v>1.65</v>
          </cell>
          <cell r="AD33">
            <v>3168</v>
          </cell>
          <cell r="AE33">
            <v>9921.244318181818</v>
          </cell>
          <cell r="AF33">
            <v>3168</v>
          </cell>
        </row>
        <row r="34">
          <cell r="A34">
            <v>21</v>
          </cell>
          <cell r="B34" t="str">
            <v>Jul.3</v>
          </cell>
          <cell r="C34">
            <v>1575</v>
          </cell>
          <cell r="D34">
            <v>1.65</v>
          </cell>
          <cell r="E34">
            <v>2598.75</v>
          </cell>
          <cell r="F34">
            <v>6621.4049586776855</v>
          </cell>
          <cell r="G34">
            <v>2598.75</v>
          </cell>
          <cell r="H34">
            <v>11802</v>
          </cell>
          <cell r="I34">
            <v>1.8</v>
          </cell>
          <cell r="J34">
            <v>21243.600000000002</v>
          </cell>
          <cell r="K34">
            <v>18027.504132231406</v>
          </cell>
          <cell r="L34">
            <v>18027.504132231406</v>
          </cell>
          <cell r="M34">
            <v>1088</v>
          </cell>
          <cell r="N34">
            <v>1.62</v>
          </cell>
          <cell r="O34">
            <v>1762.5600000000002</v>
          </cell>
          <cell r="P34">
            <v>9827.9008264462809</v>
          </cell>
          <cell r="Q34">
            <v>1762.5600000000002</v>
          </cell>
          <cell r="R34">
            <v>1094</v>
          </cell>
          <cell r="S34">
            <v>1.62</v>
          </cell>
          <cell r="T34">
            <v>1772.2800000000002</v>
          </cell>
          <cell r="U34">
            <v>10225</v>
          </cell>
          <cell r="V34">
            <v>1772.2800000000002</v>
          </cell>
          <cell r="W34">
            <v>272</v>
          </cell>
          <cell r="X34">
            <v>1.62</v>
          </cell>
          <cell r="Y34">
            <v>440.64000000000004</v>
          </cell>
          <cell r="Z34">
            <v>910.09090909090912</v>
          </cell>
          <cell r="AA34">
            <v>440.64000000000004</v>
          </cell>
          <cell r="AB34">
            <v>1920</v>
          </cell>
          <cell r="AC34">
            <v>1.65</v>
          </cell>
          <cell r="AD34">
            <v>3168</v>
          </cell>
          <cell r="AE34">
            <v>9001.7272727272721</v>
          </cell>
          <cell r="AF34">
            <v>3168</v>
          </cell>
        </row>
        <row r="35">
          <cell r="A35">
            <v>22</v>
          </cell>
          <cell r="B35" t="str">
            <v>Ags.1</v>
          </cell>
          <cell r="C35">
            <v>1575</v>
          </cell>
          <cell r="D35">
            <v>1.65</v>
          </cell>
          <cell r="E35">
            <v>2598.75</v>
          </cell>
          <cell r="F35">
            <v>5834</v>
          </cell>
          <cell r="G35">
            <v>2598.75</v>
          </cell>
          <cell r="H35">
            <v>11802</v>
          </cell>
          <cell r="I35">
            <v>1.8</v>
          </cell>
          <cell r="J35">
            <v>21243.600000000002</v>
          </cell>
          <cell r="K35">
            <v>17544.50909090909</v>
          </cell>
          <cell r="L35">
            <v>17544.50909090909</v>
          </cell>
          <cell r="M35">
            <v>1088</v>
          </cell>
          <cell r="N35">
            <v>1.62</v>
          </cell>
          <cell r="O35">
            <v>1762.5600000000002</v>
          </cell>
          <cell r="P35">
            <v>8205.2545454545452</v>
          </cell>
          <cell r="Q35">
            <v>1762.5600000000002</v>
          </cell>
          <cell r="R35">
            <v>1094</v>
          </cell>
          <cell r="S35">
            <v>1.62</v>
          </cell>
          <cell r="T35">
            <v>1772.2800000000002</v>
          </cell>
          <cell r="U35">
            <v>6495</v>
          </cell>
          <cell r="V35">
            <v>1772.2800000000002</v>
          </cell>
          <cell r="W35">
            <v>272</v>
          </cell>
          <cell r="X35">
            <v>1.62</v>
          </cell>
          <cell r="Y35">
            <v>440.64000000000004</v>
          </cell>
          <cell r="Z35">
            <v>741.08181818181811</v>
          </cell>
          <cell r="AA35">
            <v>440.64000000000004</v>
          </cell>
          <cell r="AB35">
            <v>1920</v>
          </cell>
          <cell r="AC35">
            <v>1.65</v>
          </cell>
          <cell r="AD35">
            <v>3168</v>
          </cell>
          <cell r="AE35">
            <v>10338.400000000001</v>
          </cell>
          <cell r="AF35">
            <v>3168</v>
          </cell>
        </row>
        <row r="36">
          <cell r="A36">
            <v>23</v>
          </cell>
          <cell r="B36" t="str">
            <v>Ags.2</v>
          </cell>
          <cell r="C36">
            <v>1575</v>
          </cell>
          <cell r="D36">
            <v>1.65</v>
          </cell>
          <cell r="E36">
            <v>2598.75</v>
          </cell>
          <cell r="F36">
            <v>5764.278409090909</v>
          </cell>
          <cell r="G36">
            <v>2598.75</v>
          </cell>
          <cell r="H36">
            <v>11802</v>
          </cell>
          <cell r="I36">
            <v>1.8</v>
          </cell>
          <cell r="J36">
            <v>21243.600000000002</v>
          </cell>
          <cell r="K36">
            <v>17534.329545454544</v>
          </cell>
          <cell r="L36">
            <v>17534.329545454544</v>
          </cell>
          <cell r="M36">
            <v>1088</v>
          </cell>
          <cell r="N36">
            <v>1.62</v>
          </cell>
          <cell r="O36">
            <v>1762.5600000000002</v>
          </cell>
          <cell r="P36">
            <v>6969.664772727273</v>
          </cell>
          <cell r="Q36">
            <v>1762.5600000000002</v>
          </cell>
          <cell r="R36">
            <v>1094</v>
          </cell>
          <cell r="S36">
            <v>1.62</v>
          </cell>
          <cell r="T36">
            <v>1772.2800000000002</v>
          </cell>
          <cell r="U36">
            <v>3407.0625</v>
          </cell>
          <cell r="V36">
            <v>1772.2800000000002</v>
          </cell>
          <cell r="W36">
            <v>272</v>
          </cell>
          <cell r="X36">
            <v>1.62</v>
          </cell>
          <cell r="Y36">
            <v>440.64000000000004</v>
          </cell>
          <cell r="Z36">
            <v>1037.5</v>
          </cell>
          <cell r="AA36">
            <v>440.64000000000004</v>
          </cell>
          <cell r="AB36">
            <v>1920</v>
          </cell>
          <cell r="AC36">
            <v>1.65</v>
          </cell>
          <cell r="AD36">
            <v>3168</v>
          </cell>
          <cell r="AE36">
            <v>8725.494318181818</v>
          </cell>
          <cell r="AF36">
            <v>3168</v>
          </cell>
        </row>
        <row r="37">
          <cell r="A37">
            <v>24</v>
          </cell>
          <cell r="B37" t="str">
            <v>Ags.3</v>
          </cell>
          <cell r="C37">
            <v>1575</v>
          </cell>
          <cell r="D37">
            <v>1.65</v>
          </cell>
          <cell r="E37">
            <v>2598.75</v>
          </cell>
          <cell r="F37">
            <v>5641.3057851239664</v>
          </cell>
          <cell r="G37">
            <v>2598.75</v>
          </cell>
          <cell r="H37">
            <v>11802</v>
          </cell>
          <cell r="I37">
            <v>1.8</v>
          </cell>
          <cell r="J37">
            <v>21243.600000000002</v>
          </cell>
          <cell r="K37">
            <v>17670.917355371901</v>
          </cell>
          <cell r="L37">
            <v>17670.917355371901</v>
          </cell>
          <cell r="M37">
            <v>1088</v>
          </cell>
          <cell r="N37">
            <v>1.62</v>
          </cell>
          <cell r="O37">
            <v>1762.5600000000002</v>
          </cell>
          <cell r="P37">
            <v>6705.3719008264461</v>
          </cell>
          <cell r="Q37">
            <v>1762.5600000000002</v>
          </cell>
          <cell r="R37">
            <v>1094</v>
          </cell>
          <cell r="S37">
            <v>1.62</v>
          </cell>
          <cell r="T37">
            <v>1772.2800000000002</v>
          </cell>
          <cell r="U37">
            <v>3367</v>
          </cell>
          <cell r="V37">
            <v>1772.2800000000002</v>
          </cell>
          <cell r="W37">
            <v>272</v>
          </cell>
          <cell r="X37">
            <v>1.62</v>
          </cell>
          <cell r="Y37">
            <v>440.64000000000004</v>
          </cell>
          <cell r="Z37">
            <v>1090.1322314049585</v>
          </cell>
          <cell r="AA37">
            <v>440.64000000000004</v>
          </cell>
          <cell r="AB37">
            <v>1920</v>
          </cell>
          <cell r="AC37">
            <v>1.65</v>
          </cell>
          <cell r="AD37">
            <v>3168</v>
          </cell>
          <cell r="AE37">
            <v>8538.8347107438021</v>
          </cell>
          <cell r="AF37">
            <v>3168</v>
          </cell>
        </row>
        <row r="38">
          <cell r="A38">
            <v>25</v>
          </cell>
          <cell r="B38" t="str">
            <v>Sep.1</v>
          </cell>
          <cell r="C38">
            <v>1575</v>
          </cell>
          <cell r="D38">
            <v>1.65</v>
          </cell>
          <cell r="E38">
            <v>2598.75</v>
          </cell>
          <cell r="F38">
            <v>5646.636363636364</v>
          </cell>
          <cell r="G38">
            <v>2598.75</v>
          </cell>
          <cell r="H38">
            <v>11802</v>
          </cell>
          <cell r="I38">
            <v>1.8</v>
          </cell>
          <cell r="J38">
            <v>21243.600000000002</v>
          </cell>
          <cell r="K38">
            <v>17517.554545454546</v>
          </cell>
          <cell r="L38">
            <v>17517.554545454546</v>
          </cell>
          <cell r="M38">
            <v>1088</v>
          </cell>
          <cell r="N38">
            <v>1.62</v>
          </cell>
          <cell r="O38">
            <v>1762.5600000000002</v>
          </cell>
          <cell r="P38">
            <v>6026.7</v>
          </cell>
          <cell r="Q38">
            <v>1762.5600000000002</v>
          </cell>
          <cell r="R38">
            <v>1094</v>
          </cell>
          <cell r="S38">
            <v>1.62</v>
          </cell>
          <cell r="T38">
            <v>1772.2800000000002</v>
          </cell>
          <cell r="U38">
            <v>10022.299999999999</v>
          </cell>
          <cell r="V38">
            <v>1772.2800000000002</v>
          </cell>
          <cell r="W38">
            <v>272</v>
          </cell>
          <cell r="X38">
            <v>1.62</v>
          </cell>
          <cell r="Y38">
            <v>440.64000000000004</v>
          </cell>
          <cell r="Z38">
            <v>4303.3</v>
          </cell>
          <cell r="AA38">
            <v>440.64000000000004</v>
          </cell>
          <cell r="AB38">
            <v>1920</v>
          </cell>
          <cell r="AC38">
            <v>1.65</v>
          </cell>
          <cell r="AD38">
            <v>3168</v>
          </cell>
          <cell r="AE38">
            <v>10442.490909090908</v>
          </cell>
          <cell r="AF38">
            <v>3168</v>
          </cell>
        </row>
        <row r="39">
          <cell r="A39">
            <v>26</v>
          </cell>
          <cell r="B39" t="str">
            <v>Sep.2</v>
          </cell>
          <cell r="C39">
            <v>1575</v>
          </cell>
          <cell r="D39">
            <v>1.65</v>
          </cell>
          <cell r="E39">
            <v>2598.75</v>
          </cell>
          <cell r="F39">
            <v>6632.8484848484859</v>
          </cell>
          <cell r="G39">
            <v>2598.75</v>
          </cell>
          <cell r="H39">
            <v>11802</v>
          </cell>
          <cell r="I39">
            <v>1.8</v>
          </cell>
          <cell r="J39">
            <v>21243.600000000002</v>
          </cell>
          <cell r="K39">
            <v>17757.690909090907</v>
          </cell>
          <cell r="L39">
            <v>17757.690909090907</v>
          </cell>
          <cell r="M39">
            <v>1088</v>
          </cell>
          <cell r="N39">
            <v>1.62</v>
          </cell>
          <cell r="O39">
            <v>1762.5600000000002</v>
          </cell>
          <cell r="P39">
            <v>6330.3818181818178</v>
          </cell>
          <cell r="Q39">
            <v>1762.5600000000002</v>
          </cell>
          <cell r="R39">
            <v>1094</v>
          </cell>
          <cell r="S39">
            <v>1.62</v>
          </cell>
          <cell r="T39">
            <v>1772.2800000000002</v>
          </cell>
          <cell r="U39">
            <v>12348</v>
          </cell>
          <cell r="V39">
            <v>1772.2800000000002</v>
          </cell>
          <cell r="W39">
            <v>272</v>
          </cell>
          <cell r="X39">
            <v>1.62</v>
          </cell>
          <cell r="Y39">
            <v>440.64000000000004</v>
          </cell>
          <cell r="Z39">
            <v>918.4969696969697</v>
          </cell>
          <cell r="AA39">
            <v>440.64000000000004</v>
          </cell>
          <cell r="AB39">
            <v>1920</v>
          </cell>
          <cell r="AC39">
            <v>1.65</v>
          </cell>
          <cell r="AD39">
            <v>3168</v>
          </cell>
          <cell r="AE39">
            <v>13064.321212121211</v>
          </cell>
          <cell r="AF39">
            <v>3168</v>
          </cell>
        </row>
        <row r="40">
          <cell r="A40">
            <v>27</v>
          </cell>
          <cell r="B40" t="str">
            <v>Sep.3</v>
          </cell>
          <cell r="C40">
            <v>1575</v>
          </cell>
          <cell r="D40">
            <v>1.65</v>
          </cell>
          <cell r="E40">
            <v>2598.75</v>
          </cell>
          <cell r="F40">
            <v>6643.5</v>
          </cell>
          <cell r="G40">
            <v>2598.75</v>
          </cell>
          <cell r="H40">
            <v>11802</v>
          </cell>
          <cell r="I40">
            <v>1.8</v>
          </cell>
          <cell r="J40">
            <v>21243.600000000002</v>
          </cell>
          <cell r="K40">
            <v>17463.290909090909</v>
          </cell>
          <cell r="L40">
            <v>17463.290909090909</v>
          </cell>
          <cell r="M40">
            <v>1088</v>
          </cell>
          <cell r="N40">
            <v>1.62</v>
          </cell>
          <cell r="O40">
            <v>1762.5600000000002</v>
          </cell>
          <cell r="P40">
            <v>6637.1272727272726</v>
          </cell>
          <cell r="Q40">
            <v>1762.5600000000002</v>
          </cell>
          <cell r="R40">
            <v>1094</v>
          </cell>
          <cell r="S40">
            <v>1.62</v>
          </cell>
          <cell r="T40">
            <v>1772.2800000000002</v>
          </cell>
          <cell r="U40">
            <v>16905</v>
          </cell>
          <cell r="V40">
            <v>1772.2800000000002</v>
          </cell>
          <cell r="W40">
            <v>272</v>
          </cell>
          <cell r="X40">
            <v>1.62</v>
          </cell>
          <cell r="Y40">
            <v>440.64000000000004</v>
          </cell>
          <cell r="Z40">
            <v>962.63636363636363</v>
          </cell>
          <cell r="AA40">
            <v>440.64000000000004</v>
          </cell>
          <cell r="AB40">
            <v>1920</v>
          </cell>
          <cell r="AC40">
            <v>1.65</v>
          </cell>
          <cell r="AD40">
            <v>3168</v>
          </cell>
          <cell r="AE40">
            <v>15562.357851239667</v>
          </cell>
          <cell r="AF40">
            <v>3168</v>
          </cell>
        </row>
        <row r="41">
          <cell r="A41">
            <v>28</v>
          </cell>
          <cell r="B41" t="str">
            <v>Okt.1</v>
          </cell>
          <cell r="C41">
            <v>1575</v>
          </cell>
          <cell r="D41">
            <v>1.65</v>
          </cell>
          <cell r="E41">
            <v>2598.75</v>
          </cell>
          <cell r="F41">
            <v>7090.7454545454539</v>
          </cell>
          <cell r="G41">
            <v>2598.75</v>
          </cell>
          <cell r="H41">
            <v>11802</v>
          </cell>
          <cell r="I41">
            <v>1.8</v>
          </cell>
          <cell r="J41">
            <v>21243.600000000002</v>
          </cell>
          <cell r="K41">
            <v>19743.909090909092</v>
          </cell>
          <cell r="L41">
            <v>19743.909090909092</v>
          </cell>
          <cell r="M41">
            <v>1088</v>
          </cell>
          <cell r="N41">
            <v>1.62</v>
          </cell>
          <cell r="O41">
            <v>1762.5600000000002</v>
          </cell>
          <cell r="P41">
            <v>12301.154545454547</v>
          </cell>
          <cell r="Q41">
            <v>1762.5600000000002</v>
          </cell>
          <cell r="R41">
            <v>1094</v>
          </cell>
          <cell r="S41">
            <v>1.62</v>
          </cell>
          <cell r="T41">
            <v>1772.2800000000002</v>
          </cell>
          <cell r="U41">
            <v>39835.800000000003</v>
          </cell>
          <cell r="V41">
            <v>1772.2800000000002</v>
          </cell>
          <cell r="W41">
            <v>272</v>
          </cell>
          <cell r="X41">
            <v>1.62</v>
          </cell>
          <cell r="Y41">
            <v>440.64000000000004</v>
          </cell>
          <cell r="Z41">
            <v>6416.954545454545</v>
          </cell>
          <cell r="AA41">
            <v>440.64000000000004</v>
          </cell>
          <cell r="AB41">
            <v>1920</v>
          </cell>
          <cell r="AC41">
            <v>1.65</v>
          </cell>
          <cell r="AD41">
            <v>3168</v>
          </cell>
          <cell r="AE41">
            <v>19888.445454545457</v>
          </cell>
          <cell r="AF41">
            <v>3168</v>
          </cell>
        </row>
        <row r="42">
          <cell r="A42">
            <v>29</v>
          </cell>
          <cell r="B42" t="str">
            <v>Okt.2</v>
          </cell>
          <cell r="C42">
            <v>1575</v>
          </cell>
          <cell r="D42">
            <v>1.65</v>
          </cell>
          <cell r="E42">
            <v>2598.75</v>
          </cell>
          <cell r="F42">
            <v>8664.4954545454548</v>
          </cell>
          <cell r="G42">
            <v>2598.75</v>
          </cell>
          <cell r="H42">
            <v>11802</v>
          </cell>
          <cell r="I42">
            <v>1.8</v>
          </cell>
          <cell r="J42">
            <v>21243.600000000002</v>
          </cell>
          <cell r="K42">
            <v>30561.857954545456</v>
          </cell>
          <cell r="L42">
            <v>21243.600000000002</v>
          </cell>
          <cell r="M42">
            <v>1088</v>
          </cell>
          <cell r="N42">
            <v>1.62</v>
          </cell>
          <cell r="O42">
            <v>1762.5600000000002</v>
          </cell>
          <cell r="P42">
            <v>12007.852272727272</v>
          </cell>
          <cell r="Q42">
            <v>1762.5600000000002</v>
          </cell>
          <cell r="R42">
            <v>1094</v>
          </cell>
          <cell r="S42">
            <v>1.62</v>
          </cell>
          <cell r="T42">
            <v>1772.2800000000002</v>
          </cell>
          <cell r="U42">
            <v>35067.875</v>
          </cell>
          <cell r="V42">
            <v>1772.2800000000002</v>
          </cell>
          <cell r="W42">
            <v>272</v>
          </cell>
          <cell r="X42">
            <v>1.62</v>
          </cell>
          <cell r="Y42">
            <v>440.64000000000004</v>
          </cell>
          <cell r="Z42">
            <v>7650.782196969697</v>
          </cell>
          <cell r="AA42">
            <v>440.64000000000004</v>
          </cell>
          <cell r="AB42">
            <v>1920</v>
          </cell>
          <cell r="AC42">
            <v>1.65</v>
          </cell>
          <cell r="AD42">
            <v>3168</v>
          </cell>
          <cell r="AE42">
            <v>39063.030303030304</v>
          </cell>
          <cell r="AF42">
            <v>3168</v>
          </cell>
        </row>
        <row r="43">
          <cell r="A43">
            <v>30</v>
          </cell>
          <cell r="B43" t="str">
            <v>Okt.3</v>
          </cell>
          <cell r="C43">
            <v>1575</v>
          </cell>
          <cell r="D43">
            <v>1.65</v>
          </cell>
          <cell r="E43">
            <v>2598.75</v>
          </cell>
          <cell r="F43">
            <v>8400.8586776859502</v>
          </cell>
          <cell r="G43">
            <v>2598.75</v>
          </cell>
          <cell r="H43">
            <v>11802</v>
          </cell>
          <cell r="I43">
            <v>1.8</v>
          </cell>
          <cell r="J43">
            <v>21243.600000000002</v>
          </cell>
          <cell r="K43">
            <v>20970.264462809919</v>
          </cell>
          <cell r="L43">
            <v>20970.264462809919</v>
          </cell>
          <cell r="M43">
            <v>1088</v>
          </cell>
          <cell r="N43">
            <v>1.62</v>
          </cell>
          <cell r="O43">
            <v>1762.5600000000002</v>
          </cell>
          <cell r="P43">
            <v>11684.851239669422</v>
          </cell>
          <cell r="Q43">
            <v>1762.5600000000002</v>
          </cell>
          <cell r="R43">
            <v>1094</v>
          </cell>
          <cell r="S43">
            <v>1.62</v>
          </cell>
          <cell r="T43">
            <v>1772.2800000000002</v>
          </cell>
          <cell r="U43">
            <v>33258.727272727272</v>
          </cell>
          <cell r="V43">
            <v>1772.2800000000002</v>
          </cell>
          <cell r="W43">
            <v>272</v>
          </cell>
          <cell r="X43">
            <v>1.62</v>
          </cell>
          <cell r="Y43">
            <v>440.64000000000004</v>
          </cell>
          <cell r="Z43">
            <v>6865.9256198347111</v>
          </cell>
          <cell r="AA43">
            <v>440.64000000000004</v>
          </cell>
          <cell r="AB43">
            <v>1920</v>
          </cell>
          <cell r="AC43">
            <v>1.65</v>
          </cell>
          <cell r="AD43">
            <v>3168</v>
          </cell>
          <cell r="AE43">
            <v>35582.877685950414</v>
          </cell>
          <cell r="AF43">
            <v>3168</v>
          </cell>
        </row>
        <row r="44">
          <cell r="A44">
            <v>31</v>
          </cell>
          <cell r="B44" t="str">
            <v>Nop.1</v>
          </cell>
          <cell r="C44">
            <v>1575</v>
          </cell>
          <cell r="D44">
            <v>1.65</v>
          </cell>
          <cell r="E44">
            <v>2598.75</v>
          </cell>
          <cell r="F44">
            <v>8913.4090909090901</v>
          </cell>
          <cell r="G44">
            <v>2598.75</v>
          </cell>
          <cell r="H44">
            <v>11802</v>
          </cell>
          <cell r="I44">
            <v>1.8</v>
          </cell>
          <cell r="J44">
            <v>21243.600000000002</v>
          </cell>
          <cell r="K44">
            <v>21650.954545454544</v>
          </cell>
          <cell r="L44">
            <v>21243.600000000002</v>
          </cell>
          <cell r="M44">
            <v>1088</v>
          </cell>
          <cell r="N44">
            <v>1.62</v>
          </cell>
          <cell r="O44">
            <v>1762.5600000000002</v>
          </cell>
          <cell r="P44">
            <v>12889.09090909091</v>
          </cell>
          <cell r="Q44">
            <v>1762.5600000000002</v>
          </cell>
          <cell r="R44">
            <v>1094</v>
          </cell>
          <cell r="S44">
            <v>1.62</v>
          </cell>
          <cell r="T44">
            <v>1772.2800000000002</v>
          </cell>
          <cell r="U44">
            <v>30385</v>
          </cell>
          <cell r="V44">
            <v>1772.2800000000002</v>
          </cell>
          <cell r="W44">
            <v>272</v>
          </cell>
          <cell r="X44">
            <v>1.62</v>
          </cell>
          <cell r="Y44">
            <v>440.64000000000004</v>
          </cell>
          <cell r="Z44">
            <v>3664.590909090909</v>
          </cell>
          <cell r="AA44">
            <v>440.64000000000004</v>
          </cell>
          <cell r="AB44">
            <v>1920</v>
          </cell>
          <cell r="AC44">
            <v>1.65</v>
          </cell>
          <cell r="AD44">
            <v>3168</v>
          </cell>
          <cell r="AE44">
            <v>28705.672727272729</v>
          </cell>
          <cell r="AF44">
            <v>3168</v>
          </cell>
        </row>
        <row r="45">
          <cell r="A45">
            <v>32</v>
          </cell>
          <cell r="B45" t="str">
            <v>Nop.2</v>
          </cell>
          <cell r="C45">
            <v>1575</v>
          </cell>
          <cell r="D45">
            <v>1.65</v>
          </cell>
          <cell r="E45">
            <v>2598.75</v>
          </cell>
          <cell r="F45">
            <v>8938.2060606060586</v>
          </cell>
          <cell r="G45">
            <v>2598.75</v>
          </cell>
          <cell r="H45">
            <v>11802</v>
          </cell>
          <cell r="I45">
            <v>1.8</v>
          </cell>
          <cell r="J45">
            <v>21243.600000000002</v>
          </cell>
          <cell r="K45">
            <v>25063.593939393937</v>
          </cell>
          <cell r="L45">
            <v>21243.600000000002</v>
          </cell>
          <cell r="M45">
            <v>1088</v>
          </cell>
          <cell r="N45">
            <v>1.62</v>
          </cell>
          <cell r="O45">
            <v>1762.5600000000002</v>
          </cell>
          <cell r="P45">
            <v>13485.042424242425</v>
          </cell>
          <cell r="Q45">
            <v>1762.5600000000002</v>
          </cell>
          <cell r="R45">
            <v>1094</v>
          </cell>
          <cell r="S45">
            <v>1.62</v>
          </cell>
          <cell r="T45">
            <v>1772.2800000000002</v>
          </cell>
          <cell r="U45">
            <v>20517</v>
          </cell>
          <cell r="V45">
            <v>1772.2800000000002</v>
          </cell>
          <cell r="W45">
            <v>272</v>
          </cell>
          <cell r="X45">
            <v>1.62</v>
          </cell>
          <cell r="Y45">
            <v>440.64000000000004</v>
          </cell>
          <cell r="Z45">
            <v>4409.212121212121</v>
          </cell>
          <cell r="AA45">
            <v>440.64000000000004</v>
          </cell>
          <cell r="AB45">
            <v>1920</v>
          </cell>
          <cell r="AC45">
            <v>1.65</v>
          </cell>
          <cell r="AD45">
            <v>3168</v>
          </cell>
          <cell r="AE45">
            <v>34741.892424242425</v>
          </cell>
          <cell r="AF45">
            <v>3168</v>
          </cell>
        </row>
        <row r="46">
          <cell r="A46">
            <v>33</v>
          </cell>
          <cell r="B46" t="str">
            <v>Nop.3</v>
          </cell>
          <cell r="C46">
            <v>1575</v>
          </cell>
          <cell r="D46">
            <v>1.65</v>
          </cell>
          <cell r="E46">
            <v>2598.75</v>
          </cell>
          <cell r="F46">
            <v>9176.4909090909077</v>
          </cell>
          <cell r="G46">
            <v>2598.75</v>
          </cell>
          <cell r="H46">
            <v>11802</v>
          </cell>
          <cell r="I46">
            <v>1.8</v>
          </cell>
          <cell r="J46">
            <v>21243.600000000002</v>
          </cell>
          <cell r="K46">
            <v>25230.381818181821</v>
          </cell>
          <cell r="L46">
            <v>21243.600000000002</v>
          </cell>
          <cell r="M46">
            <v>1088</v>
          </cell>
          <cell r="N46">
            <v>1.62</v>
          </cell>
          <cell r="O46">
            <v>1762.5600000000002</v>
          </cell>
          <cell r="P46">
            <v>13475.663636363635</v>
          </cell>
          <cell r="Q46">
            <v>1762.5600000000002</v>
          </cell>
          <cell r="R46">
            <v>1094</v>
          </cell>
          <cell r="S46">
            <v>1.62</v>
          </cell>
          <cell r="T46">
            <v>1772.2800000000002</v>
          </cell>
          <cell r="U46">
            <v>20413</v>
          </cell>
          <cell r="V46">
            <v>1772.2800000000002</v>
          </cell>
          <cell r="W46">
            <v>272</v>
          </cell>
          <cell r="X46">
            <v>1.62</v>
          </cell>
          <cell r="Y46">
            <v>440.64000000000004</v>
          </cell>
          <cell r="Z46">
            <v>4566.4000000000005</v>
          </cell>
          <cell r="AA46">
            <v>440.64000000000004</v>
          </cell>
          <cell r="AB46">
            <v>1920</v>
          </cell>
          <cell r="AC46">
            <v>1.65</v>
          </cell>
          <cell r="AD46">
            <v>3168</v>
          </cell>
          <cell r="AE46">
            <v>26808.935537190082</v>
          </cell>
          <cell r="AF46">
            <v>3168</v>
          </cell>
        </row>
        <row r="47">
          <cell r="A47">
            <v>34</v>
          </cell>
          <cell r="B47" t="str">
            <v>Des.1</v>
          </cell>
          <cell r="C47">
            <v>1575</v>
          </cell>
          <cell r="D47">
            <v>1.65</v>
          </cell>
          <cell r="E47">
            <v>2598.75</v>
          </cell>
          <cell r="F47">
            <v>8433.3909090909092</v>
          </cell>
          <cell r="G47">
            <v>2598.75</v>
          </cell>
          <cell r="H47">
            <v>11802</v>
          </cell>
          <cell r="I47">
            <v>1.8</v>
          </cell>
          <cell r="J47">
            <v>21243.600000000002</v>
          </cell>
          <cell r="K47">
            <v>21377.045454545452</v>
          </cell>
          <cell r="L47">
            <v>21243.600000000002</v>
          </cell>
          <cell r="M47">
            <v>1088</v>
          </cell>
          <cell r="N47">
            <v>1.62</v>
          </cell>
          <cell r="O47">
            <v>1762.5600000000002</v>
          </cell>
          <cell r="P47">
            <v>15703.300000000001</v>
          </cell>
          <cell r="Q47">
            <v>1762.5600000000002</v>
          </cell>
          <cell r="R47">
            <v>1094</v>
          </cell>
          <cell r="S47">
            <v>1.62</v>
          </cell>
          <cell r="T47">
            <v>1772.2800000000002</v>
          </cell>
          <cell r="U47">
            <v>17651</v>
          </cell>
          <cell r="V47">
            <v>1772.2800000000002</v>
          </cell>
          <cell r="W47">
            <v>272</v>
          </cell>
          <cell r="X47">
            <v>1.62</v>
          </cell>
          <cell r="Y47">
            <v>440.64000000000004</v>
          </cell>
          <cell r="Z47">
            <v>5550.9727272727268</v>
          </cell>
          <cell r="AA47">
            <v>440.64000000000004</v>
          </cell>
          <cell r="AB47">
            <v>1920</v>
          </cell>
          <cell r="AC47">
            <v>1.65</v>
          </cell>
          <cell r="AD47">
            <v>3168</v>
          </cell>
          <cell r="AE47">
            <v>22457.018181818181</v>
          </cell>
          <cell r="AF47">
            <v>3168</v>
          </cell>
        </row>
        <row r="48">
          <cell r="A48">
            <v>35</v>
          </cell>
          <cell r="B48" t="str">
            <v>Des.2</v>
          </cell>
          <cell r="C48">
            <v>1575</v>
          </cell>
          <cell r="D48">
            <v>1.65</v>
          </cell>
          <cell r="E48">
            <v>2598.75</v>
          </cell>
          <cell r="F48">
            <v>7854.642045454545</v>
          </cell>
          <cell r="G48">
            <v>2598.75</v>
          </cell>
          <cell r="H48">
            <v>11802</v>
          </cell>
          <cell r="I48">
            <v>1.8</v>
          </cell>
          <cell r="J48">
            <v>21243.600000000002</v>
          </cell>
          <cell r="K48">
            <v>22755.982954545456</v>
          </cell>
          <cell r="L48">
            <v>21243.600000000002</v>
          </cell>
          <cell r="M48">
            <v>1088</v>
          </cell>
          <cell r="N48">
            <v>1.62</v>
          </cell>
          <cell r="O48">
            <v>1762.5600000000002</v>
          </cell>
          <cell r="P48">
            <v>11992.835227272728</v>
          </cell>
          <cell r="Q48">
            <v>1762.5600000000002</v>
          </cell>
          <cell r="R48">
            <v>1094</v>
          </cell>
          <cell r="S48">
            <v>1.62</v>
          </cell>
          <cell r="T48">
            <v>1772.2800000000002</v>
          </cell>
          <cell r="U48">
            <v>14864.5</v>
          </cell>
          <cell r="V48">
            <v>1772.2800000000002</v>
          </cell>
          <cell r="W48">
            <v>272</v>
          </cell>
          <cell r="X48">
            <v>1.62</v>
          </cell>
          <cell r="Y48">
            <v>440.64000000000004</v>
          </cell>
          <cell r="Z48">
            <v>3565.9488636363635</v>
          </cell>
          <cell r="AA48">
            <v>440.64000000000004</v>
          </cell>
          <cell r="AB48">
            <v>1920</v>
          </cell>
          <cell r="AC48">
            <v>1.65</v>
          </cell>
          <cell r="AD48">
            <v>3168</v>
          </cell>
          <cell r="AE48">
            <v>23864.727272727272</v>
          </cell>
          <cell r="AF48">
            <v>3168</v>
          </cell>
        </row>
        <row r="49">
          <cell r="A49">
            <v>36</v>
          </cell>
          <cell r="B49" t="str">
            <v>Des.3</v>
          </cell>
          <cell r="C49">
            <v>1575</v>
          </cell>
          <cell r="D49">
            <v>1.65</v>
          </cell>
          <cell r="E49">
            <v>2598.75</v>
          </cell>
          <cell r="F49">
            <v>7743.4049586776855</v>
          </cell>
          <cell r="G49">
            <v>2598.75</v>
          </cell>
          <cell r="H49">
            <v>11802</v>
          </cell>
          <cell r="I49">
            <v>1.8</v>
          </cell>
          <cell r="J49">
            <v>21243.600000000002</v>
          </cell>
          <cell r="K49">
            <v>22962.231404958675</v>
          </cell>
          <cell r="L49">
            <v>21243.600000000002</v>
          </cell>
          <cell r="M49">
            <v>1088</v>
          </cell>
          <cell r="N49">
            <v>1.62</v>
          </cell>
          <cell r="O49">
            <v>1762.5600000000002</v>
          </cell>
          <cell r="P49">
            <v>11361.611570247936</v>
          </cell>
          <cell r="Q49">
            <v>1762.5600000000002</v>
          </cell>
          <cell r="R49">
            <v>1094</v>
          </cell>
          <cell r="S49">
            <v>1.62</v>
          </cell>
          <cell r="T49">
            <v>1772.2800000000002</v>
          </cell>
          <cell r="U49">
            <v>15788.363636363636</v>
          </cell>
          <cell r="V49">
            <v>1772.2800000000002</v>
          </cell>
          <cell r="W49">
            <v>272</v>
          </cell>
          <cell r="X49">
            <v>1.62</v>
          </cell>
          <cell r="Y49">
            <v>440.64000000000004</v>
          </cell>
          <cell r="Z49">
            <v>3812.4462809917354</v>
          </cell>
          <cell r="AA49">
            <v>440.64000000000004</v>
          </cell>
          <cell r="AB49">
            <v>1920</v>
          </cell>
          <cell r="AC49">
            <v>1.65</v>
          </cell>
          <cell r="AD49">
            <v>3168</v>
          </cell>
          <cell r="AE49">
            <v>23224.355371900823</v>
          </cell>
          <cell r="AF49">
            <v>3168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ck"/>
    </sheetNames>
    <sheetDataSet>
      <sheetData sheetId="0" refreshError="1">
        <row r="50">
          <cell r="I50">
            <v>75</v>
          </cell>
        </row>
        <row r="52">
          <cell r="I52">
            <v>0.2</v>
          </cell>
        </row>
        <row r="53">
          <cell r="I53">
            <v>0.3</v>
          </cell>
        </row>
        <row r="54">
          <cell r="I54">
            <v>50</v>
          </cell>
        </row>
        <row r="55">
          <cell r="I55">
            <v>80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efisien Cs dan G"/>
      <sheetName val="Hujan tahunan"/>
      <sheetName val="Hujan Bul"/>
      <sheetName val="Hujan BUlanan"/>
      <sheetName val="Hujan 10 Harian"/>
      <sheetName val="ch-harian maks th"/>
      <sheetName val="ch-max"/>
      <sheetName val="Pilih distrib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-long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CH-RANC"/>
      <sheetName val="#REF"/>
      <sheetName val="T. Cs Log P III"/>
      <sheetName val="EVAPO"/>
      <sheetName val="d-ch-sumberbendo"/>
      <sheetName val="Rasio"/>
      <sheetName val="grafik huj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2020"/>
      <sheetName val="TMA2020"/>
      <sheetName val="Kotretan"/>
      <sheetName val="H5"/>
      <sheetName val="des"/>
      <sheetName val="nop"/>
      <sheetName val="okt"/>
      <sheetName val="sep"/>
      <sheetName val="agst"/>
      <sheetName val="jul"/>
      <sheetName val="jun"/>
      <sheetName val="mei"/>
      <sheetName val="apr"/>
      <sheetName val="mar"/>
      <sheetName val="peb"/>
      <sheetName val="jan"/>
    </sheetNames>
    <sheetDataSet>
      <sheetData sheetId="0">
        <row r="9">
          <cell r="F9">
            <v>38.9</v>
          </cell>
        </row>
      </sheetData>
      <sheetData sheetId="1" refreshError="1"/>
      <sheetData sheetId="2">
        <row r="3">
          <cell r="G3">
            <v>6.2960935370259694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  <sheetName val="Q"/>
      <sheetName val="TMA"/>
      <sheetName val="Kotretan"/>
      <sheetName val="des"/>
      <sheetName val="nop"/>
      <sheetName val="okt"/>
      <sheetName val="sep"/>
      <sheetName val="agst"/>
      <sheetName val="jul"/>
      <sheetName val="jun"/>
      <sheetName val="mei"/>
      <sheetName val="apr"/>
      <sheetName val="mar"/>
      <sheetName val="peb"/>
      <sheetName val="jan"/>
    </sheetNames>
    <sheetDataSet>
      <sheetData sheetId="0">
        <row r="1">
          <cell r="A1" t="str">
            <v>DATABASE</v>
          </cell>
          <cell r="B1" t="str">
            <v>NAMA</v>
          </cell>
          <cell r="C1" t="str">
            <v>SUNGAI</v>
          </cell>
          <cell r="D1" t="str">
            <v>INDUK SUNGAI</v>
          </cell>
          <cell r="E1" t="str">
            <v>DESA</v>
          </cell>
          <cell r="F1" t="str">
            <v>KECAMATAN</v>
          </cell>
          <cell r="G1" t="str">
            <v>KABUPATEN</v>
          </cell>
          <cell r="H1" t="str">
            <v>PROPINSI</v>
          </cell>
          <cell r="I1" t="str">
            <v>BT</v>
          </cell>
          <cell r="J1" t="str">
            <v>LS</v>
          </cell>
          <cell r="K1" t="str">
            <v>UPT</v>
          </cell>
          <cell r="L1" t="str">
            <v>Status</v>
          </cell>
          <cell r="M1" t="str">
            <v>Tipe</v>
          </cell>
          <cell r="N1" t="str">
            <v>Luas DPS</v>
          </cell>
          <cell r="O1" t="str">
            <v>Elevasi</v>
          </cell>
          <cell r="P1" t="str">
            <v>Kode</v>
          </cell>
          <cell r="Q1" t="str">
            <v>Lengkung debit</v>
          </cell>
          <cell r="R1" t="str">
            <v>C</v>
          </cell>
          <cell r="S1" t="str">
            <v>A</v>
          </cell>
          <cell r="T1" t="str">
            <v>B</v>
          </cell>
          <cell r="U1" t="str">
            <v>Penjaga Pos</v>
          </cell>
          <cell r="V1" t="str">
            <v>No. HP</v>
          </cell>
        </row>
        <row r="2">
          <cell r="A2" t="str">
            <v>PDA012301</v>
          </cell>
          <cell r="B2" t="str">
            <v>Nglirip</v>
          </cell>
          <cell r="C2" t="str">
            <v>K. Nglirip</v>
          </cell>
          <cell r="D2" t="str">
            <v>Bengawan Solo</v>
          </cell>
          <cell r="E2" t="str">
            <v>Mulyoagung</v>
          </cell>
          <cell r="F2" t="str">
            <v>Singgahan</v>
          </cell>
          <cell r="G2" t="str">
            <v>Tuban</v>
          </cell>
          <cell r="H2" t="str">
            <v>Jawa Timur</v>
          </cell>
          <cell r="I2">
            <v>111.79909000000001</v>
          </cell>
          <cell r="J2">
            <v>-6.9664809999999999</v>
          </cell>
          <cell r="K2" t="str">
            <v>PSDA WS Bengawan Solo di Bojonegoro</v>
          </cell>
          <cell r="L2" t="str">
            <v>Aktif</v>
          </cell>
          <cell r="M2" t="str">
            <v>Peilskal</v>
          </cell>
          <cell r="N2">
            <v>97</v>
          </cell>
          <cell r="O2">
            <v>50</v>
          </cell>
          <cell r="P2" t="str">
            <v>2- 54- 1- 7</v>
          </cell>
          <cell r="Q2" t="str">
            <v>Q= 6.9845(H-0.4810)^2.3685</v>
          </cell>
          <cell r="R2">
            <v>6.9844999999999997</v>
          </cell>
          <cell r="S2">
            <v>-0.48099999999999998</v>
          </cell>
          <cell r="T2">
            <v>2.3685</v>
          </cell>
        </row>
        <row r="3">
          <cell r="A3" t="str">
            <v>PDA031301</v>
          </cell>
          <cell r="B3" t="str">
            <v>Condong</v>
          </cell>
          <cell r="C3" t="str">
            <v>K. Pekalen</v>
          </cell>
          <cell r="D3" t="str">
            <v>K. Pekalen</v>
          </cell>
          <cell r="E3" t="str">
            <v>Condong</v>
          </cell>
          <cell r="F3" t="str">
            <v>Gading</v>
          </cell>
          <cell r="G3" t="str">
            <v>Probolinggo</v>
          </cell>
          <cell r="H3" t="str">
            <v>Jawa Timur</v>
          </cell>
          <cell r="I3">
            <v>113.37617</v>
          </cell>
          <cell r="J3">
            <v>-7.8755199999999999</v>
          </cell>
          <cell r="K3" t="str">
            <v>PSDA WS Welang Pekalen di Pasuruan</v>
          </cell>
          <cell r="L3" t="str">
            <v>Aktif</v>
          </cell>
          <cell r="M3" t="str">
            <v>Peilskal</v>
          </cell>
          <cell r="N3">
            <v>166.73</v>
          </cell>
          <cell r="O3">
            <v>129</v>
          </cell>
          <cell r="P3" t="str">
            <v>2- 63- 1- 3</v>
          </cell>
          <cell r="Q3" t="str">
            <v>Q= 5.0841(H - 0.0025)^2</v>
          </cell>
          <cell r="R3">
            <v>5.0841000000000003</v>
          </cell>
          <cell r="S3">
            <v>-2.5000000000000001E-3</v>
          </cell>
          <cell r="T3">
            <v>2</v>
          </cell>
        </row>
        <row r="4">
          <cell r="A4" t="str">
            <v>PDA031302</v>
          </cell>
          <cell r="B4" t="str">
            <v>Jorongan</v>
          </cell>
          <cell r="C4" t="str">
            <v>K. Kramat</v>
          </cell>
          <cell r="D4" t="str">
            <v>K. Kedung Galeng</v>
          </cell>
          <cell r="E4" t="str">
            <v>Jorongan</v>
          </cell>
          <cell r="F4" t="str">
            <v>Leces</v>
          </cell>
          <cell r="G4" t="str">
            <v>Probolinggo</v>
          </cell>
          <cell r="H4" t="str">
            <v>Jawa Timur</v>
          </cell>
          <cell r="I4">
            <v>113.21692</v>
          </cell>
          <cell r="J4">
            <v>-7.8190400000000002</v>
          </cell>
          <cell r="K4" t="str">
            <v>PSDA WS Welang Pekalen di Pasuruan</v>
          </cell>
          <cell r="L4" t="str">
            <v>Aktif</v>
          </cell>
          <cell r="M4" t="str">
            <v>Peilskal</v>
          </cell>
          <cell r="N4">
            <v>188.76</v>
          </cell>
          <cell r="O4">
            <v>78</v>
          </cell>
          <cell r="P4" t="str">
            <v>2- 61- 1- 1</v>
          </cell>
          <cell r="Q4" t="str">
            <v>Q = 1.1502(H+0.0214)^2</v>
          </cell>
          <cell r="R4">
            <v>1.1501999999999999</v>
          </cell>
          <cell r="S4">
            <v>2.1399999999999999E-2</v>
          </cell>
          <cell r="T4">
            <v>2</v>
          </cell>
        </row>
        <row r="5">
          <cell r="A5" t="str">
            <v>PDA031303</v>
          </cell>
          <cell r="B5" t="str">
            <v>Jurangjero</v>
          </cell>
          <cell r="C5" t="str">
            <v>K. Rondoningo</v>
          </cell>
          <cell r="D5" t="str">
            <v>K. Rondoningo</v>
          </cell>
          <cell r="E5" t="str">
            <v>Jurangjero</v>
          </cell>
          <cell r="F5" t="str">
            <v>Gading</v>
          </cell>
          <cell r="G5" t="str">
            <v>Probolinggo</v>
          </cell>
          <cell r="H5" t="str">
            <v>Jawa Timur</v>
          </cell>
          <cell r="I5">
            <v>113.40412999999999</v>
          </cell>
          <cell r="J5">
            <v>-7.8651200000000001</v>
          </cell>
          <cell r="K5" t="str">
            <v>PSDA WS Welang Pekalen di Pasuruan</v>
          </cell>
          <cell r="L5" t="str">
            <v>Aktif</v>
          </cell>
          <cell r="M5" t="str">
            <v>Peilskal</v>
          </cell>
          <cell r="N5">
            <v>79.510000000000005</v>
          </cell>
          <cell r="O5">
            <v>164</v>
          </cell>
          <cell r="P5" t="str">
            <v>2- 63- 1- 4</v>
          </cell>
          <cell r="Q5" t="str">
            <v>Q = 3.8986(H-0.0041)^2</v>
          </cell>
          <cell r="R5">
            <v>3.8986000000000001</v>
          </cell>
          <cell r="S5">
            <v>-4.1000000000000003E-3</v>
          </cell>
          <cell r="T5">
            <v>2</v>
          </cell>
        </row>
        <row r="6">
          <cell r="A6" t="str">
            <v>PDA031304</v>
          </cell>
          <cell r="B6" t="str">
            <v>Randumerak</v>
          </cell>
          <cell r="C6" t="str">
            <v>K. Pancarglagas</v>
          </cell>
          <cell r="D6" t="str">
            <v>K. Pancarglagas</v>
          </cell>
          <cell r="E6" t="str">
            <v>Randumerak</v>
          </cell>
          <cell r="F6" t="str">
            <v>Paiton</v>
          </cell>
          <cell r="G6" t="str">
            <v>Probolinggo</v>
          </cell>
          <cell r="H6" t="str">
            <v>Jawa Timur</v>
          </cell>
          <cell r="I6">
            <v>113.48187</v>
          </cell>
          <cell r="J6">
            <v>-7.7330100000000002</v>
          </cell>
          <cell r="K6" t="str">
            <v>PSDA WS Welang Pekalen di Pasuruan</v>
          </cell>
          <cell r="L6" t="str">
            <v>Aktif</v>
          </cell>
          <cell r="M6" t="str">
            <v>Otomatis Grafik + Peilskal</v>
          </cell>
          <cell r="N6">
            <v>134.86000000000001</v>
          </cell>
          <cell r="O6">
            <v>50</v>
          </cell>
          <cell r="P6" t="str">
            <v>2- 63- 4- 3</v>
          </cell>
          <cell r="Q6" t="str">
            <v>Q = 6.5043(H-0.0025)^2</v>
          </cell>
          <cell r="R6">
            <v>6.5042999999999997</v>
          </cell>
          <cell r="S6">
            <v>-2.5000000000000001E-3</v>
          </cell>
          <cell r="T6">
            <v>2</v>
          </cell>
        </row>
        <row r="7">
          <cell r="A7" t="str">
            <v>PDA031305</v>
          </cell>
          <cell r="B7" t="str">
            <v>Kalirejo</v>
          </cell>
          <cell r="C7" t="str">
            <v>K. Kedunggaleng</v>
          </cell>
          <cell r="D7" t="str">
            <v>K. Kedunggaleng</v>
          </cell>
          <cell r="E7" t="str">
            <v>Kalirejo</v>
          </cell>
          <cell r="F7" t="str">
            <v>Dringu</v>
          </cell>
          <cell r="G7" t="str">
            <v>Probolinggo</v>
          </cell>
          <cell r="H7" t="str">
            <v>Jawa Timur</v>
          </cell>
          <cell r="I7">
            <v>113.240038</v>
          </cell>
          <cell r="J7">
            <v>-7.7757649999999998</v>
          </cell>
          <cell r="K7" t="str">
            <v>PSDA WS Welang Pekalen di Pasuruan</v>
          </cell>
          <cell r="L7" t="str">
            <v>Aktif</v>
          </cell>
          <cell r="M7" t="str">
            <v>Peilskal</v>
          </cell>
          <cell r="N7">
            <v>68.58</v>
          </cell>
          <cell r="O7">
            <v>19</v>
          </cell>
          <cell r="P7" t="str">
            <v>2- 63- 1- 1</v>
          </cell>
          <cell r="Q7" t="str">
            <v>Q = 8.3993(H + 0.0097)^2</v>
          </cell>
          <cell r="R7">
            <v>8.3993000000000002</v>
          </cell>
          <cell r="S7">
            <v>9.7000000000000003E-3</v>
          </cell>
          <cell r="T7">
            <v>2</v>
          </cell>
        </row>
        <row r="8">
          <cell r="A8" t="str">
            <v>PDA031306</v>
          </cell>
          <cell r="B8" t="str">
            <v>Gending</v>
          </cell>
          <cell r="C8" t="str">
            <v>K. Gending</v>
          </cell>
          <cell r="D8" t="str">
            <v>K. Gending</v>
          </cell>
          <cell r="E8" t="str">
            <v>Gending</v>
          </cell>
          <cell r="F8" t="str">
            <v>Gending</v>
          </cell>
          <cell r="G8" t="str">
            <v>Probolinggo</v>
          </cell>
          <cell r="H8" t="str">
            <v>Jawa Timur</v>
          </cell>
          <cell r="I8">
            <v>113.309423</v>
          </cell>
          <cell r="J8">
            <v>-7.792726</v>
          </cell>
          <cell r="K8" t="str">
            <v>PSDA WS Welang Pekalen di Pasuruan</v>
          </cell>
          <cell r="L8" t="str">
            <v>Aktif</v>
          </cell>
          <cell r="M8" t="str">
            <v>Peilskal</v>
          </cell>
          <cell r="N8">
            <v>74.88</v>
          </cell>
          <cell r="O8">
            <v>8</v>
          </cell>
          <cell r="P8" t="str">
            <v>2- 63- 5- 1</v>
          </cell>
          <cell r="Q8" t="str">
            <v>Q = 36.3053(H + 0.0002)^2</v>
          </cell>
          <cell r="R8">
            <v>36.305300000000003</v>
          </cell>
          <cell r="S8">
            <v>2.0000000000000001E-4</v>
          </cell>
          <cell r="T8">
            <v>2</v>
          </cell>
        </row>
        <row r="9">
          <cell r="A9" t="str">
            <v>PDA031401</v>
          </cell>
          <cell r="B9" t="str">
            <v>Kenep</v>
          </cell>
          <cell r="C9" t="str">
            <v>K. Kedunglarangan</v>
          </cell>
          <cell r="D9" t="str">
            <v>K. Kedung Larangan</v>
          </cell>
          <cell r="E9" t="str">
            <v>Kenep</v>
          </cell>
          <cell r="F9" t="str">
            <v>Beji</v>
          </cell>
          <cell r="G9" t="str">
            <v>Pasuruan</v>
          </cell>
          <cell r="H9" t="str">
            <v>Jawa Timur</v>
          </cell>
          <cell r="I9">
            <v>112.7602</v>
          </cell>
          <cell r="J9">
            <v>-7.6220400000000001</v>
          </cell>
          <cell r="K9" t="str">
            <v>PSDA WS Welang Pekalen di Pasuruan</v>
          </cell>
          <cell r="L9" t="str">
            <v>Aktif</v>
          </cell>
          <cell r="M9" t="str">
            <v>Peilskal</v>
          </cell>
          <cell r="N9">
            <v>95.42</v>
          </cell>
          <cell r="O9">
            <v>125</v>
          </cell>
          <cell r="P9" t="str">
            <v>2- 78- 1- 1</v>
          </cell>
          <cell r="Q9" t="str">
            <v>Q = 0.1502(H+0.9310)^2.1767</v>
          </cell>
          <cell r="R9">
            <v>0.1502</v>
          </cell>
          <cell r="S9">
            <v>0.93100000000000005</v>
          </cell>
          <cell r="T9">
            <v>2.1766999999999999</v>
          </cell>
        </row>
        <row r="10">
          <cell r="A10" t="str">
            <v>PDA031402</v>
          </cell>
          <cell r="B10" t="str">
            <v>Watestani</v>
          </cell>
          <cell r="C10" t="str">
            <v>K. Laweyan</v>
          </cell>
          <cell r="D10" t="str">
            <v>K. Laweyan</v>
          </cell>
          <cell r="E10" t="str">
            <v>Jorongan</v>
          </cell>
          <cell r="F10" t="str">
            <v>Nguling</v>
          </cell>
          <cell r="G10" t="str">
            <v>Pasuruan</v>
          </cell>
          <cell r="H10" t="str">
            <v>Jawa Timur</v>
          </cell>
          <cell r="I10">
            <v>113.07456000000001</v>
          </cell>
          <cell r="J10">
            <v>-7.72342</v>
          </cell>
          <cell r="K10" t="str">
            <v>PSDA WS Welang Pekalen di Pasuruan</v>
          </cell>
          <cell r="L10" t="str">
            <v>Aktif</v>
          </cell>
          <cell r="M10" t="str">
            <v>Peilskal</v>
          </cell>
          <cell r="N10">
            <v>73.900000000000006</v>
          </cell>
          <cell r="O10">
            <v>10</v>
          </cell>
          <cell r="P10" t="str">
            <v>3- 20- 6- 4</v>
          </cell>
          <cell r="Q10" t="str">
            <v>-</v>
          </cell>
        </row>
        <row r="11">
          <cell r="A11" t="str">
            <v>PDA031403</v>
          </cell>
          <cell r="B11" t="str">
            <v>Warungdowo</v>
          </cell>
          <cell r="C11" t="str">
            <v>K. Gembong</v>
          </cell>
          <cell r="D11" t="str">
            <v>K. Gembong</v>
          </cell>
          <cell r="E11" t="str">
            <v>Warungdowo</v>
          </cell>
          <cell r="F11" t="str">
            <v>Pohjentrek</v>
          </cell>
          <cell r="G11" t="str">
            <v>Pasuruan</v>
          </cell>
          <cell r="H11" t="str">
            <v>Jawa Timur</v>
          </cell>
          <cell r="I11">
            <v>112.87958</v>
          </cell>
          <cell r="J11">
            <v>-7.6859900000000003</v>
          </cell>
          <cell r="K11" t="str">
            <v>PSDA WS Welang Pekalen di Pasuruan</v>
          </cell>
          <cell r="L11" t="str">
            <v>Aktif</v>
          </cell>
          <cell r="M11" t="str">
            <v>Otomatis Grafik + Peilskal</v>
          </cell>
          <cell r="N11">
            <v>38.9</v>
          </cell>
          <cell r="O11">
            <v>12.5</v>
          </cell>
          <cell r="P11" t="str">
            <v>2- 60- 1- 2</v>
          </cell>
          <cell r="Q11" t="str">
            <v>Q= 0.9476(H+0.6900)^2.8</v>
          </cell>
          <cell r="R11">
            <v>0.9476</v>
          </cell>
          <cell r="S11">
            <v>0.69</v>
          </cell>
          <cell r="T11">
            <v>2.8</v>
          </cell>
        </row>
        <row r="12">
          <cell r="A12" t="str">
            <v>PDA031404</v>
          </cell>
          <cell r="B12" t="str">
            <v>Sekarputih</v>
          </cell>
          <cell r="C12" t="str">
            <v>K. Petung</v>
          </cell>
          <cell r="D12" t="str">
            <v>K. Petung</v>
          </cell>
          <cell r="E12" t="str">
            <v>Sekarputih</v>
          </cell>
          <cell r="F12" t="str">
            <v>Gondangwetan</v>
          </cell>
          <cell r="G12" t="str">
            <v>Pasuruan</v>
          </cell>
          <cell r="H12" t="str">
            <v>Jawa Timur</v>
          </cell>
          <cell r="I12">
            <v>112.90143999999999</v>
          </cell>
          <cell r="J12">
            <v>-7.6897399999999996</v>
          </cell>
          <cell r="K12" t="str">
            <v>PSDA WS Welang Pekalen di Pasuruan</v>
          </cell>
          <cell r="L12" t="str">
            <v>Aktif</v>
          </cell>
          <cell r="M12" t="str">
            <v>Otomatis Logger + Peilskal</v>
          </cell>
          <cell r="N12">
            <v>139.52000000000001</v>
          </cell>
          <cell r="O12">
            <v>36</v>
          </cell>
          <cell r="P12" t="str">
            <v>2- 60- 1- 3</v>
          </cell>
          <cell r="Q12" t="str">
            <v>Q= 0.2536(H+0.0010)^2</v>
          </cell>
          <cell r="R12">
            <v>0.25359999999999999</v>
          </cell>
          <cell r="S12">
            <v>1E-3</v>
          </cell>
          <cell r="T12">
            <v>2</v>
          </cell>
        </row>
        <row r="13">
          <cell r="A13" t="str">
            <v>PDA031405</v>
          </cell>
          <cell r="B13" t="str">
            <v>Sidepan</v>
          </cell>
          <cell r="C13" t="str">
            <v>K. Rejoso Hulu</v>
          </cell>
          <cell r="D13" t="str">
            <v>K. Rejoso</v>
          </cell>
          <cell r="E13" t="str">
            <v>Sidepan</v>
          </cell>
          <cell r="F13" t="str">
            <v>Winongan</v>
          </cell>
          <cell r="G13" t="str">
            <v>Pasuruan</v>
          </cell>
          <cell r="H13" t="str">
            <v>Jawa Timur</v>
          </cell>
          <cell r="I13">
            <v>112.94</v>
          </cell>
          <cell r="J13">
            <v>-7.7497199999999999</v>
          </cell>
          <cell r="K13" t="str">
            <v>PSDA WS Welang Pekalen di Pasuruan</v>
          </cell>
          <cell r="L13" t="str">
            <v>Aktif</v>
          </cell>
          <cell r="M13" t="str">
            <v>Otomatis Logger + Peilskal</v>
          </cell>
          <cell r="N13">
            <v>51.16</v>
          </cell>
          <cell r="O13">
            <v>12.5</v>
          </cell>
          <cell r="P13" t="str">
            <v>2- 60- 1- 0</v>
          </cell>
          <cell r="Q13" t="str">
            <v>Q = 0.9867(H+0.0013)^2</v>
          </cell>
          <cell r="R13">
            <v>0.98670000000000002</v>
          </cell>
          <cell r="S13">
            <v>1.2999999999999999E-3</v>
          </cell>
          <cell r="T13">
            <v>2</v>
          </cell>
        </row>
        <row r="14">
          <cell r="A14" t="str">
            <v>PDA031406</v>
          </cell>
          <cell r="B14" t="str">
            <v>Winongan Lor</v>
          </cell>
          <cell r="C14" t="str">
            <v>K. Rejoso Hilir</v>
          </cell>
          <cell r="D14" t="str">
            <v>K. Rejoso</v>
          </cell>
          <cell r="E14" t="str">
            <v>Winonganlor</v>
          </cell>
          <cell r="F14" t="str">
            <v>Winongan</v>
          </cell>
          <cell r="G14" t="str">
            <v>Pasuruan</v>
          </cell>
          <cell r="H14" t="str">
            <v>Jawa Timur</v>
          </cell>
          <cell r="I14">
            <v>112.96957</v>
          </cell>
          <cell r="J14">
            <v>-7.7213000000000003</v>
          </cell>
          <cell r="K14" t="str">
            <v>PSDA WS Welang Pekalen di Pasuruan</v>
          </cell>
          <cell r="L14" t="str">
            <v>Aktif</v>
          </cell>
          <cell r="M14" t="str">
            <v>Otomatis Grafik + Peilskal</v>
          </cell>
          <cell r="N14">
            <v>156.34</v>
          </cell>
          <cell r="O14">
            <v>28</v>
          </cell>
          <cell r="P14" t="str">
            <v>2- 60- 1- 1</v>
          </cell>
          <cell r="Q14" t="str">
            <v>Q = 5.0128(H+0.0834)^2</v>
          </cell>
          <cell r="R14">
            <v>5.0128000000000004</v>
          </cell>
          <cell r="S14">
            <v>8.3400000000000002E-2</v>
          </cell>
          <cell r="T14">
            <v>2</v>
          </cell>
        </row>
        <row r="15">
          <cell r="A15" t="str">
            <v>PDA031407</v>
          </cell>
          <cell r="B15" t="str">
            <v>Selowongko</v>
          </cell>
          <cell r="C15" t="str">
            <v>K. Welang Tengah</v>
          </cell>
          <cell r="D15" t="str">
            <v>K. Welang</v>
          </cell>
          <cell r="E15" t="str">
            <v>Kademungan</v>
          </cell>
          <cell r="F15" t="str">
            <v>Kejayan</v>
          </cell>
          <cell r="G15" t="str">
            <v>Pasuruan</v>
          </cell>
          <cell r="H15" t="str">
            <v>Jawa Timur</v>
          </cell>
          <cell r="I15">
            <v>112.781734</v>
          </cell>
          <cell r="J15">
            <v>-7.773307</v>
          </cell>
          <cell r="K15" t="str">
            <v>PSDA WS Welang Pekalen di Pasuruan</v>
          </cell>
          <cell r="L15" t="str">
            <v>Aktif</v>
          </cell>
          <cell r="M15" t="str">
            <v>Telemetri + Peilskal</v>
          </cell>
          <cell r="N15">
            <v>382</v>
          </cell>
          <cell r="O15">
            <v>34</v>
          </cell>
          <cell r="P15" t="str">
            <v>2- 59- 1- 2</v>
          </cell>
          <cell r="Q15" t="str">
            <v>Q = 75.2388(H+0.0220)^2</v>
          </cell>
          <cell r="R15">
            <v>75.238799999999998</v>
          </cell>
          <cell r="S15">
            <v>2.2000000000000001E-3</v>
          </cell>
          <cell r="T15">
            <v>2</v>
          </cell>
        </row>
        <row r="16">
          <cell r="A16" t="str">
            <v>PDA031408</v>
          </cell>
          <cell r="B16" t="str">
            <v>Purwodadi</v>
          </cell>
          <cell r="C16" t="str">
            <v>K. Welang Hulu</v>
          </cell>
          <cell r="D16" t="str">
            <v>K. Welang</v>
          </cell>
          <cell r="E16" t="str">
            <v>Purwodadi</v>
          </cell>
          <cell r="F16" t="str">
            <v>Purwodadi</v>
          </cell>
          <cell r="G16" t="str">
            <v>Pasuruan</v>
          </cell>
          <cell r="H16" t="str">
            <v>Jawa Timur</v>
          </cell>
          <cell r="I16">
            <v>112.746</v>
          </cell>
          <cell r="J16">
            <v>-7.8037599999999996</v>
          </cell>
          <cell r="K16" t="str">
            <v>PSDA WS Welang Pekalen di Pasuruan</v>
          </cell>
          <cell r="L16" t="str">
            <v>Aktif</v>
          </cell>
          <cell r="M16" t="str">
            <v>Otomatis Logger + Peilskal</v>
          </cell>
          <cell r="N16">
            <v>103.33</v>
          </cell>
          <cell r="O16">
            <v>307</v>
          </cell>
          <cell r="P16" t="str">
            <v>2- 59- 1- 1</v>
          </cell>
          <cell r="Q16" t="str">
            <v>Q = 3.2302(H-0.0118)^2</v>
          </cell>
          <cell r="R16">
            <v>3.2302</v>
          </cell>
          <cell r="S16">
            <v>1.18E-2</v>
          </cell>
          <cell r="T16">
            <v>2</v>
          </cell>
        </row>
        <row r="17">
          <cell r="A17" t="str">
            <v>PDA031409</v>
          </cell>
          <cell r="B17" t="str">
            <v>Dhompo</v>
          </cell>
          <cell r="C17" t="str">
            <v>K. Welang Hilir</v>
          </cell>
          <cell r="D17" t="str">
            <v>K. Welang</v>
          </cell>
          <cell r="E17" t="str">
            <v>Dhompo</v>
          </cell>
          <cell r="F17" t="str">
            <v>Kraton</v>
          </cell>
          <cell r="G17" t="str">
            <v>Pasuruan</v>
          </cell>
          <cell r="H17" t="str">
            <v>Jawa Timur</v>
          </cell>
          <cell r="I17">
            <v>112.86138888888888</v>
          </cell>
          <cell r="J17">
            <v>-7.6577777777777802</v>
          </cell>
          <cell r="K17" t="str">
            <v>PSDA WS Welang Pekalen di Pasuruan</v>
          </cell>
          <cell r="L17" t="str">
            <v>Aktif</v>
          </cell>
          <cell r="M17" t="str">
            <v>Otomatis Logger + Peilskal</v>
          </cell>
          <cell r="N17">
            <v>208.74</v>
          </cell>
          <cell r="O17">
            <v>34</v>
          </cell>
          <cell r="P17" t="str">
            <v>2- 59- 1- 2</v>
          </cell>
          <cell r="Q17" t="str">
            <v>Q = 9.9714(H-0.0136)^2</v>
          </cell>
          <cell r="R17">
            <v>9.9713999999999992</v>
          </cell>
          <cell r="S17">
            <v>1.3599999999999999E-2</v>
          </cell>
          <cell r="T17">
            <v>2</v>
          </cell>
        </row>
        <row r="18">
          <cell r="A18" t="str">
            <v>PDA060201</v>
          </cell>
          <cell r="B18" t="str">
            <v>Ngebel-Keluar</v>
          </cell>
          <cell r="C18" t="str">
            <v>Telaga Ngebel</v>
          </cell>
          <cell r="D18" t="str">
            <v>Bengawan Solo</v>
          </cell>
          <cell r="E18" t="str">
            <v>Ngebel</v>
          </cell>
          <cell r="F18" t="str">
            <v>Ngebel</v>
          </cell>
          <cell r="G18" t="str">
            <v>Ponorogo</v>
          </cell>
          <cell r="H18" t="str">
            <v>Jawa Timur</v>
          </cell>
          <cell r="I18">
            <v>111.622789</v>
          </cell>
          <cell r="J18">
            <v>-7.7898769999999997</v>
          </cell>
          <cell r="K18" t="str">
            <v>PSDA WS Bengawan Solo Korwil Madiun</v>
          </cell>
          <cell r="L18" t="str">
            <v>Aktif</v>
          </cell>
          <cell r="M18" t="str">
            <v>Peilskal</v>
          </cell>
          <cell r="N18">
            <v>1.8</v>
          </cell>
          <cell r="O18">
            <v>753</v>
          </cell>
          <cell r="P18" t="str">
            <v>2- 55- 8- 8</v>
          </cell>
          <cell r="Q18" t="str">
            <v>-</v>
          </cell>
        </row>
        <row r="19">
          <cell r="A19" t="str">
            <v>PDA060202</v>
          </cell>
          <cell r="B19" t="str">
            <v>Talun</v>
          </cell>
          <cell r="C19" t="str">
            <v>Telaga Ngebel</v>
          </cell>
          <cell r="D19" t="str">
            <v>Bengawan Solo</v>
          </cell>
          <cell r="E19" t="str">
            <v>Ngebel</v>
          </cell>
          <cell r="F19" t="str">
            <v>Ngebel</v>
          </cell>
          <cell r="G19" t="str">
            <v>Ponorogo</v>
          </cell>
          <cell r="H19" t="str">
            <v>Jawa Timur</v>
          </cell>
          <cell r="I19">
            <v>111.638598</v>
          </cell>
          <cell r="J19">
            <v>-7.7984159999999996</v>
          </cell>
          <cell r="K19" t="str">
            <v>PSDA WS Bengawan Solo Korwil Madiun</v>
          </cell>
          <cell r="L19" t="str">
            <v>Aktif</v>
          </cell>
          <cell r="M19" t="str">
            <v>Peilskal</v>
          </cell>
          <cell r="N19">
            <v>1.8</v>
          </cell>
          <cell r="O19">
            <v>753</v>
          </cell>
          <cell r="P19" t="str">
            <v>2- 55- 8- 6</v>
          </cell>
          <cell r="Q19" t="str">
            <v>-</v>
          </cell>
        </row>
        <row r="20">
          <cell r="A20" t="str">
            <v>PDA060203</v>
          </cell>
          <cell r="B20" t="str">
            <v>Ngebel-Masuk</v>
          </cell>
          <cell r="C20" t="str">
            <v>Telaga Ngebel</v>
          </cell>
          <cell r="D20" t="str">
            <v>Bengawan Solo</v>
          </cell>
          <cell r="E20" t="str">
            <v>Ngebel</v>
          </cell>
          <cell r="F20" t="str">
            <v>Ngebel</v>
          </cell>
          <cell r="G20" t="str">
            <v>Ponorogo</v>
          </cell>
          <cell r="H20" t="str">
            <v>Jawa Timur</v>
          </cell>
          <cell r="I20">
            <v>111.628546</v>
          </cell>
          <cell r="J20">
            <v>-7.8041029999999996</v>
          </cell>
          <cell r="K20" t="str">
            <v>PSDA WS Bengawan Solo Korwil Madiun</v>
          </cell>
          <cell r="L20" t="str">
            <v>Aktif</v>
          </cell>
          <cell r="M20" t="str">
            <v>Peilskal</v>
          </cell>
          <cell r="N20">
            <v>1.8</v>
          </cell>
          <cell r="O20">
            <v>753</v>
          </cell>
          <cell r="P20" t="str">
            <v>2- 55- 8- 7</v>
          </cell>
          <cell r="Q20" t="str">
            <v>-</v>
          </cell>
        </row>
        <row r="21">
          <cell r="A21" t="str">
            <v>PDA060204</v>
          </cell>
          <cell r="B21" t="str">
            <v>Jenangan</v>
          </cell>
          <cell r="C21" t="str">
            <v>K. Asin</v>
          </cell>
          <cell r="D21" t="str">
            <v>K. Madiun - Bengawan Solo</v>
          </cell>
          <cell r="E21" t="str">
            <v>Jenangan</v>
          </cell>
          <cell r="F21" t="str">
            <v>Jenangan</v>
          </cell>
          <cell r="G21" t="str">
            <v>Ponorogo</v>
          </cell>
          <cell r="H21" t="str">
            <v>Jawa Timur</v>
          </cell>
          <cell r="I21">
            <v>111.452187</v>
          </cell>
          <cell r="J21">
            <v>-7.7818740000000002</v>
          </cell>
          <cell r="K21" t="str">
            <v>PSDA WS Bengawan Solo Korwil Madiun</v>
          </cell>
          <cell r="L21" t="str">
            <v>Aktif</v>
          </cell>
          <cell r="M21" t="str">
            <v>Peilskal</v>
          </cell>
          <cell r="N21">
            <v>100.8</v>
          </cell>
          <cell r="O21">
            <v>95</v>
          </cell>
          <cell r="P21" t="str">
            <v>20- 80- 1-11</v>
          </cell>
          <cell r="Q21" t="str">
            <v>Q = 17.979(H+0.07)^2.158</v>
          </cell>
          <cell r="R21">
            <v>17.978999999999999</v>
          </cell>
          <cell r="S21">
            <v>7.0000000000000007E-2</v>
          </cell>
          <cell r="T21">
            <v>2.1579999999999999</v>
          </cell>
        </row>
        <row r="22">
          <cell r="A22" t="str">
            <v>PDA061901</v>
          </cell>
          <cell r="B22" t="str">
            <v>Nambangan</v>
          </cell>
          <cell r="C22" t="str">
            <v>K. Madiun</v>
          </cell>
          <cell r="D22" t="str">
            <v>Bengawan Solo</v>
          </cell>
          <cell r="E22" t="str">
            <v>Nambangan</v>
          </cell>
          <cell r="F22" t="str">
            <v>Manguharjo</v>
          </cell>
          <cell r="G22" t="str">
            <v>Madiun Kota</v>
          </cell>
          <cell r="H22" t="str">
            <v>Jawa Timur</v>
          </cell>
          <cell r="I22">
            <v>111.511504</v>
          </cell>
          <cell r="J22">
            <v>-7.635205</v>
          </cell>
          <cell r="K22" t="str">
            <v>PSDA WS Bengawan Solo Korwil Madiun</v>
          </cell>
          <cell r="L22" t="str">
            <v>Aktif</v>
          </cell>
          <cell r="M22" t="str">
            <v>Peilskal</v>
          </cell>
          <cell r="N22">
            <v>3404.15</v>
          </cell>
          <cell r="O22">
            <v>68</v>
          </cell>
          <cell r="P22" t="str">
            <v>2- 55-10- 8</v>
          </cell>
          <cell r="Q22" t="str">
            <v>Q = 14.315(H-0.02)^1.309</v>
          </cell>
          <cell r="R22">
            <v>14.315</v>
          </cell>
          <cell r="S22">
            <v>-0.02</v>
          </cell>
          <cell r="T22">
            <v>1.3089999999999999</v>
          </cell>
        </row>
        <row r="23">
          <cell r="A23" t="str">
            <v>PDA061902</v>
          </cell>
          <cell r="B23" t="str">
            <v>Balerejo</v>
          </cell>
          <cell r="C23" t="str">
            <v>K. Jeroan</v>
          </cell>
          <cell r="D23" t="str">
            <v>K. Madiun - Bengawan Solo</v>
          </cell>
          <cell r="E23" t="str">
            <v>Balerejo</v>
          </cell>
          <cell r="F23" t="str">
            <v>Balerejo</v>
          </cell>
          <cell r="G23" t="str">
            <v>Madiun</v>
          </cell>
          <cell r="H23" t="str">
            <v>Jawa Timur</v>
          </cell>
          <cell r="I23">
            <v>111.58093</v>
          </cell>
          <cell r="J23">
            <v>-7.5525339999999996</v>
          </cell>
          <cell r="K23" t="str">
            <v>PSDA WS Bengawan Solo Korwil Madiun</v>
          </cell>
          <cell r="L23" t="str">
            <v>Aktif</v>
          </cell>
          <cell r="M23" t="str">
            <v>Peilskal</v>
          </cell>
          <cell r="N23">
            <v>276</v>
          </cell>
          <cell r="O23">
            <v>59</v>
          </cell>
          <cell r="P23" t="str">
            <v>2- 55-10-10</v>
          </cell>
          <cell r="Q23" t="str">
            <v>2.711(H+0.16)^3.634</v>
          </cell>
          <cell r="R23">
            <v>2.7109999999999999</v>
          </cell>
          <cell r="S23">
            <v>0.16</v>
          </cell>
          <cell r="T23">
            <v>3.6339999999999999</v>
          </cell>
        </row>
        <row r="24">
          <cell r="A24" t="str">
            <v>PDA071001</v>
          </cell>
          <cell r="B24" t="str">
            <v>Jambewangi</v>
          </cell>
          <cell r="C24" t="str">
            <v>K. Setail</v>
          </cell>
          <cell r="D24" t="str">
            <v>K. Setail</v>
          </cell>
          <cell r="E24" t="str">
            <v>Jambewangi</v>
          </cell>
          <cell r="F24" t="str">
            <v>Sempu</v>
          </cell>
          <cell r="G24" t="str">
            <v>Banyuwangi</v>
          </cell>
          <cell r="H24" t="str">
            <v>Jawa Timur</v>
          </cell>
          <cell r="I24">
            <v>114.13531</v>
          </cell>
          <cell r="J24">
            <v>-8.2866199999999992</v>
          </cell>
          <cell r="K24" t="str">
            <v>PSDA WS Sampean Setail di Bondowoso</v>
          </cell>
          <cell r="L24" t="str">
            <v>Aktif</v>
          </cell>
          <cell r="M24" t="str">
            <v>Peilskal</v>
          </cell>
          <cell r="N24">
            <v>34</v>
          </cell>
          <cell r="O24">
            <v>89</v>
          </cell>
          <cell r="P24" t="str">
            <v>2- 69- 1- 1</v>
          </cell>
          <cell r="Q24" t="str">
            <v>Q = 12.4783(H+0.181)^1.5</v>
          </cell>
          <cell r="R24">
            <v>12.478300000000001</v>
          </cell>
          <cell r="S24">
            <v>0.18099999999999999</v>
          </cell>
          <cell r="T24">
            <v>1.5</v>
          </cell>
        </row>
        <row r="25">
          <cell r="A25" t="str">
            <v>PDA071002</v>
          </cell>
          <cell r="B25" t="str">
            <v>Kradenan</v>
          </cell>
          <cell r="C25" t="str">
            <v>K. Setail</v>
          </cell>
          <cell r="D25" t="str">
            <v>K. Setail</v>
          </cell>
          <cell r="E25" t="str">
            <v>Krandenan</v>
          </cell>
          <cell r="F25" t="str">
            <v>Benculuk</v>
          </cell>
          <cell r="G25" t="str">
            <v>Banyuwangi</v>
          </cell>
          <cell r="H25" t="str">
            <v>Jawa Timur</v>
          </cell>
          <cell r="I25">
            <v>114.267292</v>
          </cell>
          <cell r="J25">
            <v>-8.4843069999999994</v>
          </cell>
          <cell r="K25" t="str">
            <v>PSDA WS Sampean Setail di Bondowoso</v>
          </cell>
          <cell r="L25" t="str">
            <v>Aktif</v>
          </cell>
          <cell r="M25" t="str">
            <v>Peilskal</v>
          </cell>
          <cell r="N25">
            <v>268</v>
          </cell>
          <cell r="O25">
            <v>40</v>
          </cell>
          <cell r="P25" t="str">
            <v xml:space="preserve"> 2- 69- 1- 2</v>
          </cell>
          <cell r="Q25" t="str">
            <v>Q = 4.1543(H+0.461)^1.8</v>
          </cell>
          <cell r="R25">
            <v>4.1543000000000001</v>
          </cell>
          <cell r="S25">
            <v>0.46100000000000002</v>
          </cell>
          <cell r="T25">
            <v>1.8</v>
          </cell>
        </row>
        <row r="26">
          <cell r="A26" t="str">
            <v>PDA071003</v>
          </cell>
          <cell r="B26" t="str">
            <v>Srono</v>
          </cell>
          <cell r="C26" t="str">
            <v>K. Bomo Atas</v>
          </cell>
          <cell r="D26" t="str">
            <v>K. Bomo</v>
          </cell>
          <cell r="E26" t="str">
            <v>Parijatah</v>
          </cell>
          <cell r="F26" t="str">
            <v>Srono</v>
          </cell>
          <cell r="G26" t="str">
            <v>Banyuwangi</v>
          </cell>
          <cell r="H26" t="str">
            <v>Jawa Timur</v>
          </cell>
          <cell r="I26">
            <v>114.24163</v>
          </cell>
          <cell r="J26">
            <v>-8.3478200000000005</v>
          </cell>
          <cell r="K26" t="str">
            <v>PSDA WS Sampean Setail di Bondowoso</v>
          </cell>
          <cell r="L26" t="str">
            <v>Aktif</v>
          </cell>
          <cell r="M26" t="str">
            <v>Peilskal</v>
          </cell>
          <cell r="N26">
            <v>80</v>
          </cell>
          <cell r="O26">
            <v>114</v>
          </cell>
          <cell r="P26" t="str">
            <v>2- 77- 1- 2</v>
          </cell>
          <cell r="Q26" t="str">
            <v>Q = 2.4596(H+0.243)^1.5</v>
          </cell>
          <cell r="R26">
            <v>2.4596</v>
          </cell>
          <cell r="S26">
            <v>0.24299999999999999</v>
          </cell>
          <cell r="T26">
            <v>1.5</v>
          </cell>
        </row>
        <row r="27">
          <cell r="A27" t="str">
            <v>PDA071004</v>
          </cell>
          <cell r="B27" t="str">
            <v>Rogojampi</v>
          </cell>
          <cell r="C27" t="str">
            <v>K. Bomo bawah</v>
          </cell>
          <cell r="D27" t="str">
            <v>K. Bomo</v>
          </cell>
          <cell r="E27" t="str">
            <v>Rogojampi</v>
          </cell>
          <cell r="F27" t="str">
            <v>Mangir</v>
          </cell>
          <cell r="G27" t="str">
            <v>Banyuwangi</v>
          </cell>
          <cell r="H27" t="str">
            <v>Jawa Timur</v>
          </cell>
          <cell r="I27">
            <v>114.285068</v>
          </cell>
          <cell r="J27">
            <v>-8.3594899999999992</v>
          </cell>
          <cell r="K27" t="str">
            <v>PSDA WS Sampean Setail di Bondowoso</v>
          </cell>
          <cell r="L27" t="str">
            <v>Aktif</v>
          </cell>
          <cell r="M27" t="str">
            <v>Peilskal</v>
          </cell>
          <cell r="N27">
            <v>118</v>
          </cell>
          <cell r="O27">
            <v>59</v>
          </cell>
          <cell r="P27" t="str">
            <v xml:space="preserve"> 2- 77- 1- 1</v>
          </cell>
          <cell r="Q27" t="str">
            <v>Q = 13.7626(H+0.238)^2</v>
          </cell>
          <cell r="R27">
            <v>13.762600000000001</v>
          </cell>
          <cell r="S27">
            <v>0.23799999999999999</v>
          </cell>
          <cell r="T27">
            <v>2</v>
          </cell>
        </row>
        <row r="28">
          <cell r="A28" t="str">
            <v>PDA071005</v>
          </cell>
          <cell r="B28" t="str">
            <v>Jolondoro</v>
          </cell>
          <cell r="C28" t="str">
            <v>K. Baru</v>
          </cell>
          <cell r="D28" t="str">
            <v>K. Baru</v>
          </cell>
          <cell r="E28" t="str">
            <v>Jolondoro</v>
          </cell>
          <cell r="F28" t="str">
            <v>Glenmore</v>
          </cell>
          <cell r="G28" t="str">
            <v>Banyuwangi</v>
          </cell>
          <cell r="H28" t="str">
            <v>Jawa Timur</v>
          </cell>
          <cell r="I28">
            <v>114.03722999999999</v>
          </cell>
          <cell r="J28">
            <v>-8.3570600000000006</v>
          </cell>
          <cell r="K28" t="str">
            <v>PSDA WS Bondoyudo Baru di Lumajang</v>
          </cell>
          <cell r="L28" t="str">
            <v>Aktif</v>
          </cell>
          <cell r="M28" t="str">
            <v>Peilskal</v>
          </cell>
          <cell r="N28">
            <v>147</v>
          </cell>
          <cell r="O28">
            <v>188</v>
          </cell>
          <cell r="P28" t="str">
            <v>2- 70- 2- 2</v>
          </cell>
          <cell r="Q28" t="str">
            <v>Q = 21.2385(H+0.363)^1.5</v>
          </cell>
          <cell r="R28">
            <v>21.238499999999998</v>
          </cell>
          <cell r="S28">
            <v>0.36299999999999999</v>
          </cell>
          <cell r="T28">
            <v>1.5</v>
          </cell>
        </row>
        <row r="29">
          <cell r="A29" t="str">
            <v>PDA071006</v>
          </cell>
          <cell r="B29" t="str">
            <v>Karangdoro</v>
          </cell>
          <cell r="C29" t="str">
            <v>K. Baru</v>
          </cell>
          <cell r="D29" t="str">
            <v>K. Baru</v>
          </cell>
          <cell r="E29" t="str">
            <v>Karangdoro</v>
          </cell>
          <cell r="F29" t="str">
            <v>Gambiran</v>
          </cell>
          <cell r="G29" t="str">
            <v>Banyuwangi</v>
          </cell>
          <cell r="H29" t="str">
            <v>Jawa Timur</v>
          </cell>
          <cell r="I29">
            <v>114.09881</v>
          </cell>
          <cell r="J29">
            <v>-8.4346399999999999</v>
          </cell>
          <cell r="K29" t="str">
            <v>PSDA WS Bondoyudo Baru di Lumajang</v>
          </cell>
          <cell r="L29" t="str">
            <v>Aktif</v>
          </cell>
          <cell r="M29" t="str">
            <v>Peilskal</v>
          </cell>
          <cell r="N29">
            <v>455</v>
          </cell>
          <cell r="O29">
            <v>101</v>
          </cell>
          <cell r="P29" t="str">
            <v>2- 70- 2- 1</v>
          </cell>
          <cell r="Q29" t="str">
            <v>Q = 71.6592(H+0.022)^1.3</v>
          </cell>
          <cell r="R29">
            <v>71.659199999999998</v>
          </cell>
          <cell r="S29">
            <v>2.1999999999999999E-2</v>
          </cell>
          <cell r="T29">
            <v>1.3</v>
          </cell>
        </row>
        <row r="30">
          <cell r="A30" t="str">
            <v>PDA071101</v>
          </cell>
          <cell r="B30" t="str">
            <v>Tenggarang</v>
          </cell>
          <cell r="C30" t="str">
            <v>K. Sampean</v>
          </cell>
          <cell r="D30" t="str">
            <v>K. Sampean</v>
          </cell>
          <cell r="E30" t="str">
            <v>Tenggarang</v>
          </cell>
          <cell r="F30" t="str">
            <v>Tenggarang</v>
          </cell>
          <cell r="G30" t="str">
            <v>Bondowoso</v>
          </cell>
          <cell r="H30" t="str">
            <v>Jawa Timur</v>
          </cell>
          <cell r="I30">
            <v>113.886833</v>
          </cell>
          <cell r="J30">
            <v>-7.8755329999999999</v>
          </cell>
          <cell r="K30" t="str">
            <v>PSDA WS Sampean Setail di Bondowoso</v>
          </cell>
          <cell r="L30" t="str">
            <v>Aktif</v>
          </cell>
          <cell r="M30" t="str">
            <v>Peilskal</v>
          </cell>
          <cell r="N30">
            <v>612.29999999999995</v>
          </cell>
          <cell r="O30">
            <v>199</v>
          </cell>
          <cell r="P30" t="str">
            <v>2- 65- 2- 1</v>
          </cell>
          <cell r="Q30" t="str">
            <v>Q = 3.609(H+0.252)^1.3</v>
          </cell>
          <cell r="R30">
            <v>3.609</v>
          </cell>
          <cell r="S30">
            <v>0.252</v>
          </cell>
          <cell r="T30">
            <v>1.3</v>
          </cell>
        </row>
        <row r="31">
          <cell r="A31" t="str">
            <v>PDA071102</v>
          </cell>
          <cell r="B31" t="str">
            <v>Kloposawit</v>
          </cell>
          <cell r="C31" t="str">
            <v>K. Sampean</v>
          </cell>
          <cell r="D31" t="str">
            <v>K. Sampean</v>
          </cell>
          <cell r="E31" t="str">
            <v>Kloposawit</v>
          </cell>
          <cell r="F31" t="str">
            <v>Wonosari</v>
          </cell>
          <cell r="G31" t="str">
            <v>Bondowoso</v>
          </cell>
          <cell r="H31" t="str">
            <v>Jawa Timur</v>
          </cell>
          <cell r="I31">
            <v>113.92230000000001</v>
          </cell>
          <cell r="J31">
            <v>-7.8486330000000004</v>
          </cell>
          <cell r="K31" t="str">
            <v>PSDA WS Sampean Setail di Bondowoso</v>
          </cell>
          <cell r="L31" t="str">
            <v>Aktif</v>
          </cell>
          <cell r="M31" t="str">
            <v>Peilskal</v>
          </cell>
          <cell r="N31">
            <v>693.5</v>
          </cell>
          <cell r="O31">
            <v>151</v>
          </cell>
          <cell r="P31" t="str">
            <v>2- 65- 2- 4</v>
          </cell>
          <cell r="Q31" t="str">
            <v>Q = 22.5086(H+0.452)^1.7</v>
          </cell>
          <cell r="R31">
            <v>22.508600000000001</v>
          </cell>
          <cell r="S31">
            <v>0.45200000000000001</v>
          </cell>
          <cell r="T31">
            <v>1.7</v>
          </cell>
        </row>
        <row r="32">
          <cell r="A32" t="str">
            <v>PDA071103</v>
          </cell>
          <cell r="B32" t="str">
            <v>Paguan</v>
          </cell>
          <cell r="C32" t="str">
            <v>K. Sampean</v>
          </cell>
          <cell r="D32" t="str">
            <v>K. Sampean</v>
          </cell>
          <cell r="E32" t="str">
            <v>Paguan</v>
          </cell>
          <cell r="F32" t="str">
            <v>TelagaAmpel</v>
          </cell>
          <cell r="G32" t="str">
            <v>Bondowoso</v>
          </cell>
          <cell r="H32" t="str">
            <v>Jawa Timur</v>
          </cell>
          <cell r="I32">
            <v>113.871668</v>
          </cell>
          <cell r="J32">
            <v>-7.8937910000000002</v>
          </cell>
          <cell r="K32" t="str">
            <v>PSDA WS Sampean Setail di Bondowoso</v>
          </cell>
          <cell r="L32" t="str">
            <v>Aktif</v>
          </cell>
          <cell r="M32" t="str">
            <v>Peilskal</v>
          </cell>
          <cell r="N32">
            <v>506.8</v>
          </cell>
          <cell r="O32">
            <v>221</v>
          </cell>
          <cell r="P32" t="str">
            <v>-</v>
          </cell>
          <cell r="Q32" t="str">
            <v>Q = 13.1311(H+0.156)^1.2</v>
          </cell>
          <cell r="R32">
            <v>22.1311</v>
          </cell>
          <cell r="S32">
            <v>0.156</v>
          </cell>
          <cell r="T32">
            <v>1.2</v>
          </cell>
        </row>
        <row r="33">
          <cell r="A33" t="str">
            <v>PDA071201</v>
          </cell>
          <cell r="B33" t="str">
            <v>Besuki</v>
          </cell>
          <cell r="C33" t="str">
            <v>K. Deluwang</v>
          </cell>
          <cell r="D33" t="str">
            <v>K. Deluwang</v>
          </cell>
          <cell r="E33" t="str">
            <v>Nangger</v>
          </cell>
          <cell r="F33" t="str">
            <v>Besuki</v>
          </cell>
          <cell r="G33" t="str">
            <v>Situbondo</v>
          </cell>
          <cell r="H33" t="str">
            <v>Jawa Timur</v>
          </cell>
          <cell r="I33">
            <v>113.71386</v>
          </cell>
          <cell r="J33">
            <v>-7.7333299999999996</v>
          </cell>
          <cell r="K33" t="str">
            <v>PSDA WS Sampean Setail di Bondowoso</v>
          </cell>
          <cell r="L33" t="str">
            <v>Aktif</v>
          </cell>
          <cell r="M33" t="str">
            <v>Peilskal</v>
          </cell>
          <cell r="N33">
            <v>170</v>
          </cell>
          <cell r="O33">
            <v>15</v>
          </cell>
          <cell r="P33" t="str">
            <v>2- 64- 1- 1</v>
          </cell>
          <cell r="Q33" t="str">
            <v>Q = 88.3616(H+0045)^1.2</v>
          </cell>
          <cell r="R33">
            <v>88.361599999999996</v>
          </cell>
          <cell r="S33">
            <v>4.4999999999999998E-2</v>
          </cell>
          <cell r="T33">
            <v>1.2</v>
          </cell>
        </row>
        <row r="34">
          <cell r="A34" t="str">
            <v>PDA071202</v>
          </cell>
          <cell r="B34" t="str">
            <v>Asembagus</v>
          </cell>
          <cell r="C34" t="str">
            <v>K. Banyuputih</v>
          </cell>
          <cell r="D34" t="str">
            <v>K. Banyuputih</v>
          </cell>
          <cell r="E34" t="str">
            <v>Bantal</v>
          </cell>
          <cell r="F34" t="str">
            <v>Asembagus</v>
          </cell>
          <cell r="G34" t="str">
            <v>Situbondo</v>
          </cell>
          <cell r="H34" t="str">
            <v>Jawa Timur</v>
          </cell>
          <cell r="I34">
            <v>114.235542</v>
          </cell>
          <cell r="J34">
            <v>-7.8166919999999998</v>
          </cell>
          <cell r="K34" t="str">
            <v>PSDA WS Sampean Setail di Bondowoso</v>
          </cell>
          <cell r="L34" t="str">
            <v>Aktif</v>
          </cell>
          <cell r="M34" t="str">
            <v>Peilskal</v>
          </cell>
          <cell r="N34">
            <v>210</v>
          </cell>
          <cell r="O34">
            <v>15</v>
          </cell>
          <cell r="P34" t="str">
            <v>2- 63- 1- 1</v>
          </cell>
          <cell r="Q34" t="str">
            <v>Q = 9.0855(H+0.511)^1.99</v>
          </cell>
          <cell r="R34">
            <v>9.0854999999999997</v>
          </cell>
          <cell r="S34">
            <v>0.51100000000000001</v>
          </cell>
          <cell r="T34">
            <v>1.99</v>
          </cell>
        </row>
        <row r="35">
          <cell r="A35" t="str">
            <v>PDA080801</v>
          </cell>
          <cell r="B35" t="str">
            <v>Sentul</v>
          </cell>
          <cell r="C35" t="str">
            <v>K. Asem</v>
          </cell>
          <cell r="D35" t="str">
            <v>K. Asem</v>
          </cell>
          <cell r="E35" t="str">
            <v>Sentul</v>
          </cell>
          <cell r="F35" t="str">
            <v>Sumbersuko</v>
          </cell>
          <cell r="G35" t="str">
            <v>Lumajang</v>
          </cell>
          <cell r="H35" t="str">
            <v>Jawa Timur</v>
          </cell>
          <cell r="I35">
            <v>113.16458900000001</v>
          </cell>
          <cell r="J35">
            <v>-8.1526700000000005</v>
          </cell>
          <cell r="K35" t="str">
            <v>PSDA WS Bondoyudo Baru di Lumajang</v>
          </cell>
          <cell r="L35" t="str">
            <v>Aktif</v>
          </cell>
          <cell r="M35" t="str">
            <v>Peilskal</v>
          </cell>
          <cell r="N35">
            <v>182.8</v>
          </cell>
          <cell r="O35">
            <v>127</v>
          </cell>
          <cell r="P35" t="str">
            <v>2- 74- 1- 1</v>
          </cell>
          <cell r="Q35" t="str">
            <v>Q = 19.534(H+0.190)^1.886</v>
          </cell>
          <cell r="R35">
            <v>19.533999999999999</v>
          </cell>
          <cell r="S35">
            <v>0.19</v>
          </cell>
          <cell r="T35">
            <v>1.8859999999999999</v>
          </cell>
        </row>
        <row r="36">
          <cell r="A36" t="str">
            <v>PDA080802</v>
          </cell>
          <cell r="B36" t="str">
            <v>Lempeni</v>
          </cell>
          <cell r="C36" t="str">
            <v>K. Mujur</v>
          </cell>
          <cell r="D36" t="str">
            <v>K. Mujur</v>
          </cell>
          <cell r="E36" t="str">
            <v>Lempeni</v>
          </cell>
          <cell r="F36" t="str">
            <v>Tempe</v>
          </cell>
          <cell r="G36" t="str">
            <v>Lumajang</v>
          </cell>
          <cell r="H36" t="str">
            <v>Jawa Timur</v>
          </cell>
          <cell r="I36">
            <v>113.162077</v>
          </cell>
          <cell r="J36">
            <v>-8.2155260000000006</v>
          </cell>
          <cell r="K36" t="str">
            <v>PSDA WS Bondoyudo Baru di Lumajang</v>
          </cell>
          <cell r="L36" t="str">
            <v>Aktif</v>
          </cell>
          <cell r="M36" t="str">
            <v>Peilskal</v>
          </cell>
          <cell r="N36">
            <v>149</v>
          </cell>
          <cell r="O36">
            <v>79</v>
          </cell>
          <cell r="P36" t="str">
            <v xml:space="preserve">2- 75- 1- 1    </v>
          </cell>
          <cell r="Q36" t="str">
            <v>Q = 8.833(H+0.070)^1.563</v>
          </cell>
          <cell r="R36">
            <v>8.8330000000000002</v>
          </cell>
          <cell r="S36">
            <v>7.0000000000000007E-2</v>
          </cell>
          <cell r="T36">
            <v>1.5629999999999999</v>
          </cell>
        </row>
        <row r="37">
          <cell r="A37" t="str">
            <v>PDA080803</v>
          </cell>
          <cell r="B37" t="str">
            <v>Wonorejo</v>
          </cell>
          <cell r="C37" t="str">
            <v>K. Bondoyudo</v>
          </cell>
          <cell r="D37" t="str">
            <v>K. Bondoyudo</v>
          </cell>
          <cell r="E37" t="str">
            <v>Wonorejo</v>
          </cell>
          <cell r="F37" t="str">
            <v>Wonorejo</v>
          </cell>
          <cell r="G37" t="str">
            <v>Lumajang</v>
          </cell>
          <cell r="H37" t="str">
            <v>Jawa Timur</v>
          </cell>
          <cell r="I37">
            <v>113.23711400000001</v>
          </cell>
          <cell r="J37">
            <v>-8.0814269999999997</v>
          </cell>
          <cell r="K37" t="str">
            <v>PSDA WS Bondoyudo Baru di Lumajang</v>
          </cell>
          <cell r="L37" t="str">
            <v>Aktif</v>
          </cell>
          <cell r="M37" t="str">
            <v>Peilskal</v>
          </cell>
          <cell r="N37">
            <v>179</v>
          </cell>
          <cell r="O37">
            <v>43</v>
          </cell>
          <cell r="P37" t="str">
            <v>2- 74- 2- 6</v>
          </cell>
          <cell r="Q37" t="str">
            <v>Q = 3.618 (H+0.718)^2.863</v>
          </cell>
          <cell r="R37">
            <v>3.6179999999999999</v>
          </cell>
          <cell r="S37">
            <v>0.71799999999999997</v>
          </cell>
          <cell r="T37">
            <v>2.863</v>
          </cell>
        </row>
        <row r="38">
          <cell r="A38" t="str">
            <v>PDA080901</v>
          </cell>
          <cell r="B38" t="str">
            <v>Rowotamtu</v>
          </cell>
          <cell r="C38" t="str">
            <v>K. Bedadung</v>
          </cell>
          <cell r="D38" t="str">
            <v>K. Bedadung</v>
          </cell>
          <cell r="E38" t="str">
            <v>Rowotampu</v>
          </cell>
          <cell r="F38" t="str">
            <v>Rambipuji</v>
          </cell>
          <cell r="G38" t="str">
            <v>Jember</v>
          </cell>
          <cell r="H38" t="str">
            <v>Jawa Timur</v>
          </cell>
          <cell r="I38">
            <v>113.59090999999999</v>
          </cell>
          <cell r="J38">
            <v>-8.2289250000000003</v>
          </cell>
          <cell r="K38" t="str">
            <v>PSDA WS Bondoyudo Baru di Lumajang</v>
          </cell>
          <cell r="L38" t="str">
            <v>Aktif</v>
          </cell>
          <cell r="M38" t="str">
            <v>Peilskal</v>
          </cell>
          <cell r="N38">
            <v>819</v>
          </cell>
          <cell r="O38">
            <v>41</v>
          </cell>
          <cell r="P38" t="str">
            <v>2- 72- 2- 1</v>
          </cell>
          <cell r="Q38" t="str">
            <v>Q = 10.956(H-0.090)^2.884</v>
          </cell>
          <cell r="R38">
            <v>10.956</v>
          </cell>
          <cell r="S38">
            <v>0.09</v>
          </cell>
          <cell r="T38">
            <v>2.8839999999999999</v>
          </cell>
        </row>
        <row r="39">
          <cell r="A39" t="str">
            <v>PDA080902</v>
          </cell>
          <cell r="B39" t="str">
            <v>Pakusari</v>
          </cell>
          <cell r="C39" t="str">
            <v>K. Mayang</v>
          </cell>
          <cell r="D39" t="str">
            <v>K. Mayang</v>
          </cell>
          <cell r="E39" t="str">
            <v>Kertosari</v>
          </cell>
          <cell r="F39" t="str">
            <v>Pakusari</v>
          </cell>
          <cell r="G39" t="str">
            <v>Jember</v>
          </cell>
          <cell r="H39" t="str">
            <v>Jawa Timur</v>
          </cell>
          <cell r="I39">
            <v>113.767556</v>
          </cell>
          <cell r="J39">
            <v>-8.1881819999999994</v>
          </cell>
          <cell r="K39" t="str">
            <v>PSDA WS Bondoyudo Baru di Lumajang</v>
          </cell>
          <cell r="L39" t="str">
            <v>Aktif</v>
          </cell>
          <cell r="M39" t="str">
            <v>Peilskal</v>
          </cell>
          <cell r="N39">
            <v>128</v>
          </cell>
          <cell r="O39">
            <v>135</v>
          </cell>
          <cell r="P39" t="str">
            <v>2- 71- 2- 3</v>
          </cell>
          <cell r="Q39" t="str">
            <v>-</v>
          </cell>
        </row>
        <row r="40">
          <cell r="A40" t="str">
            <v>PDA080903</v>
          </cell>
          <cell r="B40" t="str">
            <v>Curahtakir</v>
          </cell>
          <cell r="C40" t="str">
            <v>K. Sanen</v>
          </cell>
          <cell r="D40" t="str">
            <v>K. Mayang</v>
          </cell>
          <cell r="E40" t="str">
            <v>Curah takir</v>
          </cell>
          <cell r="F40" t="str">
            <v>Tempurejo</v>
          </cell>
          <cell r="G40" t="str">
            <v>Jember</v>
          </cell>
          <cell r="H40" t="str">
            <v>Jawa Timur</v>
          </cell>
          <cell r="I40">
            <v>113.723508</v>
          </cell>
          <cell r="J40">
            <v>-8.3661750000000001</v>
          </cell>
          <cell r="K40" t="str">
            <v>PSDA WS Bondoyudo Baru di Lumajang</v>
          </cell>
          <cell r="L40" t="str">
            <v>Aktif</v>
          </cell>
          <cell r="M40" t="str">
            <v>Peilskal</v>
          </cell>
          <cell r="N40">
            <v>282</v>
          </cell>
          <cell r="O40">
            <v>30</v>
          </cell>
          <cell r="P40" t="str">
            <v>2- 71- 2- 2</v>
          </cell>
          <cell r="Q40" t="str">
            <v>Q=22.817(H-0.297)^1.697</v>
          </cell>
          <cell r="R40">
            <v>22.817</v>
          </cell>
          <cell r="S40">
            <v>-0.29699999999999999</v>
          </cell>
          <cell r="T40">
            <v>1.6970000000000001</v>
          </cell>
        </row>
        <row r="41">
          <cell r="A41" t="str">
            <v>PDA080904</v>
          </cell>
          <cell r="B41" t="str">
            <v>Pondokwaluh</v>
          </cell>
          <cell r="C41" t="str">
            <v>K. Tanggul</v>
          </cell>
          <cell r="D41" t="str">
            <v>K. Tanggul</v>
          </cell>
          <cell r="E41" t="str">
            <v>Pondokwaluh</v>
          </cell>
          <cell r="F41" t="str">
            <v>Kencong</v>
          </cell>
          <cell r="G41" t="str">
            <v>Jember</v>
          </cell>
          <cell r="H41" t="str">
            <v>Jawa Timur</v>
          </cell>
          <cell r="I41">
            <v>113.40451899999999</v>
          </cell>
          <cell r="J41">
            <v>-8.1974750000000007</v>
          </cell>
          <cell r="K41" t="str">
            <v>PSDA WS Bondoyudo Baru di Lumajang</v>
          </cell>
          <cell r="L41" t="str">
            <v>Aktif</v>
          </cell>
          <cell r="M41" t="str">
            <v>Peilskal</v>
          </cell>
          <cell r="N41">
            <v>149</v>
          </cell>
          <cell r="O41">
            <v>18</v>
          </cell>
          <cell r="P41" t="str">
            <v>-</v>
          </cell>
          <cell r="Q41" t="str">
            <v>-</v>
          </cell>
        </row>
        <row r="42">
          <cell r="A42" t="str">
            <v>PDA092601</v>
          </cell>
          <cell r="B42" t="str">
            <v>Telok</v>
          </cell>
          <cell r="C42" t="str">
            <v>K. Blega</v>
          </cell>
          <cell r="D42" t="str">
            <v>K. Blega</v>
          </cell>
          <cell r="E42" t="str">
            <v>Telok</v>
          </cell>
          <cell r="F42" t="str">
            <v>Galis</v>
          </cell>
          <cell r="G42" t="str">
            <v>Bangkalan</v>
          </cell>
          <cell r="H42" t="str">
            <v>Jawa Timur</v>
          </cell>
          <cell r="I42">
            <v>112.993235</v>
          </cell>
          <cell r="J42">
            <v>-7.0888999999999998</v>
          </cell>
          <cell r="K42" t="str">
            <v>PSDA WS Kep. Madura di Pamekasan</v>
          </cell>
          <cell r="L42" t="str">
            <v>Aktif</v>
          </cell>
          <cell r="M42" t="str">
            <v>Peilskal</v>
          </cell>
          <cell r="N42">
            <v>141.4</v>
          </cell>
          <cell r="O42">
            <v>55</v>
          </cell>
          <cell r="P42" t="str">
            <v>2- 16- 1- 2</v>
          </cell>
          <cell r="Q42" t="str">
            <v>Q = 4.560(H+0.320)^1.998</v>
          </cell>
          <cell r="R42">
            <v>4.5599999999999996</v>
          </cell>
          <cell r="S42">
            <v>0.32</v>
          </cell>
          <cell r="T42">
            <v>1.998</v>
          </cell>
        </row>
        <row r="43">
          <cell r="A43" t="str">
            <v>PDA092701</v>
          </cell>
          <cell r="B43" t="str">
            <v>Banjar</v>
          </cell>
          <cell r="C43" t="str">
            <v>K. Klampis</v>
          </cell>
          <cell r="D43" t="str">
            <v>K. Klampis</v>
          </cell>
          <cell r="E43" t="str">
            <v>Banjar</v>
          </cell>
          <cell r="F43" t="str">
            <v>Kedundung</v>
          </cell>
          <cell r="G43" t="str">
            <v>Sampang</v>
          </cell>
          <cell r="H43" t="str">
            <v>Jawa Timur</v>
          </cell>
          <cell r="I43">
            <v>113.214389</v>
          </cell>
          <cell r="J43">
            <v>-7.080317</v>
          </cell>
          <cell r="K43" t="str">
            <v>PSDA WS Kep. Madura Bawean di Pamekasan</v>
          </cell>
          <cell r="L43" t="str">
            <v>Aktif</v>
          </cell>
          <cell r="M43" t="str">
            <v>Peilskal</v>
          </cell>
          <cell r="N43">
            <v>13</v>
          </cell>
          <cell r="O43">
            <v>50</v>
          </cell>
          <cell r="P43" t="str">
            <v>6- 14- 1- 2</v>
          </cell>
          <cell r="Q43" t="str">
            <v>Q= 2.895(H-0.170)^1.576</v>
          </cell>
          <cell r="R43">
            <v>2.895</v>
          </cell>
          <cell r="S43">
            <v>-0.17</v>
          </cell>
          <cell r="T43">
            <v>1.5760000000000001</v>
          </cell>
        </row>
        <row r="44">
          <cell r="A44" t="str">
            <v>PDA092702</v>
          </cell>
          <cell r="B44" t="str">
            <v>Tebanah</v>
          </cell>
          <cell r="C44" t="str">
            <v>K. Nipah</v>
          </cell>
          <cell r="D44" t="str">
            <v>K. Nipah</v>
          </cell>
          <cell r="E44" t="str">
            <v>Tebanah</v>
          </cell>
          <cell r="F44" t="str">
            <v>Banyuates</v>
          </cell>
          <cell r="G44" t="str">
            <v>Sampang</v>
          </cell>
          <cell r="H44" t="str">
            <v>Jawa Timur</v>
          </cell>
          <cell r="I44">
            <v>113.200225</v>
          </cell>
          <cell r="J44">
            <v>-6.9273629999999997</v>
          </cell>
          <cell r="K44" t="str">
            <v>PSDA WS Kep. Madura Bawean di Pamekasan</v>
          </cell>
          <cell r="L44" t="str">
            <v>Aktif</v>
          </cell>
          <cell r="M44" t="str">
            <v>Otomatis Logger + Peilskal</v>
          </cell>
          <cell r="N44">
            <v>47.6</v>
          </cell>
          <cell r="O44">
            <v>15</v>
          </cell>
          <cell r="P44" t="str">
            <v>6-  5- 4- 1</v>
          </cell>
          <cell r="Q44" t="str">
            <v>Q = 3.259(H+0.060)^1.308</v>
          </cell>
          <cell r="R44">
            <v>3.2589999999999999</v>
          </cell>
          <cell r="S44">
            <v>0.06</v>
          </cell>
          <cell r="T44">
            <v>1.3080000000000001</v>
          </cell>
        </row>
        <row r="45">
          <cell r="A45" t="str">
            <v>PDA092703</v>
          </cell>
          <cell r="B45" t="str">
            <v>Pangilen</v>
          </cell>
          <cell r="C45" t="str">
            <v>K. Kemuning</v>
          </cell>
          <cell r="D45" t="str">
            <v>K. Kemuning</v>
          </cell>
          <cell r="E45" t="str">
            <v>Pangilen</v>
          </cell>
          <cell r="F45" t="str">
            <v>Pangilen</v>
          </cell>
          <cell r="G45" t="str">
            <v>Sampang</v>
          </cell>
          <cell r="H45" t="str">
            <v>Jawa Timur</v>
          </cell>
          <cell r="I45">
            <v>113.241985</v>
          </cell>
          <cell r="J45">
            <v>-7.136126</v>
          </cell>
          <cell r="K45" t="str">
            <v>PSDA WS Kep. Madura Bawean di Pamekasan</v>
          </cell>
          <cell r="L45" t="str">
            <v>Aktif</v>
          </cell>
          <cell r="M45" t="str">
            <v>Otomatis Logger + Peilskal</v>
          </cell>
          <cell r="N45">
            <v>253.8</v>
          </cell>
          <cell r="O45">
            <v>25</v>
          </cell>
          <cell r="P45" t="str">
            <v>6- 14- 1- 2</v>
          </cell>
        </row>
        <row r="46">
          <cell r="A46" t="str">
            <v>PDA092801</v>
          </cell>
          <cell r="B46" t="str">
            <v>Sumedangan</v>
          </cell>
          <cell r="C46" t="str">
            <v>K. Semajid</v>
          </cell>
          <cell r="D46" t="str">
            <v>K. Semajid</v>
          </cell>
          <cell r="E46" t="str">
            <v>Sumedangan</v>
          </cell>
          <cell r="F46" t="str">
            <v>Pademawu</v>
          </cell>
          <cell r="G46" t="str">
            <v>Pamekasan</v>
          </cell>
          <cell r="H46" t="str">
            <v>Jawa Timur</v>
          </cell>
          <cell r="I46">
            <v>113.503919</v>
          </cell>
          <cell r="J46">
            <v>-7.1865500000000004</v>
          </cell>
          <cell r="K46" t="str">
            <v>PSDA WS Kep. Madura Bawean di Pamekasan</v>
          </cell>
          <cell r="L46" t="str">
            <v>Aktif</v>
          </cell>
          <cell r="M46" t="str">
            <v>Peilskal</v>
          </cell>
          <cell r="N46">
            <v>270</v>
          </cell>
          <cell r="O46">
            <v>12</v>
          </cell>
          <cell r="P46" t="str">
            <v>6- 14- 1- 2</v>
          </cell>
          <cell r="Q46" t="str">
            <v>Q= 2.020(H-0.100)^3.620</v>
          </cell>
          <cell r="R46">
            <v>2.02</v>
          </cell>
          <cell r="S46">
            <v>-0.1</v>
          </cell>
          <cell r="T46">
            <v>3.62</v>
          </cell>
        </row>
        <row r="47">
          <cell r="A47" t="str">
            <v>PDA092802</v>
          </cell>
          <cell r="B47" t="str">
            <v>Samiran</v>
          </cell>
          <cell r="C47" t="str">
            <v>K. Samiran</v>
          </cell>
          <cell r="D47" t="str">
            <v>K. Semajid</v>
          </cell>
          <cell r="E47" t="str">
            <v>Samiran</v>
          </cell>
          <cell r="F47" t="str">
            <v>Propo</v>
          </cell>
          <cell r="G47" t="str">
            <v>Pamekasan</v>
          </cell>
          <cell r="H47" t="str">
            <v>Jawa Timur</v>
          </cell>
          <cell r="I47">
            <v>113.44255699999999</v>
          </cell>
          <cell r="J47">
            <v>-7.1492380000000004</v>
          </cell>
          <cell r="K47" t="str">
            <v>PSDA WS Kep. Madura Bawean di Pamekasan</v>
          </cell>
          <cell r="L47" t="str">
            <v>Aktif</v>
          </cell>
          <cell r="M47" t="str">
            <v>Peilskal</v>
          </cell>
          <cell r="N47">
            <v>113.6</v>
          </cell>
          <cell r="O47">
            <v>20</v>
          </cell>
          <cell r="P47" t="str">
            <v>6- 14- 1- 2</v>
          </cell>
          <cell r="Q47" t="str">
            <v>Q= 3.570(H-0.100)^2.070</v>
          </cell>
          <cell r="R47">
            <v>3.57</v>
          </cell>
          <cell r="S47">
            <v>-0.1</v>
          </cell>
          <cell r="T47">
            <v>2.0699999999999998</v>
          </cell>
        </row>
        <row r="48">
          <cell r="A48" t="str">
            <v>PDA092901</v>
          </cell>
          <cell r="B48" t="str">
            <v>Tambakagung</v>
          </cell>
          <cell r="C48" t="str">
            <v>K. Klampok</v>
          </cell>
          <cell r="D48" t="str">
            <v>K. Klampok</v>
          </cell>
          <cell r="E48" t="str">
            <v>Tambakagung</v>
          </cell>
          <cell r="F48" t="str">
            <v>Ambunten</v>
          </cell>
          <cell r="G48" t="str">
            <v>Sumenep</v>
          </cell>
          <cell r="H48" t="str">
            <v>Jawa Timur</v>
          </cell>
          <cell r="I48">
            <v>113.742863</v>
          </cell>
          <cell r="J48">
            <v>-6.9365129999999997</v>
          </cell>
          <cell r="K48" t="str">
            <v>PSDA WS Kep. Madura Bawean di Pamekasan</v>
          </cell>
          <cell r="L48" t="str">
            <v>Aktif</v>
          </cell>
          <cell r="M48" t="str">
            <v>Peilskal</v>
          </cell>
          <cell r="N48">
            <v>51</v>
          </cell>
          <cell r="O48">
            <v>125</v>
          </cell>
          <cell r="P48" t="str">
            <v>6- 14- 1- 2</v>
          </cell>
          <cell r="Q48" t="str">
            <v>Q= 1.576(H-0.170)^2.895</v>
          </cell>
          <cell r="R48">
            <v>1.5760000000000001</v>
          </cell>
          <cell r="S48">
            <v>-0.17</v>
          </cell>
          <cell r="T48">
            <v>2.895</v>
          </cell>
        </row>
        <row r="49">
          <cell r="A49" t="str">
            <v>PDA092902</v>
          </cell>
          <cell r="B49" t="str">
            <v>Lenteng</v>
          </cell>
          <cell r="C49" t="str">
            <v>K. Sarokah</v>
          </cell>
          <cell r="D49" t="str">
            <v>K. Sarokah</v>
          </cell>
          <cell r="E49" t="str">
            <v>Cangkreng</v>
          </cell>
          <cell r="F49" t="str">
            <v>Lenteng</v>
          </cell>
          <cell r="G49" t="str">
            <v>Sumenep</v>
          </cell>
          <cell r="H49" t="str">
            <v>Jawa Timur</v>
          </cell>
          <cell r="I49">
            <v>113.809477</v>
          </cell>
          <cell r="J49">
            <v>-7.0460200000000004</v>
          </cell>
          <cell r="K49" t="str">
            <v>PSDA WS Kep. Madura Bawean di Pamekasan</v>
          </cell>
          <cell r="L49" t="str">
            <v>Aktif</v>
          </cell>
          <cell r="M49" t="str">
            <v>Peilskal</v>
          </cell>
          <cell r="N49">
            <v>195</v>
          </cell>
          <cell r="O49">
            <v>10</v>
          </cell>
          <cell r="P49" t="str">
            <v>6- 11- 1- 1</v>
          </cell>
          <cell r="Q49" t="str">
            <v>Q=  2.405(H-0.040)^1.690</v>
          </cell>
          <cell r="R49">
            <v>2.4</v>
          </cell>
          <cell r="S49">
            <v>-0.04</v>
          </cell>
          <cell r="T49">
            <v>1.69</v>
          </cell>
        </row>
      </sheetData>
      <sheetData sheetId="1"/>
      <sheetData sheetId="2">
        <row r="2">
          <cell r="A2" t="str">
            <v>Sumedangan - K. Semajid</v>
          </cell>
        </row>
      </sheetData>
      <sheetData sheetId="3">
        <row r="1">
          <cell r="E1" t="str">
            <v>Q= 2.020(H-0.100)^3.620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16"/>
      <sheetName val="16-28"/>
      <sheetName val="29-56"/>
      <sheetName val="57-81"/>
      <sheetName val="82-93"/>
      <sheetName val="94-105"/>
      <sheetName val="7-ok"/>
      <sheetName val="106-1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ing curve"/>
      <sheetName val="BASIC PRICE "/>
      <sheetName val="PROGRESS"/>
      <sheetName val="RAB 1"/>
    </sheetNames>
    <sheetDataSet>
      <sheetData sheetId="0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</row>
        <row r="5">
          <cell r="C5" t="str">
            <v>jan</v>
          </cell>
          <cell r="D5" t="str">
            <v>feb</v>
          </cell>
          <cell r="E5" t="str">
            <v>mar</v>
          </cell>
          <cell r="F5" t="str">
            <v>apr</v>
          </cell>
          <cell r="G5" t="str">
            <v>may</v>
          </cell>
          <cell r="H5" t="str">
            <v>jun</v>
          </cell>
          <cell r="I5" t="str">
            <v>jul</v>
          </cell>
          <cell r="J5" t="str">
            <v>aug</v>
          </cell>
          <cell r="K5" t="str">
            <v>sep</v>
          </cell>
          <cell r="L5" t="str">
            <v>oct</v>
          </cell>
          <cell r="M5" t="str">
            <v>nov</v>
          </cell>
          <cell r="N5" t="str">
            <v>dec</v>
          </cell>
          <cell r="O5" t="str">
            <v>jan</v>
          </cell>
          <cell r="P5" t="str">
            <v>feb</v>
          </cell>
          <cell r="Q5" t="str">
            <v>mar</v>
          </cell>
          <cell r="R5" t="str">
            <v>apr</v>
          </cell>
          <cell r="S5" t="str">
            <v>may</v>
          </cell>
          <cell r="T5" t="str">
            <v>jun</v>
          </cell>
          <cell r="U5" t="str">
            <v>jul</v>
          </cell>
          <cell r="V5" t="str">
            <v>aug</v>
          </cell>
          <cell r="W5" t="str">
            <v>sep</v>
          </cell>
          <cell r="X5" t="str">
            <v>oct</v>
          </cell>
          <cell r="Y5" t="str">
            <v>nov</v>
          </cell>
          <cell r="Z5" t="str">
            <v>dec</v>
          </cell>
          <cell r="AA5" t="str">
            <v>jan</v>
          </cell>
          <cell r="AB5" t="str">
            <v>feb</v>
          </cell>
          <cell r="AC5" t="str">
            <v>mar</v>
          </cell>
          <cell r="AD5" t="str">
            <v>apr</v>
          </cell>
          <cell r="AE5" t="str">
            <v>may</v>
          </cell>
          <cell r="AF5" t="str">
            <v>jun</v>
          </cell>
          <cell r="AG5" t="str">
            <v>jul</v>
          </cell>
          <cell r="AH5" t="str">
            <v>aug</v>
          </cell>
          <cell r="AI5" t="str">
            <v>sep</v>
          </cell>
          <cell r="AJ5" t="str">
            <v>oct</v>
          </cell>
          <cell r="AK5" t="str">
            <v>nov</v>
          </cell>
          <cell r="AL5" t="str">
            <v>dec</v>
          </cell>
        </row>
        <row r="6">
          <cell r="C6">
            <v>194.315</v>
          </cell>
          <cell r="D6">
            <v>179.80100000000002</v>
          </cell>
          <cell r="E6">
            <v>231.60991774754822</v>
          </cell>
          <cell r="F6">
            <v>127.23</v>
          </cell>
          <cell r="G6">
            <v>62.377000000000002</v>
          </cell>
          <cell r="H6">
            <v>52.002000000000002</v>
          </cell>
          <cell r="I6">
            <v>20.61</v>
          </cell>
          <cell r="J6">
            <v>1.2689999999999999</v>
          </cell>
          <cell r="K6">
            <v>45.441000000000003</v>
          </cell>
          <cell r="L6">
            <v>74.967000000000013</v>
          </cell>
          <cell r="M6">
            <v>295.41916229041448</v>
          </cell>
          <cell r="N6">
            <v>222.017</v>
          </cell>
          <cell r="O6">
            <v>403.59829167984816</v>
          </cell>
          <cell r="P6">
            <v>192.85462511863338</v>
          </cell>
          <cell r="Q6">
            <v>202.79598924391018</v>
          </cell>
          <cell r="R6">
            <v>91.723736159443177</v>
          </cell>
          <cell r="S6">
            <v>20.760269534957292</v>
          </cell>
          <cell r="T6">
            <v>15.359142043657071</v>
          </cell>
          <cell r="U6">
            <v>0</v>
          </cell>
          <cell r="V6">
            <v>0</v>
          </cell>
          <cell r="W6">
            <v>17.338839607719077</v>
          </cell>
          <cell r="X6">
            <v>114.33114583992406</v>
          </cell>
          <cell r="Y6">
            <v>104.6172888326479</v>
          </cell>
          <cell r="Z6">
            <v>362.11375640620059</v>
          </cell>
          <cell r="AA6">
            <v>265.45799999999997</v>
          </cell>
          <cell r="AB6">
            <v>263.08322303068644</v>
          </cell>
          <cell r="AC6">
            <v>318.05799999999999</v>
          </cell>
          <cell r="AD6">
            <v>17.672999999999998</v>
          </cell>
          <cell r="AE6">
            <v>9.1320000000000014</v>
          </cell>
          <cell r="AF6">
            <v>28.26</v>
          </cell>
          <cell r="AG6">
            <v>1.56</v>
          </cell>
          <cell r="AH6">
            <v>9.9000000000000005E-2</v>
          </cell>
          <cell r="AI6">
            <v>0</v>
          </cell>
          <cell r="AJ6">
            <v>7.17</v>
          </cell>
          <cell r="AK6">
            <v>72.197999999999993</v>
          </cell>
          <cell r="AL6">
            <v>123.03399999999999</v>
          </cell>
        </row>
        <row r="7">
          <cell r="C7">
            <v>2.2799999999999998</v>
          </cell>
          <cell r="D7">
            <v>5.68</v>
          </cell>
          <cell r="E7">
            <v>7.2</v>
          </cell>
          <cell r="F7">
            <v>6.13</v>
          </cell>
          <cell r="G7">
            <v>1.96</v>
          </cell>
          <cell r="H7">
            <v>1.1200000000000001</v>
          </cell>
          <cell r="I7">
            <v>0.83</v>
          </cell>
          <cell r="J7">
            <v>0.67</v>
          </cell>
          <cell r="K7">
            <v>0.56999999999999995</v>
          </cell>
          <cell r="L7">
            <v>0.88</v>
          </cell>
          <cell r="M7">
            <v>1.37</v>
          </cell>
          <cell r="N7">
            <v>1.21</v>
          </cell>
          <cell r="O7">
            <v>7.85</v>
          </cell>
          <cell r="P7">
            <v>6.48</v>
          </cell>
          <cell r="Q7">
            <v>5.66</v>
          </cell>
          <cell r="R7">
            <v>3.54</v>
          </cell>
          <cell r="S7">
            <v>1.5</v>
          </cell>
          <cell r="T7">
            <v>0.96</v>
          </cell>
          <cell r="U7">
            <v>0.64</v>
          </cell>
          <cell r="V7">
            <v>0.68</v>
          </cell>
          <cell r="W7">
            <v>0.6</v>
          </cell>
          <cell r="X7">
            <v>0.56000000000000005</v>
          </cell>
          <cell r="Y7">
            <v>0.38</v>
          </cell>
          <cell r="Z7">
            <v>3.63</v>
          </cell>
          <cell r="AA7">
            <v>6.2</v>
          </cell>
          <cell r="AB7">
            <v>6.3</v>
          </cell>
          <cell r="AC7">
            <v>6.8</v>
          </cell>
          <cell r="AD7">
            <v>2.5299999999999998</v>
          </cell>
          <cell r="AE7">
            <v>1.97</v>
          </cell>
          <cell r="AF7">
            <v>0.74</v>
          </cell>
          <cell r="AG7">
            <v>0.76</v>
          </cell>
          <cell r="AH7">
            <v>0.54</v>
          </cell>
          <cell r="AI7">
            <v>0.48</v>
          </cell>
          <cell r="AJ7">
            <v>0.45</v>
          </cell>
          <cell r="AK7">
            <v>0.36</v>
          </cell>
          <cell r="AL7">
            <v>2.09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DAS"/>
      <sheetName val="tabel p"/>
      <sheetName val="tabel Et0"/>
      <sheetName val="Data hilang"/>
      <sheetName val="Rerata hitung"/>
      <sheetName val="thiessen"/>
      <sheetName val="Isohyet"/>
      <sheetName val="data"/>
      <sheetName val="Lengkung debit"/>
      <sheetName val="Log pearson"/>
      <sheetName val="Gumbel"/>
      <sheetName val="koefisien Cs dan G"/>
      <sheetName val="Tabel Yn"/>
      <sheetName val="Uji Smirnov-Chi Square Test"/>
      <sheetName val="Tbl Chi Square dan Smirnov K"/>
      <sheetName val="Debit andalan Log person"/>
      <sheetName val="Debit Andalan Gumbel"/>
      <sheetName val="Uji Smirnov- Chi Square Q"/>
    </sheetNames>
    <sheetDataSet>
      <sheetData sheetId="0"/>
      <sheetData sheetId="1"/>
      <sheetData sheetId="2"/>
      <sheetData sheetId="3"/>
      <sheetData sheetId="4"/>
      <sheetData sheetId="5">
        <row r="60">
          <cell r="H60" t="str">
            <v>Rerata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P CWR"/>
      <sheetName val="CWR - ETo"/>
      <sheetName val="CWR - LP"/>
    </sheetNames>
    <sheetDataSet>
      <sheetData sheetId="0"/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. Cs Log P III"/>
      <sheetName val="Log Pearson"/>
      <sheetName val="Uji Smirnov K - Chi Square test"/>
      <sheetName val="tabel Chi Square dan Smirnov K"/>
      <sheetName val="Koefisien Cs dan G"/>
      <sheetName val="CH rancangan"/>
      <sheetName val="Hujan 1 jan 1993"/>
      <sheetName val="Distribusi hujan "/>
    </sheetNames>
    <sheetDataSet>
      <sheetData sheetId="0" refreshError="1">
        <row r="10">
          <cell r="B10">
            <v>3</v>
          </cell>
          <cell r="C10">
            <v>-0.39600000000000002</v>
          </cell>
          <cell r="D10">
            <v>0.42</v>
          </cell>
          <cell r="E10">
            <v>1.18</v>
          </cell>
          <cell r="F10">
            <v>2.278</v>
          </cell>
          <cell r="G10">
            <v>3.1520000000000001</v>
          </cell>
          <cell r="H10">
            <v>4.0510000000000002</v>
          </cell>
          <cell r="I10">
            <v>4.97</v>
          </cell>
          <cell r="J10">
            <v>7.25</v>
          </cell>
        </row>
        <row r="11">
          <cell r="B11">
            <v>2.5</v>
          </cell>
          <cell r="C11">
            <v>-0.36</v>
          </cell>
          <cell r="D11">
            <v>0.51800000000000002</v>
          </cell>
          <cell r="E11">
            <v>1.25</v>
          </cell>
          <cell r="F11">
            <v>2.262</v>
          </cell>
          <cell r="G11">
            <v>3.048</v>
          </cell>
          <cell r="H11">
            <v>3.8450000000000002</v>
          </cell>
          <cell r="I11">
            <v>4.6520000000000001</v>
          </cell>
          <cell r="J11">
            <v>6.6</v>
          </cell>
        </row>
        <row r="12">
          <cell r="B12">
            <v>2.2000000000000002</v>
          </cell>
          <cell r="C12">
            <v>-0.33</v>
          </cell>
          <cell r="D12">
            <v>0.57399999999999995</v>
          </cell>
          <cell r="E12">
            <v>1.284</v>
          </cell>
          <cell r="F12">
            <v>2.2400000000000002</v>
          </cell>
          <cell r="G12">
            <v>2.97</v>
          </cell>
          <cell r="H12">
            <v>3.7050000000000001</v>
          </cell>
          <cell r="I12">
            <v>4.444</v>
          </cell>
          <cell r="J12">
            <v>6.2</v>
          </cell>
        </row>
        <row r="13">
          <cell r="B13">
            <v>2</v>
          </cell>
          <cell r="C13">
            <v>-0.307</v>
          </cell>
          <cell r="D13">
            <v>0.60899999999999999</v>
          </cell>
          <cell r="E13">
            <v>1.302</v>
          </cell>
          <cell r="F13">
            <v>2.2189999999999999</v>
          </cell>
          <cell r="G13">
            <v>2.9119999999999999</v>
          </cell>
          <cell r="H13">
            <v>3.605</v>
          </cell>
          <cell r="I13">
            <v>4.298</v>
          </cell>
          <cell r="J13">
            <v>5.91</v>
          </cell>
        </row>
        <row r="14">
          <cell r="B14">
            <v>1.8</v>
          </cell>
          <cell r="C14">
            <v>-0.28199999999999997</v>
          </cell>
          <cell r="D14">
            <v>0.64300000000000002</v>
          </cell>
          <cell r="E14">
            <v>1.3180000000000001</v>
          </cell>
          <cell r="F14">
            <v>2.1930000000000001</v>
          </cell>
          <cell r="G14">
            <v>2.8479999999999999</v>
          </cell>
          <cell r="H14">
            <v>3.4990000000000001</v>
          </cell>
          <cell r="I14">
            <v>4.1470000000000002</v>
          </cell>
          <cell r="J14">
            <v>5.66</v>
          </cell>
        </row>
        <row r="15">
          <cell r="B15">
            <v>1.6</v>
          </cell>
          <cell r="C15">
            <v>-0.254</v>
          </cell>
          <cell r="D15">
            <v>0.67500000000000004</v>
          </cell>
          <cell r="E15">
            <v>1.329</v>
          </cell>
          <cell r="F15">
            <v>2.1629999999999998</v>
          </cell>
          <cell r="G15">
            <v>2.78</v>
          </cell>
          <cell r="H15">
            <v>3.3879999999999999</v>
          </cell>
          <cell r="I15">
            <v>3.99</v>
          </cell>
          <cell r="J15">
            <v>5.39</v>
          </cell>
        </row>
        <row r="16">
          <cell r="B16">
            <v>1.4</v>
          </cell>
          <cell r="C16">
            <v>-0.22500000000000001</v>
          </cell>
          <cell r="D16">
            <v>0.70499999999999996</v>
          </cell>
          <cell r="E16">
            <v>1.337</v>
          </cell>
          <cell r="F16">
            <v>2.1280000000000001</v>
          </cell>
          <cell r="G16">
            <v>2.706</v>
          </cell>
          <cell r="H16">
            <v>3.2709999999999999</v>
          </cell>
          <cell r="I16">
            <v>3.8279999999999998</v>
          </cell>
          <cell r="J16">
            <v>5.1100000000000003</v>
          </cell>
        </row>
        <row r="17">
          <cell r="B17">
            <v>1.2</v>
          </cell>
          <cell r="C17">
            <v>-0.19500000000000001</v>
          </cell>
          <cell r="D17">
            <v>0.73199999999999998</v>
          </cell>
          <cell r="E17">
            <v>1.34</v>
          </cell>
          <cell r="F17">
            <v>2.0870000000000002</v>
          </cell>
          <cell r="G17">
            <v>2.6259999999999999</v>
          </cell>
          <cell r="H17">
            <v>3.149</v>
          </cell>
          <cell r="I17">
            <v>3.661</v>
          </cell>
          <cell r="J17">
            <v>4.82</v>
          </cell>
        </row>
        <row r="18">
          <cell r="B18">
            <v>1</v>
          </cell>
          <cell r="C18">
            <v>-0.16400000000000001</v>
          </cell>
          <cell r="D18">
            <v>0.75800000000000001</v>
          </cell>
          <cell r="E18">
            <v>1.34</v>
          </cell>
          <cell r="F18">
            <v>2.0430000000000001</v>
          </cell>
          <cell r="G18">
            <v>2.5419999999999998</v>
          </cell>
          <cell r="H18">
            <v>3.0219999999999998</v>
          </cell>
          <cell r="I18">
            <v>3.4889999999999999</v>
          </cell>
          <cell r="J18">
            <v>4.54</v>
          </cell>
        </row>
        <row r="19">
          <cell r="B19">
            <v>0.9</v>
          </cell>
          <cell r="C19">
            <v>-0.14799999999999999</v>
          </cell>
          <cell r="D19">
            <v>0.76900000000000002</v>
          </cell>
          <cell r="E19">
            <v>1.339</v>
          </cell>
          <cell r="F19">
            <v>2.0179999999999998</v>
          </cell>
          <cell r="G19">
            <v>2.4980000000000002</v>
          </cell>
          <cell r="H19">
            <v>2.9569999999999999</v>
          </cell>
          <cell r="I19">
            <v>3.4009999999999998</v>
          </cell>
          <cell r="J19">
            <v>4.3949999999999996</v>
          </cell>
        </row>
        <row r="20">
          <cell r="B20">
            <v>0.8</v>
          </cell>
          <cell r="C20">
            <v>-0.13200000000000001</v>
          </cell>
          <cell r="D20">
            <v>0.78</v>
          </cell>
          <cell r="E20">
            <v>1.3360000000000001</v>
          </cell>
          <cell r="F20">
            <v>1.998</v>
          </cell>
          <cell r="G20">
            <v>2.4529999999999998</v>
          </cell>
          <cell r="H20">
            <v>2.891</v>
          </cell>
          <cell r="I20">
            <v>3.3119999999999998</v>
          </cell>
          <cell r="J20">
            <v>4.25</v>
          </cell>
        </row>
        <row r="21">
          <cell r="B21">
            <v>0.7</v>
          </cell>
          <cell r="C21">
            <v>-0.11600000000000001</v>
          </cell>
          <cell r="D21">
            <v>0.79</v>
          </cell>
          <cell r="E21">
            <v>1.333</v>
          </cell>
          <cell r="F21">
            <v>1.9670000000000001</v>
          </cell>
          <cell r="G21">
            <v>2.407</v>
          </cell>
          <cell r="H21">
            <v>2.8420000000000001</v>
          </cell>
          <cell r="I21">
            <v>3.2229999999999999</v>
          </cell>
          <cell r="J21">
            <v>4.1050000000000004</v>
          </cell>
        </row>
        <row r="22">
          <cell r="B22">
            <v>0.6</v>
          </cell>
          <cell r="C22">
            <v>-9.9000000000000005E-2</v>
          </cell>
          <cell r="D22">
            <v>0.8</v>
          </cell>
          <cell r="E22">
            <v>1.3280000000000001</v>
          </cell>
          <cell r="F22">
            <v>1.9390000000000001</v>
          </cell>
          <cell r="G22">
            <v>2.359</v>
          </cell>
          <cell r="H22">
            <v>2.7549999999999999</v>
          </cell>
          <cell r="I22">
            <v>3.1320000000000001</v>
          </cell>
          <cell r="J22">
            <v>3.96</v>
          </cell>
        </row>
        <row r="23">
          <cell r="B23">
            <v>0.5</v>
          </cell>
          <cell r="C23">
            <v>-8.3000000000000004E-2</v>
          </cell>
          <cell r="D23">
            <v>0.80800000000000005</v>
          </cell>
          <cell r="E23">
            <v>1.323</v>
          </cell>
          <cell r="F23">
            <v>1.91</v>
          </cell>
          <cell r="G23">
            <v>2.3109999999999999</v>
          </cell>
          <cell r="H23">
            <v>2.6859999999999999</v>
          </cell>
          <cell r="I23">
            <v>3.0409999999999999</v>
          </cell>
          <cell r="J23">
            <v>3.8149999999999999</v>
          </cell>
        </row>
        <row r="24">
          <cell r="B24">
            <v>0.4</v>
          </cell>
          <cell r="C24">
            <v>-6.6000000000000003E-2</v>
          </cell>
          <cell r="D24">
            <v>0.81599999999999995</v>
          </cell>
          <cell r="E24">
            <v>1.3169999999999999</v>
          </cell>
          <cell r="F24">
            <v>1.88</v>
          </cell>
          <cell r="G24">
            <v>2.2610000000000001</v>
          </cell>
          <cell r="H24">
            <v>2.6150000000000002</v>
          </cell>
          <cell r="I24">
            <v>2.9489999999999998</v>
          </cell>
          <cell r="J24">
            <v>3.67</v>
          </cell>
        </row>
        <row r="25">
          <cell r="B25">
            <v>0.3</v>
          </cell>
          <cell r="C25">
            <v>-0.05</v>
          </cell>
          <cell r="D25">
            <v>0.82399999999999995</v>
          </cell>
          <cell r="E25">
            <v>1.3089999999999999</v>
          </cell>
          <cell r="F25">
            <v>1.849</v>
          </cell>
          <cell r="G25">
            <v>2.2109999999999999</v>
          </cell>
          <cell r="H25">
            <v>2.544</v>
          </cell>
          <cell r="I25">
            <v>2.8559999999999999</v>
          </cell>
          <cell r="J25">
            <v>3.5249999999999999</v>
          </cell>
        </row>
        <row r="26">
          <cell r="B26">
            <v>0.2</v>
          </cell>
          <cell r="C26">
            <v>-3.3000000000000002E-2</v>
          </cell>
          <cell r="D26">
            <v>0.83</v>
          </cell>
          <cell r="E26">
            <v>1.3009999999999999</v>
          </cell>
          <cell r="F26">
            <v>1.8180000000000001</v>
          </cell>
          <cell r="G26">
            <v>2.1589999999999998</v>
          </cell>
          <cell r="H26">
            <v>2.472</v>
          </cell>
          <cell r="I26">
            <v>2.7629999999999999</v>
          </cell>
          <cell r="J26">
            <v>3.38</v>
          </cell>
        </row>
        <row r="27">
          <cell r="B27">
            <v>0.1</v>
          </cell>
          <cell r="C27">
            <v>-1.7000000000000001E-2</v>
          </cell>
          <cell r="D27">
            <v>0.83599999999999997</v>
          </cell>
          <cell r="E27">
            <v>1.292</v>
          </cell>
          <cell r="F27">
            <v>1.7849999999999999</v>
          </cell>
          <cell r="G27">
            <v>2.1070000000000002</v>
          </cell>
          <cell r="H27">
            <v>2.4</v>
          </cell>
          <cell r="I27">
            <v>2.67</v>
          </cell>
          <cell r="J27">
            <v>3.2349999999999999</v>
          </cell>
        </row>
        <row r="28">
          <cell r="B28">
            <v>0</v>
          </cell>
          <cell r="C28">
            <v>0</v>
          </cell>
          <cell r="D28">
            <v>0.84199999999999997</v>
          </cell>
          <cell r="E28">
            <v>1.282</v>
          </cell>
          <cell r="F28">
            <v>1.7509999999999999</v>
          </cell>
          <cell r="G28">
            <v>2.0541999999999998</v>
          </cell>
          <cell r="H28">
            <v>2.3260000000000001</v>
          </cell>
          <cell r="I28">
            <v>2.5760000000000001</v>
          </cell>
          <cell r="J28">
            <v>3.09</v>
          </cell>
        </row>
        <row r="29">
          <cell r="B29">
            <v>-0.1</v>
          </cell>
          <cell r="C29">
            <v>1.7000000000000001E-2</v>
          </cell>
          <cell r="D29">
            <v>0.83599999999999997</v>
          </cell>
          <cell r="E29">
            <v>1.27</v>
          </cell>
          <cell r="F29">
            <v>1.716</v>
          </cell>
          <cell r="G29">
            <v>2</v>
          </cell>
          <cell r="H29">
            <v>2.2519999999999998</v>
          </cell>
          <cell r="I29">
            <v>2.4820000000000002</v>
          </cell>
          <cell r="J29">
            <v>2.96</v>
          </cell>
        </row>
        <row r="30">
          <cell r="B30">
            <v>-0.2</v>
          </cell>
          <cell r="C30">
            <v>3.3000000000000002E-2</v>
          </cell>
          <cell r="D30">
            <v>0.85</v>
          </cell>
          <cell r="E30">
            <v>1.258</v>
          </cell>
          <cell r="F30">
            <v>1.68</v>
          </cell>
          <cell r="G30">
            <v>1.9450000000000001</v>
          </cell>
          <cell r="H30">
            <v>2.1779999999999999</v>
          </cell>
          <cell r="I30">
            <v>2.3879999999999999</v>
          </cell>
          <cell r="J30">
            <v>2.81</v>
          </cell>
        </row>
        <row r="31">
          <cell r="B31">
            <v>-0.3</v>
          </cell>
          <cell r="C31">
            <v>0.05</v>
          </cell>
          <cell r="D31">
            <v>0.85299999999999998</v>
          </cell>
          <cell r="E31">
            <v>1.2450000000000001</v>
          </cell>
          <cell r="F31">
            <v>1.643</v>
          </cell>
          <cell r="G31">
            <v>1.89</v>
          </cell>
          <cell r="H31">
            <v>2.1040000000000001</v>
          </cell>
          <cell r="I31">
            <v>2.294</v>
          </cell>
          <cell r="J31">
            <v>2.6749999999999998</v>
          </cell>
        </row>
        <row r="32">
          <cell r="B32">
            <v>-0.4</v>
          </cell>
          <cell r="C32">
            <v>6.6000000000000003E-2</v>
          </cell>
          <cell r="D32">
            <v>0.85499999999999998</v>
          </cell>
          <cell r="E32">
            <v>1.2310000000000001</v>
          </cell>
          <cell r="F32">
            <v>1.6060000000000001</v>
          </cell>
          <cell r="G32">
            <v>1.8340000000000001</v>
          </cell>
          <cell r="H32">
            <v>2.0289999999999999</v>
          </cell>
          <cell r="I32">
            <v>2.2010000000000001</v>
          </cell>
          <cell r="J32">
            <v>2.54</v>
          </cell>
        </row>
        <row r="33">
          <cell r="B33">
            <v>-0.5</v>
          </cell>
          <cell r="C33">
            <v>8.3000000000000004E-2</v>
          </cell>
          <cell r="D33">
            <v>0.85599999999999998</v>
          </cell>
          <cell r="E33">
            <v>1.216</v>
          </cell>
          <cell r="F33">
            <v>1.5669999999999999</v>
          </cell>
          <cell r="G33">
            <v>1.7769999999999999</v>
          </cell>
          <cell r="H33">
            <v>1.9550000000000001</v>
          </cell>
          <cell r="I33">
            <v>2.1080000000000001</v>
          </cell>
          <cell r="J33">
            <v>2.4</v>
          </cell>
        </row>
        <row r="34">
          <cell r="B34">
            <v>-0.6</v>
          </cell>
          <cell r="C34">
            <v>9.9000000000000005E-2</v>
          </cell>
          <cell r="D34">
            <v>0.85699999999999998</v>
          </cell>
          <cell r="E34">
            <v>1.2</v>
          </cell>
          <cell r="F34">
            <v>1.528</v>
          </cell>
          <cell r="G34">
            <v>1.72</v>
          </cell>
          <cell r="H34">
            <v>1.88</v>
          </cell>
          <cell r="I34">
            <v>2.016</v>
          </cell>
          <cell r="J34">
            <v>2.2749999999999999</v>
          </cell>
        </row>
        <row r="35">
          <cell r="B35">
            <v>-0.7</v>
          </cell>
          <cell r="C35">
            <v>0.11600000000000001</v>
          </cell>
          <cell r="D35">
            <v>0.85699999999999998</v>
          </cell>
          <cell r="E35">
            <v>1.1830000000000001</v>
          </cell>
          <cell r="F35">
            <v>1.488</v>
          </cell>
          <cell r="G35">
            <v>1.663</v>
          </cell>
          <cell r="H35">
            <v>1.806</v>
          </cell>
          <cell r="I35">
            <v>1.9259999999999999</v>
          </cell>
          <cell r="J35">
            <v>2.15</v>
          </cell>
        </row>
        <row r="36">
          <cell r="B36">
            <v>-0.8</v>
          </cell>
          <cell r="C36">
            <v>0.13200000000000001</v>
          </cell>
          <cell r="D36">
            <v>0.85599999999999998</v>
          </cell>
          <cell r="E36">
            <v>1.1659999999999999</v>
          </cell>
          <cell r="F36">
            <v>1.448</v>
          </cell>
          <cell r="G36">
            <v>1.6060000000000001</v>
          </cell>
          <cell r="H36">
            <v>1.7330000000000001</v>
          </cell>
          <cell r="I36">
            <v>1.837</v>
          </cell>
          <cell r="J36">
            <v>2.0350000000000001</v>
          </cell>
        </row>
        <row r="37">
          <cell r="B37">
            <v>-0.9</v>
          </cell>
          <cell r="C37">
            <v>0.14799999999999999</v>
          </cell>
          <cell r="D37">
            <v>0.85399999999999998</v>
          </cell>
          <cell r="E37">
            <v>1.147</v>
          </cell>
          <cell r="F37">
            <v>1.407</v>
          </cell>
          <cell r="G37">
            <v>1.5489999999999999</v>
          </cell>
          <cell r="H37">
            <v>1.66</v>
          </cell>
          <cell r="I37">
            <v>1.7490000000000001</v>
          </cell>
          <cell r="J37">
            <v>1.91</v>
          </cell>
        </row>
        <row r="38">
          <cell r="B38">
            <v>-1</v>
          </cell>
          <cell r="C38">
            <v>0.16400000000000001</v>
          </cell>
          <cell r="D38">
            <v>0.85199999999999998</v>
          </cell>
          <cell r="E38">
            <v>1.1279999999999999</v>
          </cell>
          <cell r="F38">
            <v>1.3660000000000001</v>
          </cell>
          <cell r="G38">
            <v>1.492</v>
          </cell>
          <cell r="H38">
            <v>1.5880000000000001</v>
          </cell>
          <cell r="I38">
            <v>1.6639999999999999</v>
          </cell>
          <cell r="J38">
            <v>1.8</v>
          </cell>
        </row>
        <row r="39">
          <cell r="B39">
            <v>-1.2</v>
          </cell>
          <cell r="C39">
            <v>0.19500000000000001</v>
          </cell>
          <cell r="D39">
            <v>0.84399999999999997</v>
          </cell>
          <cell r="E39">
            <v>1.0860000000000001</v>
          </cell>
          <cell r="F39">
            <v>1.282</v>
          </cell>
          <cell r="G39">
            <v>1.379</v>
          </cell>
          <cell r="H39">
            <v>1.4990000000000001</v>
          </cell>
          <cell r="I39">
            <v>1.5009999999999999</v>
          </cell>
          <cell r="J39">
            <v>1.625</v>
          </cell>
        </row>
        <row r="40">
          <cell r="B40">
            <v>-1.4</v>
          </cell>
          <cell r="C40">
            <v>0.22500000000000001</v>
          </cell>
          <cell r="D40">
            <v>0.83199999999999996</v>
          </cell>
          <cell r="E40">
            <v>1.0409999999999999</v>
          </cell>
          <cell r="F40">
            <v>1.198</v>
          </cell>
          <cell r="G40">
            <v>1.27</v>
          </cell>
          <cell r="H40">
            <v>1.3180000000000001</v>
          </cell>
          <cell r="I40">
            <v>1.351</v>
          </cell>
          <cell r="J40">
            <v>1.4650000000000001</v>
          </cell>
        </row>
        <row r="41">
          <cell r="B41">
            <v>-1.6</v>
          </cell>
          <cell r="C41">
            <v>0.254</v>
          </cell>
          <cell r="D41">
            <v>0.81699999999999995</v>
          </cell>
          <cell r="E41">
            <v>0.99399999999999999</v>
          </cell>
          <cell r="F41">
            <v>1.1160000000000001</v>
          </cell>
          <cell r="G41">
            <v>1.1659999999999999</v>
          </cell>
          <cell r="H41">
            <v>1.1970000000000001</v>
          </cell>
          <cell r="I41">
            <v>1.216</v>
          </cell>
          <cell r="J41">
            <v>1.28</v>
          </cell>
        </row>
        <row r="42">
          <cell r="B42">
            <v>-1.8</v>
          </cell>
          <cell r="C42">
            <v>0.28199999999999997</v>
          </cell>
          <cell r="D42">
            <v>0.79900000000000004</v>
          </cell>
          <cell r="E42">
            <v>0.94499999999999995</v>
          </cell>
          <cell r="F42">
            <v>1.0349999999999999</v>
          </cell>
          <cell r="G42">
            <v>1.069</v>
          </cell>
          <cell r="H42">
            <v>1.087</v>
          </cell>
          <cell r="I42">
            <v>1.097</v>
          </cell>
          <cell r="J42">
            <v>1.1299999999999999</v>
          </cell>
        </row>
        <row r="43">
          <cell r="B43">
            <v>-2</v>
          </cell>
          <cell r="C43">
            <v>0.307</v>
          </cell>
          <cell r="D43">
            <v>0.77700000000000002</v>
          </cell>
          <cell r="E43">
            <v>0.89500000000000002</v>
          </cell>
          <cell r="F43">
            <v>0.95899999999999996</v>
          </cell>
          <cell r="G43">
            <v>0.98</v>
          </cell>
          <cell r="H43">
            <v>0.99</v>
          </cell>
          <cell r="I43">
            <v>0.995</v>
          </cell>
          <cell r="J43">
            <v>1</v>
          </cell>
        </row>
        <row r="44">
          <cell r="B44">
            <v>-2.2000000000000002</v>
          </cell>
          <cell r="C44">
            <v>0.33</v>
          </cell>
          <cell r="D44">
            <v>0.752</v>
          </cell>
          <cell r="E44">
            <v>0.84399999999999997</v>
          </cell>
          <cell r="F44">
            <v>0.88800000000000001</v>
          </cell>
          <cell r="G44">
            <v>0.9</v>
          </cell>
          <cell r="H44">
            <v>0.90500000000000003</v>
          </cell>
          <cell r="I44">
            <v>0.90700000000000003</v>
          </cell>
          <cell r="J44">
            <v>0.91</v>
          </cell>
        </row>
        <row r="45">
          <cell r="B45">
            <v>-2.5</v>
          </cell>
          <cell r="C45">
            <v>0.36</v>
          </cell>
          <cell r="D45">
            <v>0.71099999999999997</v>
          </cell>
          <cell r="E45">
            <v>0.77100000000000002</v>
          </cell>
          <cell r="F45">
            <v>0.79300000000000004</v>
          </cell>
          <cell r="G45">
            <v>0.79800000000000004</v>
          </cell>
          <cell r="H45">
            <v>0.79900000000000004</v>
          </cell>
          <cell r="I45">
            <v>0.8</v>
          </cell>
          <cell r="J45">
            <v>0.80200000000000005</v>
          </cell>
        </row>
        <row r="46">
          <cell r="B46">
            <v>-3</v>
          </cell>
          <cell r="C46">
            <v>0.39600000000000002</v>
          </cell>
          <cell r="D46">
            <v>0.63600000000000001</v>
          </cell>
          <cell r="E46">
            <v>0.66</v>
          </cell>
          <cell r="F46">
            <v>0.66600000000000004</v>
          </cell>
          <cell r="G46">
            <v>0.66600000000000004</v>
          </cell>
          <cell r="H46">
            <v>0.66700000000000004</v>
          </cell>
          <cell r="I46">
            <v>0.66700000000000004</v>
          </cell>
          <cell r="J46">
            <v>0.66800000000000004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2009"/>
      <sheetName val="2008"/>
      <sheetName val="2007"/>
      <sheetName val="2006"/>
      <sheetName val="2005"/>
      <sheetName val="2004"/>
      <sheetName val="2003"/>
      <sheetName val="2002"/>
      <sheetName val="2001"/>
      <sheetName val="2000"/>
      <sheetName val="10-harian"/>
      <sheetName val="bulan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1">
          <cell r="B11" t="str">
            <v>JAN</v>
          </cell>
          <cell r="C11" t="str">
            <v>PEB</v>
          </cell>
          <cell r="D11" t="str">
            <v>MAR</v>
          </cell>
          <cell r="E11" t="str">
            <v>APR</v>
          </cell>
          <cell r="F11" t="str">
            <v>MEI</v>
          </cell>
          <cell r="G11" t="str">
            <v>JUN</v>
          </cell>
          <cell r="H11" t="str">
            <v>JUL</v>
          </cell>
          <cell r="I11" t="str">
            <v>AGS</v>
          </cell>
          <cell r="J11" t="str">
            <v>SEP</v>
          </cell>
          <cell r="K11" t="str">
            <v>OKT</v>
          </cell>
          <cell r="L11" t="str">
            <v>NOP</v>
          </cell>
          <cell r="M11" t="str">
            <v>DES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8141-9693-4421-8037-8BF89EDDD122}">
  <sheetPr codeName="Sheet1">
    <tabColor rgb="FF00B0F0"/>
  </sheetPr>
  <dimension ref="A1:S1684"/>
  <sheetViews>
    <sheetView showGridLines="0" topLeftCell="A43" zoomScale="85" zoomScaleNormal="85" workbookViewId="0">
      <selection activeCell="E232" sqref="E232:P232"/>
    </sheetView>
  </sheetViews>
  <sheetFormatPr defaultColWidth="8.7109375" defaultRowHeight="12.75" x14ac:dyDescent="0.2"/>
  <cols>
    <col min="1" max="1" width="8.7109375" style="1"/>
    <col min="2" max="2" width="14.85546875" style="1" customWidth="1"/>
    <col min="3" max="3" width="23.85546875" style="1" customWidth="1"/>
    <col min="4" max="4" width="6.28515625" style="1" customWidth="1"/>
    <col min="5" max="5" width="26.28515625" style="1" customWidth="1"/>
    <col min="6" max="6" width="15.5703125" style="1" bestFit="1" customWidth="1"/>
    <col min="7" max="7" width="14.85546875" style="1" bestFit="1" customWidth="1"/>
    <col min="8" max="8" width="14.42578125" style="1" bestFit="1" customWidth="1"/>
    <col min="9" max="9" width="15.7109375" style="1" bestFit="1" customWidth="1"/>
    <col min="10" max="10" width="10.28515625" style="1" bestFit="1" customWidth="1"/>
    <col min="11" max="11" width="9.7109375" style="1" bestFit="1" customWidth="1"/>
    <col min="12" max="12" width="21.85546875" style="1" bestFit="1" customWidth="1"/>
    <col min="13" max="13" width="11.7109375" style="1" bestFit="1" customWidth="1"/>
    <col min="14" max="14" width="16.42578125" style="1" bestFit="1" customWidth="1"/>
    <col min="15" max="15" width="8.85546875" style="1" bestFit="1" customWidth="1"/>
    <col min="16" max="16" width="19.7109375" style="1" bestFit="1" customWidth="1"/>
    <col min="17" max="16384" width="8.7109375" style="1"/>
  </cols>
  <sheetData>
    <row r="1" spans="1:19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3" spans="1:19" s="7" customFormat="1" x14ac:dyDescent="0.2">
      <c r="A3" s="1"/>
      <c r="B3" s="3" t="s">
        <v>30</v>
      </c>
      <c r="C3" s="3" t="s">
        <v>31</v>
      </c>
      <c r="D3" s="3" t="s">
        <v>32</v>
      </c>
      <c r="E3" s="4" t="s">
        <v>33</v>
      </c>
      <c r="F3" s="5" t="s">
        <v>34</v>
      </c>
      <c r="G3" s="5" t="s">
        <v>12</v>
      </c>
      <c r="H3" s="5" t="s">
        <v>35</v>
      </c>
      <c r="I3" s="5" t="s">
        <v>36</v>
      </c>
      <c r="J3" s="5" t="s">
        <v>37</v>
      </c>
      <c r="K3" s="6" t="s">
        <v>16</v>
      </c>
      <c r="L3" s="5" t="s">
        <v>38</v>
      </c>
      <c r="M3" s="5" t="s">
        <v>14</v>
      </c>
      <c r="N3" s="5" t="s">
        <v>39</v>
      </c>
      <c r="O3" s="5" t="s">
        <v>40</v>
      </c>
      <c r="P3" s="5" t="s">
        <v>41</v>
      </c>
    </row>
    <row r="4" spans="1:19" x14ac:dyDescent="0.2">
      <c r="A4" s="2">
        <v>1</v>
      </c>
      <c r="B4" s="8">
        <v>350122001</v>
      </c>
      <c r="C4" s="8" t="s">
        <v>42</v>
      </c>
      <c r="D4" s="8" t="s">
        <v>17</v>
      </c>
      <c r="E4" s="9" t="s">
        <v>43</v>
      </c>
      <c r="F4" s="10" t="s">
        <v>44</v>
      </c>
      <c r="G4" s="10" t="s">
        <v>42</v>
      </c>
      <c r="H4" s="10" t="s">
        <v>45</v>
      </c>
      <c r="I4" s="11" t="s">
        <v>46</v>
      </c>
      <c r="J4" s="11" t="s">
        <v>47</v>
      </c>
      <c r="K4" s="12" t="s">
        <v>17</v>
      </c>
      <c r="L4" s="10" t="s">
        <v>5</v>
      </c>
      <c r="M4" s="10" t="s">
        <v>15</v>
      </c>
      <c r="N4" s="2" t="s">
        <v>17</v>
      </c>
      <c r="O4" s="2" t="s">
        <v>17</v>
      </c>
      <c r="P4" s="2" t="s">
        <v>17</v>
      </c>
      <c r="S4" s="13" t="e">
        <f>-J4</f>
        <v>#VALUE!</v>
      </c>
    </row>
    <row r="5" spans="1:19" x14ac:dyDescent="0.2">
      <c r="A5" s="2">
        <v>2</v>
      </c>
      <c r="B5" s="8">
        <v>350122002</v>
      </c>
      <c r="C5" s="8" t="s">
        <v>48</v>
      </c>
      <c r="D5" s="8" t="s">
        <v>17</v>
      </c>
      <c r="E5" s="9" t="s">
        <v>43</v>
      </c>
      <c r="F5" s="10" t="s">
        <v>49</v>
      </c>
      <c r="G5" s="10" t="s">
        <v>48</v>
      </c>
      <c r="H5" s="10" t="s">
        <v>45</v>
      </c>
      <c r="I5" s="11" t="s">
        <v>50</v>
      </c>
      <c r="J5" s="11" t="s">
        <v>51</v>
      </c>
      <c r="K5" s="12" t="s">
        <v>17</v>
      </c>
      <c r="L5" s="10" t="s">
        <v>5</v>
      </c>
      <c r="M5" s="10" t="s">
        <v>15</v>
      </c>
      <c r="N5" s="2" t="s">
        <v>17</v>
      </c>
      <c r="O5" s="2" t="s">
        <v>17</v>
      </c>
      <c r="P5" s="2" t="s">
        <v>17</v>
      </c>
      <c r="S5" s="13"/>
    </row>
    <row r="6" spans="1:19" x14ac:dyDescent="0.2">
      <c r="A6" s="2">
        <v>3</v>
      </c>
      <c r="B6" s="8">
        <v>350122003</v>
      </c>
      <c r="C6" s="8" t="s">
        <v>45</v>
      </c>
      <c r="D6" s="8" t="s">
        <v>17</v>
      </c>
      <c r="E6" s="9" t="s">
        <v>43</v>
      </c>
      <c r="F6" s="10" t="s">
        <v>52</v>
      </c>
      <c r="G6" s="10" t="s">
        <v>45</v>
      </c>
      <c r="H6" s="10" t="s">
        <v>45</v>
      </c>
      <c r="I6" s="11" t="s">
        <v>53</v>
      </c>
      <c r="J6" s="11" t="s">
        <v>54</v>
      </c>
      <c r="K6" s="12" t="s">
        <v>17</v>
      </c>
      <c r="L6" s="10" t="s">
        <v>5</v>
      </c>
      <c r="M6" s="10" t="s">
        <v>15</v>
      </c>
      <c r="N6" s="2" t="s">
        <v>17</v>
      </c>
      <c r="O6" s="2" t="s">
        <v>17</v>
      </c>
      <c r="P6" s="2" t="s">
        <v>17</v>
      </c>
      <c r="S6" s="13"/>
    </row>
    <row r="7" spans="1:19" x14ac:dyDescent="0.2">
      <c r="A7" s="2">
        <v>4</v>
      </c>
      <c r="B7" s="8">
        <v>350122004</v>
      </c>
      <c r="C7" s="8" t="s">
        <v>55</v>
      </c>
      <c r="D7" s="8" t="s">
        <v>17</v>
      </c>
      <c r="E7" s="9" t="s">
        <v>43</v>
      </c>
      <c r="F7" s="10" t="s">
        <v>56</v>
      </c>
      <c r="G7" s="10" t="s">
        <v>57</v>
      </c>
      <c r="H7" s="10" t="s">
        <v>45</v>
      </c>
      <c r="I7" s="11" t="s">
        <v>58</v>
      </c>
      <c r="J7" s="11" t="s">
        <v>59</v>
      </c>
      <c r="K7" s="12" t="s">
        <v>17</v>
      </c>
      <c r="L7" s="10" t="s">
        <v>5</v>
      </c>
      <c r="M7" s="10" t="s">
        <v>15</v>
      </c>
      <c r="N7" s="2" t="s">
        <v>17</v>
      </c>
      <c r="O7" s="2" t="s">
        <v>17</v>
      </c>
      <c r="P7" s="2" t="s">
        <v>17</v>
      </c>
      <c r="S7" s="13"/>
    </row>
    <row r="8" spans="1:19" x14ac:dyDescent="0.2">
      <c r="A8" s="2">
        <v>5</v>
      </c>
      <c r="B8" s="8">
        <v>350122005</v>
      </c>
      <c r="C8" s="8" t="s">
        <v>60</v>
      </c>
      <c r="D8" s="8" t="s">
        <v>17</v>
      </c>
      <c r="E8" s="9" t="s">
        <v>43</v>
      </c>
      <c r="F8" s="10" t="s">
        <v>60</v>
      </c>
      <c r="G8" s="10" t="s">
        <v>60</v>
      </c>
      <c r="H8" s="10" t="s">
        <v>45</v>
      </c>
      <c r="I8" s="11" t="s">
        <v>61</v>
      </c>
      <c r="J8" s="11" t="s">
        <v>62</v>
      </c>
      <c r="K8" s="12" t="s">
        <v>17</v>
      </c>
      <c r="L8" s="10" t="s">
        <v>5</v>
      </c>
      <c r="M8" s="10" t="s">
        <v>15</v>
      </c>
      <c r="N8" s="2" t="s">
        <v>17</v>
      </c>
      <c r="O8" s="2" t="s">
        <v>17</v>
      </c>
      <c r="P8" s="2" t="s">
        <v>17</v>
      </c>
      <c r="S8" s="13"/>
    </row>
    <row r="9" spans="1:19" x14ac:dyDescent="0.2">
      <c r="A9" s="2">
        <v>6</v>
      </c>
      <c r="B9" s="8">
        <v>350122006</v>
      </c>
      <c r="C9" s="8" t="s">
        <v>63</v>
      </c>
      <c r="D9" s="8" t="s">
        <v>17</v>
      </c>
      <c r="E9" s="9" t="s">
        <v>43</v>
      </c>
      <c r="F9" s="10" t="s">
        <v>63</v>
      </c>
      <c r="G9" s="10" t="s">
        <v>64</v>
      </c>
      <c r="H9" s="10" t="s">
        <v>45</v>
      </c>
      <c r="I9" s="11" t="s">
        <v>65</v>
      </c>
      <c r="J9" s="11" t="s">
        <v>66</v>
      </c>
      <c r="K9" s="12" t="s">
        <v>17</v>
      </c>
      <c r="L9" s="10" t="s">
        <v>5</v>
      </c>
      <c r="M9" s="10" t="s">
        <v>15</v>
      </c>
      <c r="N9" s="2" t="s">
        <v>17</v>
      </c>
      <c r="O9" s="2" t="s">
        <v>17</v>
      </c>
      <c r="P9" s="2" t="s">
        <v>17</v>
      </c>
      <c r="S9" s="13"/>
    </row>
    <row r="10" spans="1:19" x14ac:dyDescent="0.2">
      <c r="A10" s="2">
        <v>7</v>
      </c>
      <c r="B10" s="8">
        <v>350122007</v>
      </c>
      <c r="C10" s="8" t="s">
        <v>67</v>
      </c>
      <c r="D10" s="8" t="s">
        <v>17</v>
      </c>
      <c r="E10" s="9" t="s">
        <v>43</v>
      </c>
      <c r="F10" s="10" t="s">
        <v>68</v>
      </c>
      <c r="G10" s="10" t="s">
        <v>69</v>
      </c>
      <c r="H10" s="10" t="s">
        <v>45</v>
      </c>
      <c r="I10" s="11" t="s">
        <v>70</v>
      </c>
      <c r="J10" s="11" t="s">
        <v>71</v>
      </c>
      <c r="K10" s="12" t="s">
        <v>17</v>
      </c>
      <c r="L10" s="10" t="s">
        <v>5</v>
      </c>
      <c r="M10" s="10" t="s">
        <v>15</v>
      </c>
      <c r="N10" s="2" t="s">
        <v>17</v>
      </c>
      <c r="O10" s="2" t="s">
        <v>17</v>
      </c>
      <c r="P10" s="2" t="s">
        <v>17</v>
      </c>
      <c r="S10" s="13"/>
    </row>
    <row r="11" spans="1:19" x14ac:dyDescent="0.2">
      <c r="A11" s="2">
        <v>8</v>
      </c>
      <c r="B11" s="8">
        <v>350122008</v>
      </c>
      <c r="C11" s="8" t="s">
        <v>72</v>
      </c>
      <c r="D11" s="8" t="s">
        <v>17</v>
      </c>
      <c r="E11" s="9" t="s">
        <v>43</v>
      </c>
      <c r="F11" s="10" t="s">
        <v>73</v>
      </c>
      <c r="G11" s="10" t="s">
        <v>74</v>
      </c>
      <c r="H11" s="10" t="s">
        <v>45</v>
      </c>
      <c r="I11" s="11" t="s">
        <v>75</v>
      </c>
      <c r="J11" s="11" t="s">
        <v>76</v>
      </c>
      <c r="K11" s="12" t="s">
        <v>17</v>
      </c>
      <c r="L11" s="10" t="s">
        <v>5</v>
      </c>
      <c r="M11" s="10" t="s">
        <v>15</v>
      </c>
      <c r="N11" s="2" t="s">
        <v>17</v>
      </c>
      <c r="O11" s="2" t="s">
        <v>17</v>
      </c>
      <c r="P11" s="2" t="s">
        <v>17</v>
      </c>
      <c r="S11" s="13"/>
    </row>
    <row r="12" spans="1:19" x14ac:dyDescent="0.2">
      <c r="A12" s="2">
        <v>9</v>
      </c>
      <c r="B12" s="8">
        <v>350122009</v>
      </c>
      <c r="C12" s="8" t="s">
        <v>77</v>
      </c>
      <c r="D12" s="8" t="s">
        <v>17</v>
      </c>
      <c r="E12" s="9" t="s">
        <v>43</v>
      </c>
      <c r="F12" s="10" t="s">
        <v>77</v>
      </c>
      <c r="G12" s="10" t="s">
        <v>77</v>
      </c>
      <c r="H12" s="10" t="s">
        <v>45</v>
      </c>
      <c r="I12" s="11" t="s">
        <v>78</v>
      </c>
      <c r="J12" s="11" t="s">
        <v>79</v>
      </c>
      <c r="K12" s="12" t="s">
        <v>17</v>
      </c>
      <c r="L12" s="10" t="s">
        <v>5</v>
      </c>
      <c r="M12" s="10" t="s">
        <v>15</v>
      </c>
      <c r="N12" s="2" t="s">
        <v>17</v>
      </c>
      <c r="O12" s="2" t="s">
        <v>17</v>
      </c>
      <c r="P12" s="2" t="s">
        <v>17</v>
      </c>
      <c r="S12" s="13"/>
    </row>
    <row r="13" spans="1:19" x14ac:dyDescent="0.2">
      <c r="A13" s="2">
        <v>10</v>
      </c>
      <c r="B13" s="8">
        <v>350122010</v>
      </c>
      <c r="C13" s="8" t="s">
        <v>74</v>
      </c>
      <c r="D13" s="8" t="s">
        <v>17</v>
      </c>
      <c r="E13" s="9" t="s">
        <v>43</v>
      </c>
      <c r="F13" s="10" t="s">
        <v>74</v>
      </c>
      <c r="G13" s="10" t="s">
        <v>74</v>
      </c>
      <c r="H13" s="10" t="s">
        <v>45</v>
      </c>
      <c r="I13" s="11" t="s">
        <v>80</v>
      </c>
      <c r="J13" s="11" t="s">
        <v>81</v>
      </c>
      <c r="K13" s="12" t="s">
        <v>17</v>
      </c>
      <c r="L13" s="10" t="s">
        <v>5</v>
      </c>
      <c r="M13" s="10" t="s">
        <v>15</v>
      </c>
      <c r="N13" s="2" t="s">
        <v>17</v>
      </c>
      <c r="O13" s="2" t="s">
        <v>17</v>
      </c>
      <c r="P13" s="2" t="s">
        <v>17</v>
      </c>
      <c r="S13" s="13"/>
    </row>
    <row r="14" spans="1:19" x14ac:dyDescent="0.2">
      <c r="A14" s="2">
        <v>11</v>
      </c>
      <c r="B14" s="8">
        <v>350122011</v>
      </c>
      <c r="C14" s="8" t="s">
        <v>82</v>
      </c>
      <c r="D14" s="8" t="s">
        <v>17</v>
      </c>
      <c r="E14" s="9" t="s">
        <v>43</v>
      </c>
      <c r="F14" s="10" t="s">
        <v>83</v>
      </c>
      <c r="G14" s="10" t="s">
        <v>84</v>
      </c>
      <c r="H14" s="10" t="s">
        <v>45</v>
      </c>
      <c r="I14" s="11" t="s">
        <v>85</v>
      </c>
      <c r="J14" s="11" t="s">
        <v>86</v>
      </c>
      <c r="K14" s="12" t="s">
        <v>17</v>
      </c>
      <c r="L14" s="10" t="s">
        <v>5</v>
      </c>
      <c r="M14" s="10" t="s">
        <v>15</v>
      </c>
      <c r="N14" s="2" t="s">
        <v>17</v>
      </c>
      <c r="O14" s="2" t="s">
        <v>17</v>
      </c>
      <c r="P14" s="2" t="s">
        <v>17</v>
      </c>
      <c r="S14" s="13"/>
    </row>
    <row r="15" spans="1:19" x14ac:dyDescent="0.2">
      <c r="A15" s="2">
        <v>12</v>
      </c>
      <c r="B15" s="8">
        <v>350122012</v>
      </c>
      <c r="C15" s="8" t="s">
        <v>87</v>
      </c>
      <c r="D15" s="8" t="s">
        <v>17</v>
      </c>
      <c r="E15" s="9" t="s">
        <v>43</v>
      </c>
      <c r="F15" s="10" t="s">
        <v>87</v>
      </c>
      <c r="G15" s="10" t="s">
        <v>88</v>
      </c>
      <c r="H15" s="10" t="s">
        <v>45</v>
      </c>
      <c r="I15" s="11" t="s">
        <v>89</v>
      </c>
      <c r="J15" s="11" t="s">
        <v>90</v>
      </c>
      <c r="K15" s="12" t="s">
        <v>17</v>
      </c>
      <c r="L15" s="10" t="s">
        <v>5</v>
      </c>
      <c r="M15" s="10" t="s">
        <v>15</v>
      </c>
      <c r="N15" s="2" t="s">
        <v>17</v>
      </c>
      <c r="O15" s="2" t="s">
        <v>17</v>
      </c>
      <c r="P15" s="2" t="s">
        <v>17</v>
      </c>
      <c r="S15" s="13"/>
    </row>
    <row r="16" spans="1:19" x14ac:dyDescent="0.2">
      <c r="A16" s="2">
        <v>13</v>
      </c>
      <c r="B16" s="8">
        <v>350122013</v>
      </c>
      <c r="C16" s="8" t="s">
        <v>91</v>
      </c>
      <c r="D16" s="8" t="s">
        <v>17</v>
      </c>
      <c r="E16" s="9" t="s">
        <v>43</v>
      </c>
      <c r="F16" s="10" t="s">
        <v>92</v>
      </c>
      <c r="G16" s="10" t="s">
        <v>57</v>
      </c>
      <c r="H16" s="10" t="s">
        <v>45</v>
      </c>
      <c r="I16" s="11" t="s">
        <v>93</v>
      </c>
      <c r="J16" s="11" t="s">
        <v>94</v>
      </c>
      <c r="K16" s="12" t="s">
        <v>17</v>
      </c>
      <c r="L16" s="10" t="s">
        <v>5</v>
      </c>
      <c r="M16" s="10" t="s">
        <v>15</v>
      </c>
      <c r="N16" s="2" t="s">
        <v>17</v>
      </c>
      <c r="O16" s="2" t="s">
        <v>17</v>
      </c>
      <c r="P16" s="2" t="s">
        <v>17</v>
      </c>
      <c r="S16" s="13"/>
    </row>
    <row r="17" spans="1:19" x14ac:dyDescent="0.2">
      <c r="A17" s="2">
        <v>14</v>
      </c>
      <c r="B17" s="8">
        <v>350122014</v>
      </c>
      <c r="C17" s="8" t="s">
        <v>95</v>
      </c>
      <c r="D17" s="8" t="s">
        <v>17</v>
      </c>
      <c r="E17" s="9" t="s">
        <v>43</v>
      </c>
      <c r="F17" s="10" t="s">
        <v>96</v>
      </c>
      <c r="G17" s="10" t="s">
        <v>74</v>
      </c>
      <c r="H17" s="10" t="s">
        <v>45</v>
      </c>
      <c r="I17" s="11" t="s">
        <v>97</v>
      </c>
      <c r="J17" s="11" t="s">
        <v>98</v>
      </c>
      <c r="K17" s="12" t="s">
        <v>17</v>
      </c>
      <c r="L17" s="10" t="s">
        <v>5</v>
      </c>
      <c r="M17" s="10" t="s">
        <v>15</v>
      </c>
      <c r="N17" s="2" t="s">
        <v>17</v>
      </c>
      <c r="O17" s="2" t="s">
        <v>17</v>
      </c>
      <c r="P17" s="2" t="s">
        <v>17</v>
      </c>
      <c r="S17" s="13"/>
    </row>
    <row r="18" spans="1:19" x14ac:dyDescent="0.2">
      <c r="A18" s="2">
        <v>15</v>
      </c>
      <c r="B18" s="8">
        <v>350122015</v>
      </c>
      <c r="C18" s="8" t="s">
        <v>99</v>
      </c>
      <c r="D18" s="8" t="s">
        <v>17</v>
      </c>
      <c r="E18" s="9" t="s">
        <v>43</v>
      </c>
      <c r="F18" s="10" t="s">
        <v>100</v>
      </c>
      <c r="G18" s="10" t="s">
        <v>60</v>
      </c>
      <c r="H18" s="10" t="s">
        <v>45</v>
      </c>
      <c r="I18" s="11" t="s">
        <v>101</v>
      </c>
      <c r="J18" s="11" t="s">
        <v>102</v>
      </c>
      <c r="K18" s="12" t="s">
        <v>17</v>
      </c>
      <c r="L18" s="10" t="s">
        <v>5</v>
      </c>
      <c r="M18" s="10" t="s">
        <v>15</v>
      </c>
      <c r="N18" s="2" t="s">
        <v>17</v>
      </c>
      <c r="O18" s="2" t="s">
        <v>17</v>
      </c>
      <c r="P18" s="2" t="s">
        <v>17</v>
      </c>
      <c r="S18" s="13"/>
    </row>
    <row r="19" spans="1:19" x14ac:dyDescent="0.2">
      <c r="A19" s="2">
        <v>16</v>
      </c>
      <c r="B19" s="8">
        <v>350122016</v>
      </c>
      <c r="C19" s="8" t="s">
        <v>103</v>
      </c>
      <c r="D19" s="8" t="s">
        <v>17</v>
      </c>
      <c r="E19" s="9" t="s">
        <v>43</v>
      </c>
      <c r="F19" s="10" t="s">
        <v>103</v>
      </c>
      <c r="G19" s="10" t="s">
        <v>104</v>
      </c>
      <c r="H19" s="10" t="s">
        <v>45</v>
      </c>
      <c r="I19" s="11" t="s">
        <v>105</v>
      </c>
      <c r="J19" s="11" t="s">
        <v>106</v>
      </c>
      <c r="K19" s="12" t="s">
        <v>17</v>
      </c>
      <c r="L19" s="10" t="s">
        <v>5</v>
      </c>
      <c r="M19" s="10" t="s">
        <v>15</v>
      </c>
      <c r="N19" s="2" t="s">
        <v>17</v>
      </c>
      <c r="O19" s="2" t="s">
        <v>17</v>
      </c>
      <c r="P19" s="2" t="s">
        <v>17</v>
      </c>
      <c r="S19" s="13"/>
    </row>
    <row r="20" spans="1:19" x14ac:dyDescent="0.2">
      <c r="A20" s="2">
        <v>17</v>
      </c>
      <c r="B20" s="8">
        <v>350122017</v>
      </c>
      <c r="C20" s="8" t="s">
        <v>107</v>
      </c>
      <c r="D20" s="8" t="s">
        <v>17</v>
      </c>
      <c r="E20" s="9" t="s">
        <v>43</v>
      </c>
      <c r="F20" s="10" t="s">
        <v>107</v>
      </c>
      <c r="G20" s="10" t="s">
        <v>108</v>
      </c>
      <c r="H20" s="10" t="s">
        <v>45</v>
      </c>
      <c r="I20" s="11" t="s">
        <v>109</v>
      </c>
      <c r="J20" s="11" t="s">
        <v>110</v>
      </c>
      <c r="K20" s="12" t="s">
        <v>17</v>
      </c>
      <c r="L20" s="10" t="s">
        <v>5</v>
      </c>
      <c r="M20" s="10" t="s">
        <v>15</v>
      </c>
      <c r="N20" s="2" t="s">
        <v>17</v>
      </c>
      <c r="O20" s="2" t="s">
        <v>17</v>
      </c>
      <c r="P20" s="2" t="s">
        <v>17</v>
      </c>
      <c r="S20" s="13"/>
    </row>
    <row r="21" spans="1:19" x14ac:dyDescent="0.2">
      <c r="A21" s="2">
        <v>18</v>
      </c>
      <c r="B21" s="8">
        <v>350122018</v>
      </c>
      <c r="C21" s="8" t="s">
        <v>111</v>
      </c>
      <c r="D21" s="8" t="s">
        <v>17</v>
      </c>
      <c r="E21" s="9" t="s">
        <v>43</v>
      </c>
      <c r="F21" s="10" t="s">
        <v>111</v>
      </c>
      <c r="G21" s="10" t="s">
        <v>88</v>
      </c>
      <c r="H21" s="10" t="s">
        <v>45</v>
      </c>
      <c r="I21" s="11" t="s">
        <v>112</v>
      </c>
      <c r="J21" s="11" t="s">
        <v>113</v>
      </c>
      <c r="K21" s="12" t="s">
        <v>17</v>
      </c>
      <c r="L21" s="10" t="s">
        <v>5</v>
      </c>
      <c r="M21" s="10" t="s">
        <v>15</v>
      </c>
      <c r="N21" s="2" t="s">
        <v>17</v>
      </c>
      <c r="O21" s="2" t="s">
        <v>17</v>
      </c>
      <c r="P21" s="2" t="s">
        <v>17</v>
      </c>
      <c r="S21" s="13"/>
    </row>
    <row r="22" spans="1:19" x14ac:dyDescent="0.2">
      <c r="A22" s="2">
        <v>19</v>
      </c>
      <c r="B22" s="8">
        <v>350122019</v>
      </c>
      <c r="C22" s="8" t="s">
        <v>114</v>
      </c>
      <c r="D22" s="8" t="s">
        <v>17</v>
      </c>
      <c r="E22" s="9" t="s">
        <v>43</v>
      </c>
      <c r="F22" s="10" t="s">
        <v>114</v>
      </c>
      <c r="G22" s="10" t="s">
        <v>115</v>
      </c>
      <c r="H22" s="10" t="s">
        <v>45</v>
      </c>
      <c r="I22" s="11" t="s">
        <v>116</v>
      </c>
      <c r="J22" s="11" t="s">
        <v>117</v>
      </c>
      <c r="K22" s="12" t="s">
        <v>17</v>
      </c>
      <c r="L22" s="10" t="s">
        <v>5</v>
      </c>
      <c r="M22" s="10" t="s">
        <v>15</v>
      </c>
      <c r="N22" s="2" t="s">
        <v>17</v>
      </c>
      <c r="O22" s="2" t="s">
        <v>17</v>
      </c>
      <c r="P22" s="2" t="s">
        <v>17</v>
      </c>
      <c r="S22" s="13"/>
    </row>
    <row r="23" spans="1:19" x14ac:dyDescent="0.2">
      <c r="A23" s="2">
        <v>20</v>
      </c>
      <c r="B23" s="8">
        <v>350122020</v>
      </c>
      <c r="C23" s="8" t="s">
        <v>118</v>
      </c>
      <c r="D23" s="8" t="s">
        <v>17</v>
      </c>
      <c r="E23" s="9" t="s">
        <v>43</v>
      </c>
      <c r="F23" s="10" t="s">
        <v>119</v>
      </c>
      <c r="G23" s="10" t="s">
        <v>120</v>
      </c>
      <c r="H23" s="10" t="s">
        <v>45</v>
      </c>
      <c r="I23" s="11" t="s">
        <v>121</v>
      </c>
      <c r="J23" s="11" t="s">
        <v>122</v>
      </c>
      <c r="K23" s="12" t="s">
        <v>17</v>
      </c>
      <c r="L23" s="10" t="s">
        <v>5</v>
      </c>
      <c r="M23" s="10" t="s">
        <v>15</v>
      </c>
      <c r="N23" s="2" t="s">
        <v>17</v>
      </c>
      <c r="O23" s="2" t="s">
        <v>17</v>
      </c>
      <c r="P23" s="2" t="s">
        <v>17</v>
      </c>
      <c r="S23" s="13"/>
    </row>
    <row r="24" spans="1:19" x14ac:dyDescent="0.2">
      <c r="A24" s="2">
        <v>21</v>
      </c>
      <c r="B24" s="8">
        <v>350122021</v>
      </c>
      <c r="C24" s="8" t="s">
        <v>123</v>
      </c>
      <c r="D24" s="8" t="s">
        <v>17</v>
      </c>
      <c r="E24" s="9" t="s">
        <v>43</v>
      </c>
      <c r="F24" s="10" t="s">
        <v>124</v>
      </c>
      <c r="G24" s="10" t="s">
        <v>69</v>
      </c>
      <c r="H24" s="10" t="s">
        <v>45</v>
      </c>
      <c r="I24" s="11" t="s">
        <v>125</v>
      </c>
      <c r="J24" s="11" t="s">
        <v>126</v>
      </c>
      <c r="K24" s="12" t="s">
        <v>17</v>
      </c>
      <c r="L24" s="10" t="s">
        <v>5</v>
      </c>
      <c r="M24" s="10" t="s">
        <v>15</v>
      </c>
      <c r="N24" s="2" t="s">
        <v>17</v>
      </c>
      <c r="O24" s="2" t="s">
        <v>17</v>
      </c>
      <c r="P24" s="2" t="s">
        <v>17</v>
      </c>
      <c r="S24" s="13"/>
    </row>
    <row r="25" spans="1:19" x14ac:dyDescent="0.2">
      <c r="A25" s="2">
        <v>22</v>
      </c>
      <c r="B25" s="8">
        <v>350122022</v>
      </c>
      <c r="C25" s="8" t="s">
        <v>104</v>
      </c>
      <c r="D25" s="8" t="s">
        <v>17</v>
      </c>
      <c r="E25" s="9" t="s">
        <v>43</v>
      </c>
      <c r="F25" s="10" t="s">
        <v>127</v>
      </c>
      <c r="G25" s="10" t="s">
        <v>104</v>
      </c>
      <c r="H25" s="10" t="s">
        <v>45</v>
      </c>
      <c r="I25" s="11" t="s">
        <v>128</v>
      </c>
      <c r="J25" s="11" t="s">
        <v>129</v>
      </c>
      <c r="K25" s="12" t="s">
        <v>17</v>
      </c>
      <c r="L25" s="10" t="s">
        <v>5</v>
      </c>
      <c r="M25" s="10" t="s">
        <v>15</v>
      </c>
      <c r="N25" s="2" t="s">
        <v>17</v>
      </c>
      <c r="O25" s="2" t="s">
        <v>17</v>
      </c>
      <c r="P25" s="2" t="s">
        <v>17</v>
      </c>
      <c r="S25" s="13"/>
    </row>
    <row r="26" spans="1:19" x14ac:dyDescent="0.2">
      <c r="A26" s="2">
        <v>23</v>
      </c>
      <c r="B26" s="8">
        <v>350122023</v>
      </c>
      <c r="C26" s="8" t="s">
        <v>130</v>
      </c>
      <c r="D26" s="8" t="s">
        <v>17</v>
      </c>
      <c r="E26" s="9" t="s">
        <v>43</v>
      </c>
      <c r="F26" s="10" t="s">
        <v>119</v>
      </c>
      <c r="G26" s="10" t="s">
        <v>120</v>
      </c>
      <c r="H26" s="10" t="s">
        <v>45</v>
      </c>
      <c r="I26" s="11" t="s">
        <v>131</v>
      </c>
      <c r="J26" s="11" t="s">
        <v>132</v>
      </c>
      <c r="K26" s="12" t="s">
        <v>17</v>
      </c>
      <c r="L26" s="10" t="s">
        <v>5</v>
      </c>
      <c r="M26" s="10" t="s">
        <v>15</v>
      </c>
      <c r="N26" s="2" t="s">
        <v>17</v>
      </c>
      <c r="O26" s="2" t="s">
        <v>17</v>
      </c>
      <c r="P26" s="2" t="s">
        <v>17</v>
      </c>
      <c r="S26" s="13"/>
    </row>
    <row r="27" spans="1:19" x14ac:dyDescent="0.2">
      <c r="A27" s="2">
        <v>24</v>
      </c>
      <c r="B27" s="8">
        <v>350122024</v>
      </c>
      <c r="C27" s="8" t="s">
        <v>133</v>
      </c>
      <c r="D27" s="8" t="s">
        <v>17</v>
      </c>
      <c r="E27" s="9" t="s">
        <v>43</v>
      </c>
      <c r="F27" s="10" t="s">
        <v>133</v>
      </c>
      <c r="G27" s="10" t="s">
        <v>134</v>
      </c>
      <c r="H27" s="10" t="s">
        <v>45</v>
      </c>
      <c r="I27" s="11" t="s">
        <v>135</v>
      </c>
      <c r="J27" s="11" t="s">
        <v>136</v>
      </c>
      <c r="K27" s="12" t="s">
        <v>17</v>
      </c>
      <c r="L27" s="10" t="s">
        <v>5</v>
      </c>
      <c r="M27" s="10" t="s">
        <v>15</v>
      </c>
      <c r="N27" s="2" t="s">
        <v>17</v>
      </c>
      <c r="O27" s="2" t="s">
        <v>17</v>
      </c>
      <c r="P27" s="2" t="s">
        <v>17</v>
      </c>
      <c r="S27" s="13"/>
    </row>
    <row r="28" spans="1:19" x14ac:dyDescent="0.2">
      <c r="A28" s="2">
        <v>25</v>
      </c>
      <c r="B28" s="8">
        <v>350122025</v>
      </c>
      <c r="C28" s="8" t="s">
        <v>84</v>
      </c>
      <c r="D28" s="8" t="s">
        <v>17</v>
      </c>
      <c r="E28" s="9" t="s">
        <v>43</v>
      </c>
      <c r="F28" s="10" t="s">
        <v>84</v>
      </c>
      <c r="G28" s="10" t="s">
        <v>84</v>
      </c>
      <c r="H28" s="10" t="s">
        <v>45</v>
      </c>
      <c r="I28" s="11" t="s">
        <v>137</v>
      </c>
      <c r="J28" s="11" t="s">
        <v>138</v>
      </c>
      <c r="K28" s="12" t="s">
        <v>17</v>
      </c>
      <c r="L28" s="10" t="s">
        <v>5</v>
      </c>
      <c r="M28" s="10" t="s">
        <v>15</v>
      </c>
      <c r="N28" s="2" t="s">
        <v>17</v>
      </c>
      <c r="O28" s="2" t="s">
        <v>17</v>
      </c>
      <c r="P28" s="2" t="s">
        <v>17</v>
      </c>
      <c r="S28" s="13"/>
    </row>
    <row r="29" spans="1:19" x14ac:dyDescent="0.2">
      <c r="A29" s="2">
        <v>26</v>
      </c>
      <c r="B29" s="8">
        <v>350122026</v>
      </c>
      <c r="C29" s="8" t="s">
        <v>139</v>
      </c>
      <c r="D29" s="8" t="s">
        <v>17</v>
      </c>
      <c r="E29" s="9" t="s">
        <v>43</v>
      </c>
      <c r="F29" s="10" t="s">
        <v>139</v>
      </c>
      <c r="G29" s="10" t="s">
        <v>68</v>
      </c>
      <c r="H29" s="10" t="s">
        <v>45</v>
      </c>
      <c r="I29" s="11" t="s">
        <v>140</v>
      </c>
      <c r="J29" s="11" t="s">
        <v>141</v>
      </c>
      <c r="K29" s="12" t="s">
        <v>17</v>
      </c>
      <c r="L29" s="10" t="s">
        <v>5</v>
      </c>
      <c r="M29" s="10" t="s">
        <v>15</v>
      </c>
      <c r="N29" s="2" t="s">
        <v>17</v>
      </c>
      <c r="O29" s="2" t="s">
        <v>17</v>
      </c>
      <c r="P29" s="2" t="s">
        <v>17</v>
      </c>
      <c r="S29" s="13"/>
    </row>
    <row r="30" spans="1:19" x14ac:dyDescent="0.2">
      <c r="A30" s="2">
        <v>27</v>
      </c>
      <c r="B30" s="8">
        <v>350122027</v>
      </c>
      <c r="C30" s="8" t="s">
        <v>142</v>
      </c>
      <c r="D30" s="8" t="s">
        <v>17</v>
      </c>
      <c r="E30" s="9" t="s">
        <v>43</v>
      </c>
      <c r="F30" s="10" t="s">
        <v>142</v>
      </c>
      <c r="G30" s="10" t="s">
        <v>142</v>
      </c>
      <c r="H30" s="10" t="s">
        <v>45</v>
      </c>
      <c r="I30" s="11" t="s">
        <v>143</v>
      </c>
      <c r="J30" s="11" t="s">
        <v>144</v>
      </c>
      <c r="K30" s="12" t="s">
        <v>17</v>
      </c>
      <c r="L30" s="10" t="s">
        <v>5</v>
      </c>
      <c r="M30" s="10" t="s">
        <v>15</v>
      </c>
      <c r="N30" s="2" t="s">
        <v>17</v>
      </c>
      <c r="O30" s="2" t="s">
        <v>17</v>
      </c>
      <c r="P30" s="2" t="s">
        <v>17</v>
      </c>
      <c r="S30" s="13"/>
    </row>
    <row r="31" spans="1:19" x14ac:dyDescent="0.2">
      <c r="A31" s="2">
        <v>28</v>
      </c>
      <c r="B31" s="8">
        <v>350122028</v>
      </c>
      <c r="C31" s="8" t="s">
        <v>145</v>
      </c>
      <c r="D31" s="8" t="s">
        <v>17</v>
      </c>
      <c r="E31" s="9" t="s">
        <v>43</v>
      </c>
      <c r="F31" s="10" t="s">
        <v>145</v>
      </c>
      <c r="G31" s="10" t="s">
        <v>115</v>
      </c>
      <c r="H31" s="10" t="s">
        <v>45</v>
      </c>
      <c r="I31" s="11" t="s">
        <v>146</v>
      </c>
      <c r="J31" s="11" t="s">
        <v>147</v>
      </c>
      <c r="K31" s="12" t="s">
        <v>17</v>
      </c>
      <c r="L31" s="10" t="s">
        <v>5</v>
      </c>
      <c r="M31" s="10" t="s">
        <v>15</v>
      </c>
      <c r="N31" s="2" t="s">
        <v>17</v>
      </c>
      <c r="O31" s="2" t="s">
        <v>17</v>
      </c>
      <c r="P31" s="2" t="s">
        <v>17</v>
      </c>
      <c r="S31" s="13"/>
    </row>
    <row r="32" spans="1:19" x14ac:dyDescent="0.2">
      <c r="A32" s="2">
        <v>29</v>
      </c>
      <c r="B32" s="8">
        <v>350122029</v>
      </c>
      <c r="C32" s="8" t="s">
        <v>148</v>
      </c>
      <c r="D32" s="8" t="s">
        <v>17</v>
      </c>
      <c r="E32" s="9" t="s">
        <v>43</v>
      </c>
      <c r="F32" s="10" t="s">
        <v>148</v>
      </c>
      <c r="G32" s="10" t="s">
        <v>149</v>
      </c>
      <c r="H32" s="10" t="s">
        <v>45</v>
      </c>
      <c r="I32" s="11" t="s">
        <v>150</v>
      </c>
      <c r="J32" s="11" t="s">
        <v>151</v>
      </c>
      <c r="K32" s="12" t="s">
        <v>17</v>
      </c>
      <c r="L32" s="10" t="s">
        <v>5</v>
      </c>
      <c r="M32" s="10" t="s">
        <v>15</v>
      </c>
      <c r="N32" s="2" t="s">
        <v>17</v>
      </c>
      <c r="O32" s="2" t="s">
        <v>17</v>
      </c>
      <c r="P32" s="2" t="s">
        <v>17</v>
      </c>
      <c r="S32" s="13"/>
    </row>
    <row r="33" spans="1:19" x14ac:dyDescent="0.2">
      <c r="A33" s="2">
        <v>30</v>
      </c>
      <c r="B33" s="8">
        <v>350122030</v>
      </c>
      <c r="C33" s="8" t="s">
        <v>152</v>
      </c>
      <c r="D33" s="8" t="s">
        <v>17</v>
      </c>
      <c r="E33" s="9" t="s">
        <v>43</v>
      </c>
      <c r="F33" s="10" t="s">
        <v>152</v>
      </c>
      <c r="G33" s="10" t="s">
        <v>69</v>
      </c>
      <c r="H33" s="10" t="s">
        <v>45</v>
      </c>
      <c r="I33" s="11" t="s">
        <v>153</v>
      </c>
      <c r="J33" s="11" t="s">
        <v>154</v>
      </c>
      <c r="K33" s="12" t="s">
        <v>17</v>
      </c>
      <c r="L33" s="10" t="s">
        <v>5</v>
      </c>
      <c r="M33" s="10" t="s">
        <v>15</v>
      </c>
      <c r="N33" s="2" t="s">
        <v>17</v>
      </c>
      <c r="O33" s="2" t="s">
        <v>17</v>
      </c>
      <c r="P33" s="2" t="s">
        <v>17</v>
      </c>
      <c r="S33" s="13"/>
    </row>
    <row r="34" spans="1:19" x14ac:dyDescent="0.2">
      <c r="A34" s="2">
        <v>31</v>
      </c>
      <c r="B34" s="8">
        <v>350122031</v>
      </c>
      <c r="C34" s="8" t="s">
        <v>155</v>
      </c>
      <c r="D34" s="8" t="s">
        <v>17</v>
      </c>
      <c r="E34" s="9" t="s">
        <v>43</v>
      </c>
      <c r="F34" s="10" t="s">
        <v>104</v>
      </c>
      <c r="G34" s="10" t="s">
        <v>156</v>
      </c>
      <c r="H34" s="10" t="s">
        <v>45</v>
      </c>
      <c r="I34" s="11" t="s">
        <v>157</v>
      </c>
      <c r="J34" s="11" t="s">
        <v>158</v>
      </c>
      <c r="K34" s="12" t="s">
        <v>17</v>
      </c>
      <c r="L34" s="10" t="s">
        <v>5</v>
      </c>
      <c r="M34" s="10" t="s">
        <v>15</v>
      </c>
      <c r="N34" s="2" t="s">
        <v>17</v>
      </c>
      <c r="O34" s="2" t="s">
        <v>17</v>
      </c>
      <c r="P34" s="2" t="s">
        <v>17</v>
      </c>
      <c r="S34" s="13"/>
    </row>
    <row r="35" spans="1:19" x14ac:dyDescent="0.2">
      <c r="A35" s="2">
        <v>32</v>
      </c>
      <c r="B35" s="8">
        <v>350122032</v>
      </c>
      <c r="C35" s="8" t="s">
        <v>159</v>
      </c>
      <c r="D35" s="8" t="s">
        <v>17</v>
      </c>
      <c r="E35" s="9" t="s">
        <v>43</v>
      </c>
      <c r="F35" s="10" t="s">
        <v>160</v>
      </c>
      <c r="G35" s="10" t="s">
        <v>159</v>
      </c>
      <c r="H35" s="10" t="s">
        <v>45</v>
      </c>
      <c r="I35" s="11" t="s">
        <v>161</v>
      </c>
      <c r="J35" s="11" t="s">
        <v>162</v>
      </c>
      <c r="K35" s="12" t="s">
        <v>17</v>
      </c>
      <c r="L35" s="10" t="s">
        <v>5</v>
      </c>
      <c r="M35" s="10" t="s">
        <v>15</v>
      </c>
      <c r="N35" s="2" t="s">
        <v>17</v>
      </c>
      <c r="O35" s="2" t="s">
        <v>17</v>
      </c>
      <c r="P35" s="2" t="s">
        <v>17</v>
      </c>
      <c r="S35" s="13"/>
    </row>
    <row r="36" spans="1:19" x14ac:dyDescent="0.2">
      <c r="A36" s="2">
        <v>33</v>
      </c>
      <c r="B36" s="8">
        <v>350123001</v>
      </c>
      <c r="C36" s="8" t="s">
        <v>163</v>
      </c>
      <c r="D36" s="8" t="s">
        <v>17</v>
      </c>
      <c r="E36" s="9" t="s">
        <v>43</v>
      </c>
      <c r="F36" s="10" t="s">
        <v>163</v>
      </c>
      <c r="G36" s="10" t="s">
        <v>164</v>
      </c>
      <c r="H36" s="10" t="s">
        <v>165</v>
      </c>
      <c r="I36" s="11" t="s">
        <v>166</v>
      </c>
      <c r="J36" s="11" t="s">
        <v>167</v>
      </c>
      <c r="K36" s="12" t="s">
        <v>17</v>
      </c>
      <c r="L36" s="10" t="s">
        <v>5</v>
      </c>
      <c r="M36" s="10" t="s">
        <v>15</v>
      </c>
      <c r="N36" s="2" t="s">
        <v>17</v>
      </c>
      <c r="O36" s="2" t="s">
        <v>17</v>
      </c>
      <c r="P36" s="2" t="s">
        <v>17</v>
      </c>
      <c r="S36" s="13"/>
    </row>
    <row r="37" spans="1:19" x14ac:dyDescent="0.2">
      <c r="A37" s="2">
        <v>34</v>
      </c>
      <c r="B37" s="8">
        <v>350123002</v>
      </c>
      <c r="C37" s="8" t="s">
        <v>168</v>
      </c>
      <c r="D37" s="8" t="s">
        <v>17</v>
      </c>
      <c r="E37" s="9" t="s">
        <v>43</v>
      </c>
      <c r="F37" s="10" t="s">
        <v>168</v>
      </c>
      <c r="G37" s="10" t="s">
        <v>169</v>
      </c>
      <c r="H37" s="10" t="s">
        <v>165</v>
      </c>
      <c r="I37" s="11" t="s">
        <v>170</v>
      </c>
      <c r="J37" s="11" t="s">
        <v>171</v>
      </c>
      <c r="K37" s="12" t="s">
        <v>17</v>
      </c>
      <c r="L37" s="10" t="s">
        <v>5</v>
      </c>
      <c r="M37" s="10" t="s">
        <v>15</v>
      </c>
      <c r="N37" s="2" t="s">
        <v>17</v>
      </c>
      <c r="O37" s="2" t="s">
        <v>17</v>
      </c>
      <c r="P37" s="2" t="s">
        <v>17</v>
      </c>
      <c r="S37" s="13"/>
    </row>
    <row r="38" spans="1:19" x14ac:dyDescent="0.2">
      <c r="A38" s="2">
        <v>35</v>
      </c>
      <c r="B38" s="8">
        <v>350123003</v>
      </c>
      <c r="C38" s="8" t="s">
        <v>172</v>
      </c>
      <c r="D38" s="8" t="s">
        <v>17</v>
      </c>
      <c r="E38" s="9" t="s">
        <v>43</v>
      </c>
      <c r="F38" s="10" t="s">
        <v>172</v>
      </c>
      <c r="G38" s="10" t="s">
        <v>173</v>
      </c>
      <c r="H38" s="10" t="s">
        <v>165</v>
      </c>
      <c r="I38" s="11" t="s">
        <v>174</v>
      </c>
      <c r="J38" s="11" t="s">
        <v>175</v>
      </c>
      <c r="K38" s="12" t="s">
        <v>17</v>
      </c>
      <c r="L38" s="10" t="s">
        <v>5</v>
      </c>
      <c r="M38" s="10" t="s">
        <v>15</v>
      </c>
      <c r="N38" s="2" t="s">
        <v>17</v>
      </c>
      <c r="O38" s="2" t="s">
        <v>17</v>
      </c>
      <c r="P38" s="2" t="s">
        <v>17</v>
      </c>
      <c r="S38" s="13"/>
    </row>
    <row r="39" spans="1:19" x14ac:dyDescent="0.2">
      <c r="A39" s="2">
        <v>36</v>
      </c>
      <c r="B39" s="8">
        <v>350123004</v>
      </c>
      <c r="C39" s="8" t="s">
        <v>176</v>
      </c>
      <c r="D39" s="8" t="s">
        <v>17</v>
      </c>
      <c r="E39" s="9" t="s">
        <v>43</v>
      </c>
      <c r="F39" s="10" t="s">
        <v>176</v>
      </c>
      <c r="G39" s="10" t="s">
        <v>173</v>
      </c>
      <c r="H39" s="10" t="s">
        <v>165</v>
      </c>
      <c r="I39" s="11" t="s">
        <v>177</v>
      </c>
      <c r="J39" s="11" t="s">
        <v>178</v>
      </c>
      <c r="K39" s="12" t="s">
        <v>17</v>
      </c>
      <c r="L39" s="10" t="s">
        <v>5</v>
      </c>
      <c r="M39" s="10" t="s">
        <v>15</v>
      </c>
      <c r="N39" s="2" t="s">
        <v>17</v>
      </c>
      <c r="O39" s="2" t="s">
        <v>17</v>
      </c>
      <c r="P39" s="2" t="s">
        <v>17</v>
      </c>
      <c r="S39" s="13"/>
    </row>
    <row r="40" spans="1:19" x14ac:dyDescent="0.2">
      <c r="A40" s="2">
        <v>37</v>
      </c>
      <c r="B40" s="8">
        <v>350123005</v>
      </c>
      <c r="C40" s="8" t="s">
        <v>179</v>
      </c>
      <c r="D40" s="8" t="s">
        <v>17</v>
      </c>
      <c r="E40" s="9" t="s">
        <v>43</v>
      </c>
      <c r="F40" s="10" t="s">
        <v>180</v>
      </c>
      <c r="G40" s="10" t="s">
        <v>180</v>
      </c>
      <c r="H40" s="10" t="s">
        <v>165</v>
      </c>
      <c r="I40" s="11" t="s">
        <v>181</v>
      </c>
      <c r="J40" s="11" t="s">
        <v>182</v>
      </c>
      <c r="K40" s="12" t="s">
        <v>17</v>
      </c>
      <c r="L40" s="10" t="s">
        <v>5</v>
      </c>
      <c r="M40" s="10" t="s">
        <v>15</v>
      </c>
      <c r="N40" s="2" t="s">
        <v>17</v>
      </c>
      <c r="O40" s="2" t="s">
        <v>17</v>
      </c>
      <c r="P40" s="2" t="s">
        <v>17</v>
      </c>
      <c r="S40" s="13"/>
    </row>
    <row r="41" spans="1:19" x14ac:dyDescent="0.2">
      <c r="A41" s="2">
        <v>38</v>
      </c>
      <c r="B41" s="8">
        <v>350123006</v>
      </c>
      <c r="C41" s="8" t="s">
        <v>183</v>
      </c>
      <c r="D41" s="8" t="s">
        <v>17</v>
      </c>
      <c r="E41" s="9" t="s">
        <v>43</v>
      </c>
      <c r="F41" s="10" t="s">
        <v>184</v>
      </c>
      <c r="G41" s="10" t="s">
        <v>185</v>
      </c>
      <c r="H41" s="10" t="s">
        <v>165</v>
      </c>
      <c r="I41" s="11" t="s">
        <v>186</v>
      </c>
      <c r="J41" s="11" t="s">
        <v>187</v>
      </c>
      <c r="K41" s="12" t="s">
        <v>17</v>
      </c>
      <c r="L41" s="10" t="s">
        <v>5</v>
      </c>
      <c r="M41" s="10" t="s">
        <v>15</v>
      </c>
      <c r="N41" s="2" t="s">
        <v>17</v>
      </c>
      <c r="O41" s="2" t="s">
        <v>17</v>
      </c>
      <c r="P41" s="2" t="s">
        <v>17</v>
      </c>
      <c r="S41" s="13"/>
    </row>
    <row r="42" spans="1:19" x14ac:dyDescent="0.2">
      <c r="A42" s="2">
        <v>39</v>
      </c>
      <c r="B42" s="8">
        <v>350123007</v>
      </c>
      <c r="C42" s="8" t="s">
        <v>188</v>
      </c>
      <c r="D42" s="8" t="s">
        <v>17</v>
      </c>
      <c r="E42" s="9" t="s">
        <v>43</v>
      </c>
      <c r="F42" s="10" t="s">
        <v>188</v>
      </c>
      <c r="G42" s="10" t="s">
        <v>189</v>
      </c>
      <c r="H42" s="10" t="s">
        <v>165</v>
      </c>
      <c r="I42" s="11" t="s">
        <v>190</v>
      </c>
      <c r="J42" s="11" t="s">
        <v>191</v>
      </c>
      <c r="K42" s="12" t="s">
        <v>17</v>
      </c>
      <c r="L42" s="10" t="s">
        <v>5</v>
      </c>
      <c r="M42" s="10" t="s">
        <v>15</v>
      </c>
      <c r="N42" s="2" t="s">
        <v>17</v>
      </c>
      <c r="O42" s="2" t="s">
        <v>17</v>
      </c>
      <c r="P42" s="2" t="s">
        <v>17</v>
      </c>
      <c r="S42" s="13"/>
    </row>
    <row r="43" spans="1:19" x14ac:dyDescent="0.2">
      <c r="A43" s="2">
        <v>40</v>
      </c>
      <c r="B43" s="8">
        <v>350123008</v>
      </c>
      <c r="C43" s="8" t="s">
        <v>192</v>
      </c>
      <c r="D43" s="8" t="s">
        <v>17</v>
      </c>
      <c r="E43" s="9" t="s">
        <v>43</v>
      </c>
      <c r="F43" s="10" t="s">
        <v>193</v>
      </c>
      <c r="G43" s="10" t="s">
        <v>173</v>
      </c>
      <c r="H43" s="10" t="s">
        <v>165</v>
      </c>
      <c r="I43" s="11" t="s">
        <v>194</v>
      </c>
      <c r="J43" s="11" t="s">
        <v>195</v>
      </c>
      <c r="K43" s="12" t="s">
        <v>17</v>
      </c>
      <c r="L43" s="10" t="s">
        <v>5</v>
      </c>
      <c r="M43" s="10" t="s">
        <v>15</v>
      </c>
      <c r="N43" s="2" t="s">
        <v>17</v>
      </c>
      <c r="O43" s="2" t="s">
        <v>17</v>
      </c>
      <c r="P43" s="2" t="s">
        <v>17</v>
      </c>
      <c r="S43" s="13"/>
    </row>
    <row r="44" spans="1:19" x14ac:dyDescent="0.2">
      <c r="A44" s="2">
        <v>41</v>
      </c>
      <c r="B44" s="8">
        <v>350123009</v>
      </c>
      <c r="C44" s="8" t="s">
        <v>196</v>
      </c>
      <c r="D44" s="8" t="s">
        <v>17</v>
      </c>
      <c r="E44" s="9" t="s">
        <v>43</v>
      </c>
      <c r="F44" s="10" t="s">
        <v>197</v>
      </c>
      <c r="G44" s="10" t="s">
        <v>164</v>
      </c>
      <c r="H44" s="10" t="s">
        <v>165</v>
      </c>
      <c r="I44" s="11" t="s">
        <v>198</v>
      </c>
      <c r="J44" s="11" t="s">
        <v>199</v>
      </c>
      <c r="K44" s="12" t="s">
        <v>17</v>
      </c>
      <c r="L44" s="10" t="s">
        <v>5</v>
      </c>
      <c r="M44" s="10" t="s">
        <v>15</v>
      </c>
      <c r="N44" s="2" t="s">
        <v>17</v>
      </c>
      <c r="O44" s="2" t="s">
        <v>17</v>
      </c>
      <c r="P44" s="2" t="s">
        <v>17</v>
      </c>
      <c r="S44" s="13"/>
    </row>
    <row r="45" spans="1:19" x14ac:dyDescent="0.2">
      <c r="A45" s="2">
        <v>42</v>
      </c>
      <c r="B45" s="8">
        <v>350123010</v>
      </c>
      <c r="C45" s="8" t="s">
        <v>200</v>
      </c>
      <c r="D45" s="8" t="s">
        <v>17</v>
      </c>
      <c r="E45" s="9" t="s">
        <v>43</v>
      </c>
      <c r="F45" s="10" t="s">
        <v>201</v>
      </c>
      <c r="G45" s="10" t="s">
        <v>202</v>
      </c>
      <c r="H45" s="10" t="s">
        <v>165</v>
      </c>
      <c r="I45" s="11" t="s">
        <v>203</v>
      </c>
      <c r="J45" s="11" t="s">
        <v>204</v>
      </c>
      <c r="K45" s="12" t="s">
        <v>17</v>
      </c>
      <c r="L45" s="10" t="s">
        <v>5</v>
      </c>
      <c r="M45" s="10" t="s">
        <v>15</v>
      </c>
      <c r="N45" s="2" t="s">
        <v>17</v>
      </c>
      <c r="O45" s="2" t="s">
        <v>17</v>
      </c>
      <c r="P45" s="2" t="s">
        <v>17</v>
      </c>
      <c r="S45" s="13"/>
    </row>
    <row r="46" spans="1:19" x14ac:dyDescent="0.2">
      <c r="A46" s="2">
        <v>43</v>
      </c>
      <c r="B46" s="8">
        <v>350123011</v>
      </c>
      <c r="C46" s="8" t="s">
        <v>205</v>
      </c>
      <c r="D46" s="8" t="s">
        <v>17</v>
      </c>
      <c r="E46" s="9" t="s">
        <v>43</v>
      </c>
      <c r="F46" s="10" t="s">
        <v>206</v>
      </c>
      <c r="G46" s="10" t="s">
        <v>206</v>
      </c>
      <c r="H46" s="10" t="s">
        <v>165</v>
      </c>
      <c r="I46" s="11" t="s">
        <v>207</v>
      </c>
      <c r="J46" s="11" t="s">
        <v>208</v>
      </c>
      <c r="K46" s="12" t="s">
        <v>17</v>
      </c>
      <c r="L46" s="10" t="s">
        <v>5</v>
      </c>
      <c r="M46" s="10" t="s">
        <v>15</v>
      </c>
      <c r="N46" s="2" t="s">
        <v>17</v>
      </c>
      <c r="O46" s="2" t="s">
        <v>17</v>
      </c>
      <c r="P46" s="2" t="s">
        <v>17</v>
      </c>
      <c r="S46" s="13"/>
    </row>
    <row r="47" spans="1:19" x14ac:dyDescent="0.2">
      <c r="A47" s="2">
        <v>44</v>
      </c>
      <c r="B47" s="8">
        <v>350123012</v>
      </c>
      <c r="C47" s="8" t="s">
        <v>209</v>
      </c>
      <c r="D47" s="8" t="s">
        <v>17</v>
      </c>
      <c r="E47" s="9" t="s">
        <v>43</v>
      </c>
      <c r="F47" s="10" t="s">
        <v>210</v>
      </c>
      <c r="G47" s="10" t="s">
        <v>209</v>
      </c>
      <c r="H47" s="10" t="s">
        <v>165</v>
      </c>
      <c r="I47" s="11" t="s">
        <v>211</v>
      </c>
      <c r="J47" s="11" t="s">
        <v>212</v>
      </c>
      <c r="K47" s="12" t="s">
        <v>17</v>
      </c>
      <c r="L47" s="10" t="s">
        <v>5</v>
      </c>
      <c r="M47" s="10" t="s">
        <v>15</v>
      </c>
      <c r="N47" s="2" t="s">
        <v>17</v>
      </c>
      <c r="O47" s="2" t="s">
        <v>17</v>
      </c>
      <c r="P47" s="2" t="s">
        <v>17</v>
      </c>
      <c r="S47" s="13"/>
    </row>
    <row r="48" spans="1:19" x14ac:dyDescent="0.2">
      <c r="A48" s="2">
        <v>45</v>
      </c>
      <c r="B48" s="8">
        <v>350123013</v>
      </c>
      <c r="C48" s="8" t="s">
        <v>213</v>
      </c>
      <c r="D48" s="8" t="s">
        <v>17</v>
      </c>
      <c r="E48" s="9" t="s">
        <v>43</v>
      </c>
      <c r="F48" s="10" t="s">
        <v>214</v>
      </c>
      <c r="G48" s="10" t="s">
        <v>215</v>
      </c>
      <c r="H48" s="10" t="s">
        <v>165</v>
      </c>
      <c r="I48" s="11" t="s">
        <v>216</v>
      </c>
      <c r="J48" s="11" t="s">
        <v>217</v>
      </c>
      <c r="K48" s="12" t="s">
        <v>17</v>
      </c>
      <c r="L48" s="10" t="s">
        <v>5</v>
      </c>
      <c r="M48" s="10" t="s">
        <v>15</v>
      </c>
      <c r="N48" s="2" t="s">
        <v>17</v>
      </c>
      <c r="O48" s="2" t="s">
        <v>17</v>
      </c>
      <c r="P48" s="2" t="s">
        <v>17</v>
      </c>
      <c r="S48" s="13"/>
    </row>
    <row r="49" spans="1:19" x14ac:dyDescent="0.2">
      <c r="A49" s="2">
        <v>46</v>
      </c>
      <c r="B49" s="8">
        <v>350123014</v>
      </c>
      <c r="C49" s="8" t="s">
        <v>218</v>
      </c>
      <c r="D49" s="8" t="s">
        <v>17</v>
      </c>
      <c r="E49" s="9" t="s">
        <v>43</v>
      </c>
      <c r="F49" s="10" t="s">
        <v>218</v>
      </c>
      <c r="G49" s="10" t="s">
        <v>202</v>
      </c>
      <c r="H49" s="10" t="s">
        <v>165</v>
      </c>
      <c r="I49" s="11" t="s">
        <v>219</v>
      </c>
      <c r="J49" s="11" t="s">
        <v>220</v>
      </c>
      <c r="K49" s="12" t="s">
        <v>17</v>
      </c>
      <c r="L49" s="10" t="s">
        <v>5</v>
      </c>
      <c r="M49" s="10" t="s">
        <v>15</v>
      </c>
      <c r="N49" s="2" t="s">
        <v>17</v>
      </c>
      <c r="O49" s="2" t="s">
        <v>17</v>
      </c>
      <c r="P49" s="2" t="s">
        <v>17</v>
      </c>
      <c r="S49" s="13"/>
    </row>
    <row r="50" spans="1:19" x14ac:dyDescent="0.2">
      <c r="A50" s="2">
        <v>47</v>
      </c>
      <c r="B50" s="8">
        <v>350123015</v>
      </c>
      <c r="C50" s="8" t="s">
        <v>221</v>
      </c>
      <c r="D50" s="8" t="s">
        <v>17</v>
      </c>
      <c r="E50" s="9" t="s">
        <v>43</v>
      </c>
      <c r="F50" s="10" t="s">
        <v>222</v>
      </c>
      <c r="G50" s="10" t="s">
        <v>202</v>
      </c>
      <c r="H50" s="10" t="s">
        <v>165</v>
      </c>
      <c r="I50" s="11" t="s">
        <v>223</v>
      </c>
      <c r="J50" s="11" t="s">
        <v>224</v>
      </c>
      <c r="K50" s="12" t="s">
        <v>17</v>
      </c>
      <c r="L50" s="10" t="s">
        <v>5</v>
      </c>
      <c r="M50" s="10" t="s">
        <v>15</v>
      </c>
      <c r="N50" s="2" t="s">
        <v>17</v>
      </c>
      <c r="O50" s="2" t="s">
        <v>17</v>
      </c>
      <c r="P50" s="2" t="s">
        <v>17</v>
      </c>
      <c r="S50" s="13"/>
    </row>
    <row r="51" spans="1:19" x14ac:dyDescent="0.2">
      <c r="A51" s="2">
        <v>48</v>
      </c>
      <c r="B51" s="8">
        <v>350123016</v>
      </c>
      <c r="C51" s="8" t="s">
        <v>225</v>
      </c>
      <c r="D51" s="8" t="s">
        <v>17</v>
      </c>
      <c r="E51" s="9" t="s">
        <v>43</v>
      </c>
      <c r="F51" s="10" t="s">
        <v>226</v>
      </c>
      <c r="G51" s="10" t="s">
        <v>227</v>
      </c>
      <c r="H51" s="10" t="s">
        <v>165</v>
      </c>
      <c r="I51" s="11" t="s">
        <v>228</v>
      </c>
      <c r="J51" s="11" t="s">
        <v>229</v>
      </c>
      <c r="K51" s="12" t="s">
        <v>17</v>
      </c>
      <c r="L51" s="10" t="s">
        <v>5</v>
      </c>
      <c r="M51" s="10" t="s">
        <v>15</v>
      </c>
      <c r="N51" s="2" t="s">
        <v>17</v>
      </c>
      <c r="O51" s="2" t="s">
        <v>17</v>
      </c>
      <c r="P51" s="2" t="s">
        <v>17</v>
      </c>
      <c r="S51" s="13"/>
    </row>
    <row r="52" spans="1:19" x14ac:dyDescent="0.2">
      <c r="A52" s="2">
        <v>49</v>
      </c>
      <c r="B52" s="8">
        <v>350123017</v>
      </c>
      <c r="C52" s="8" t="s">
        <v>173</v>
      </c>
      <c r="D52" s="8" t="s">
        <v>17</v>
      </c>
      <c r="E52" s="9" t="s">
        <v>43</v>
      </c>
      <c r="F52" s="10" t="s">
        <v>230</v>
      </c>
      <c r="G52" s="10" t="s">
        <v>173</v>
      </c>
      <c r="H52" s="10" t="s">
        <v>165</v>
      </c>
      <c r="I52" s="11" t="s">
        <v>231</v>
      </c>
      <c r="J52" s="11" t="s">
        <v>232</v>
      </c>
      <c r="K52" s="12" t="s">
        <v>17</v>
      </c>
      <c r="L52" s="10" t="s">
        <v>5</v>
      </c>
      <c r="M52" s="10" t="s">
        <v>15</v>
      </c>
      <c r="N52" s="2" t="s">
        <v>17</v>
      </c>
      <c r="O52" s="2" t="s">
        <v>17</v>
      </c>
      <c r="P52" s="2" t="s">
        <v>17</v>
      </c>
      <c r="S52" s="13"/>
    </row>
    <row r="53" spans="1:19" x14ac:dyDescent="0.2">
      <c r="A53" s="2">
        <v>50</v>
      </c>
      <c r="B53" s="8">
        <v>350123018</v>
      </c>
      <c r="C53" s="8" t="s">
        <v>233</v>
      </c>
      <c r="D53" s="8" t="s">
        <v>17</v>
      </c>
      <c r="E53" s="9" t="s">
        <v>43</v>
      </c>
      <c r="F53" s="10" t="s">
        <v>202</v>
      </c>
      <c r="G53" s="10" t="s">
        <v>202</v>
      </c>
      <c r="H53" s="10" t="s">
        <v>165</v>
      </c>
      <c r="I53" s="11" t="s">
        <v>234</v>
      </c>
      <c r="J53" s="11" t="s">
        <v>235</v>
      </c>
      <c r="K53" s="12" t="s">
        <v>17</v>
      </c>
      <c r="L53" s="10" t="s">
        <v>5</v>
      </c>
      <c r="M53" s="10" t="s">
        <v>15</v>
      </c>
      <c r="N53" s="2" t="s">
        <v>17</v>
      </c>
      <c r="O53" s="2" t="s">
        <v>17</v>
      </c>
      <c r="P53" s="2" t="s">
        <v>17</v>
      </c>
      <c r="S53" s="13"/>
    </row>
    <row r="54" spans="1:19" x14ac:dyDescent="0.2">
      <c r="A54" s="2">
        <v>51</v>
      </c>
      <c r="B54" s="8">
        <v>350123019</v>
      </c>
      <c r="C54" s="8" t="s">
        <v>236</v>
      </c>
      <c r="D54" s="8" t="s">
        <v>17</v>
      </c>
      <c r="E54" s="9" t="s">
        <v>43</v>
      </c>
      <c r="F54" s="10" t="s">
        <v>237</v>
      </c>
      <c r="G54" s="10" t="s">
        <v>185</v>
      </c>
      <c r="H54" s="10" t="s">
        <v>165</v>
      </c>
      <c r="I54" s="11" t="s">
        <v>238</v>
      </c>
      <c r="J54" s="11" t="s">
        <v>239</v>
      </c>
      <c r="K54" s="12" t="s">
        <v>17</v>
      </c>
      <c r="L54" s="10" t="s">
        <v>5</v>
      </c>
      <c r="M54" s="10" t="s">
        <v>15</v>
      </c>
      <c r="N54" s="2" t="s">
        <v>17</v>
      </c>
      <c r="O54" s="2" t="s">
        <v>17</v>
      </c>
      <c r="P54" s="2" t="s">
        <v>17</v>
      </c>
      <c r="S54" s="13"/>
    </row>
    <row r="55" spans="1:19" x14ac:dyDescent="0.2">
      <c r="A55" s="2">
        <v>52</v>
      </c>
      <c r="B55" s="8">
        <v>350123020</v>
      </c>
      <c r="C55" s="8" t="s">
        <v>240</v>
      </c>
      <c r="D55" s="8" t="s">
        <v>17</v>
      </c>
      <c r="E55" s="9" t="s">
        <v>43</v>
      </c>
      <c r="F55" s="10" t="s">
        <v>241</v>
      </c>
      <c r="G55" s="10" t="s">
        <v>169</v>
      </c>
      <c r="H55" s="10" t="s">
        <v>165</v>
      </c>
      <c r="I55" s="11" t="s">
        <v>242</v>
      </c>
      <c r="J55" s="11" t="s">
        <v>243</v>
      </c>
      <c r="K55" s="12" t="s">
        <v>17</v>
      </c>
      <c r="L55" s="10" t="s">
        <v>5</v>
      </c>
      <c r="M55" s="10" t="s">
        <v>15</v>
      </c>
      <c r="N55" s="2" t="s">
        <v>17</v>
      </c>
      <c r="O55" s="2" t="s">
        <v>17</v>
      </c>
      <c r="P55" s="2" t="s">
        <v>17</v>
      </c>
      <c r="S55" s="13"/>
    </row>
    <row r="56" spans="1:19" x14ac:dyDescent="0.2">
      <c r="A56" s="2">
        <v>53</v>
      </c>
      <c r="B56" s="8">
        <v>350123021</v>
      </c>
      <c r="C56" s="8" t="s">
        <v>244</v>
      </c>
      <c r="D56" s="8" t="s">
        <v>17</v>
      </c>
      <c r="E56" s="9" t="s">
        <v>43</v>
      </c>
      <c r="F56" s="10" t="s">
        <v>245</v>
      </c>
      <c r="G56" s="10" t="s">
        <v>246</v>
      </c>
      <c r="H56" s="10" t="s">
        <v>165</v>
      </c>
      <c r="I56" s="11" t="s">
        <v>247</v>
      </c>
      <c r="J56" s="11" t="s">
        <v>248</v>
      </c>
      <c r="K56" s="12" t="s">
        <v>17</v>
      </c>
      <c r="L56" s="10" t="s">
        <v>5</v>
      </c>
      <c r="M56" s="10" t="s">
        <v>15</v>
      </c>
      <c r="N56" s="2" t="s">
        <v>17</v>
      </c>
      <c r="O56" s="2" t="s">
        <v>17</v>
      </c>
      <c r="P56" s="2" t="s">
        <v>17</v>
      </c>
      <c r="S56" s="13"/>
    </row>
    <row r="57" spans="1:19" x14ac:dyDescent="0.2">
      <c r="A57" s="2">
        <v>54</v>
      </c>
      <c r="B57" s="8">
        <v>350123022</v>
      </c>
      <c r="C57" s="8" t="s">
        <v>180</v>
      </c>
      <c r="D57" s="8" t="s">
        <v>17</v>
      </c>
      <c r="E57" s="9" t="s">
        <v>43</v>
      </c>
      <c r="F57" s="10" t="s">
        <v>180</v>
      </c>
      <c r="G57" s="10" t="s">
        <v>180</v>
      </c>
      <c r="H57" s="10" t="s">
        <v>165</v>
      </c>
      <c r="I57" s="11" t="s">
        <v>249</v>
      </c>
      <c r="J57" s="11" t="s">
        <v>250</v>
      </c>
      <c r="K57" s="12" t="s">
        <v>17</v>
      </c>
      <c r="L57" s="10" t="s">
        <v>5</v>
      </c>
      <c r="M57" s="10" t="s">
        <v>15</v>
      </c>
      <c r="N57" s="2" t="s">
        <v>17</v>
      </c>
      <c r="O57" s="2" t="s">
        <v>17</v>
      </c>
      <c r="P57" s="2" t="s">
        <v>17</v>
      </c>
      <c r="S57" s="13"/>
    </row>
    <row r="58" spans="1:19" x14ac:dyDescent="0.2">
      <c r="A58" s="2">
        <v>55</v>
      </c>
      <c r="B58" s="8">
        <v>350123023</v>
      </c>
      <c r="C58" s="8" t="s">
        <v>251</v>
      </c>
      <c r="D58" s="8" t="s">
        <v>17</v>
      </c>
      <c r="E58" s="9" t="s">
        <v>43</v>
      </c>
      <c r="F58" s="10" t="s">
        <v>251</v>
      </c>
      <c r="G58" s="10" t="s">
        <v>164</v>
      </c>
      <c r="H58" s="10" t="s">
        <v>165</v>
      </c>
      <c r="I58" s="11" t="s">
        <v>252</v>
      </c>
      <c r="J58" s="11" t="s">
        <v>253</v>
      </c>
      <c r="K58" s="12" t="s">
        <v>17</v>
      </c>
      <c r="L58" s="10" t="s">
        <v>5</v>
      </c>
      <c r="M58" s="10" t="s">
        <v>15</v>
      </c>
      <c r="N58" s="2" t="s">
        <v>17</v>
      </c>
      <c r="O58" s="2" t="s">
        <v>17</v>
      </c>
      <c r="P58" s="2" t="s">
        <v>17</v>
      </c>
      <c r="S58" s="13"/>
    </row>
    <row r="59" spans="1:19" x14ac:dyDescent="0.2">
      <c r="A59" s="2">
        <v>56</v>
      </c>
      <c r="B59" s="8">
        <v>350123024</v>
      </c>
      <c r="C59" s="8" t="s">
        <v>254</v>
      </c>
      <c r="D59" s="8" t="s">
        <v>17</v>
      </c>
      <c r="E59" s="9" t="s">
        <v>43</v>
      </c>
      <c r="F59" s="10" t="s">
        <v>254</v>
      </c>
      <c r="G59" s="10" t="s">
        <v>255</v>
      </c>
      <c r="H59" s="10" t="s">
        <v>165</v>
      </c>
      <c r="I59" s="11" t="s">
        <v>256</v>
      </c>
      <c r="J59" s="11" t="s">
        <v>257</v>
      </c>
      <c r="K59" s="12" t="s">
        <v>17</v>
      </c>
      <c r="L59" s="10" t="s">
        <v>5</v>
      </c>
      <c r="M59" s="10" t="s">
        <v>15</v>
      </c>
      <c r="N59" s="2" t="s">
        <v>17</v>
      </c>
      <c r="O59" s="2" t="s">
        <v>17</v>
      </c>
      <c r="P59" s="2" t="s">
        <v>17</v>
      </c>
      <c r="S59" s="13"/>
    </row>
    <row r="60" spans="1:19" x14ac:dyDescent="0.2">
      <c r="A60" s="2">
        <v>57</v>
      </c>
      <c r="B60" s="8">
        <v>350123025</v>
      </c>
      <c r="C60" s="8" t="s">
        <v>258</v>
      </c>
      <c r="D60" s="8" t="s">
        <v>17</v>
      </c>
      <c r="E60" s="9" t="s">
        <v>43</v>
      </c>
      <c r="F60" s="10" t="s">
        <v>259</v>
      </c>
      <c r="G60" s="10" t="s">
        <v>189</v>
      </c>
      <c r="H60" s="10" t="s">
        <v>165</v>
      </c>
      <c r="I60" s="11" t="s">
        <v>260</v>
      </c>
      <c r="J60" s="11" t="s">
        <v>261</v>
      </c>
      <c r="K60" s="12" t="s">
        <v>17</v>
      </c>
      <c r="L60" s="10" t="s">
        <v>5</v>
      </c>
      <c r="M60" s="10" t="s">
        <v>15</v>
      </c>
      <c r="N60" s="2" t="s">
        <v>17</v>
      </c>
      <c r="O60" s="2" t="s">
        <v>17</v>
      </c>
      <c r="P60" s="2" t="s">
        <v>17</v>
      </c>
      <c r="S60" s="13"/>
    </row>
    <row r="61" spans="1:19" x14ac:dyDescent="0.2">
      <c r="A61" s="2">
        <v>58</v>
      </c>
      <c r="B61" s="8">
        <v>350123026</v>
      </c>
      <c r="C61" s="8" t="s">
        <v>227</v>
      </c>
      <c r="D61" s="8" t="s">
        <v>17</v>
      </c>
      <c r="E61" s="9" t="s">
        <v>43</v>
      </c>
      <c r="F61" s="10" t="s">
        <v>262</v>
      </c>
      <c r="G61" s="10" t="s">
        <v>227</v>
      </c>
      <c r="H61" s="10" t="s">
        <v>165</v>
      </c>
      <c r="I61" s="11" t="s">
        <v>263</v>
      </c>
      <c r="J61" s="11" t="s">
        <v>264</v>
      </c>
      <c r="K61" s="12" t="s">
        <v>17</v>
      </c>
      <c r="L61" s="10" t="s">
        <v>5</v>
      </c>
      <c r="M61" s="10" t="s">
        <v>15</v>
      </c>
      <c r="N61" s="2" t="s">
        <v>17</v>
      </c>
      <c r="O61" s="2" t="s">
        <v>17</v>
      </c>
      <c r="P61" s="2" t="s">
        <v>17</v>
      </c>
      <c r="S61" s="13"/>
    </row>
    <row r="62" spans="1:19" x14ac:dyDescent="0.2">
      <c r="A62" s="2">
        <v>59</v>
      </c>
      <c r="B62" s="8">
        <v>350123027</v>
      </c>
      <c r="C62" s="8" t="s">
        <v>265</v>
      </c>
      <c r="D62" s="8" t="s">
        <v>17</v>
      </c>
      <c r="E62" s="9" t="s">
        <v>43</v>
      </c>
      <c r="F62" s="10" t="s">
        <v>265</v>
      </c>
      <c r="G62" s="10" t="s">
        <v>246</v>
      </c>
      <c r="H62" s="10" t="s">
        <v>165</v>
      </c>
      <c r="I62" s="11" t="s">
        <v>266</v>
      </c>
      <c r="J62" s="11" t="s">
        <v>267</v>
      </c>
      <c r="K62" s="12" t="s">
        <v>17</v>
      </c>
      <c r="L62" s="10" t="s">
        <v>5</v>
      </c>
      <c r="M62" s="10" t="s">
        <v>15</v>
      </c>
      <c r="N62" s="2" t="s">
        <v>17</v>
      </c>
      <c r="O62" s="2" t="s">
        <v>17</v>
      </c>
      <c r="P62" s="2" t="s">
        <v>17</v>
      </c>
      <c r="S62" s="13"/>
    </row>
    <row r="63" spans="1:19" x14ac:dyDescent="0.2">
      <c r="A63" s="2">
        <v>60</v>
      </c>
      <c r="B63" s="8">
        <v>350123028</v>
      </c>
      <c r="C63" s="8" t="s">
        <v>268</v>
      </c>
      <c r="D63" s="8" t="s">
        <v>17</v>
      </c>
      <c r="E63" s="9" t="s">
        <v>43</v>
      </c>
      <c r="F63" s="10" t="s">
        <v>268</v>
      </c>
      <c r="G63" s="10" t="s">
        <v>269</v>
      </c>
      <c r="H63" s="10" t="s">
        <v>165</v>
      </c>
      <c r="I63" s="11" t="s">
        <v>270</v>
      </c>
      <c r="J63" s="11" t="s">
        <v>271</v>
      </c>
      <c r="K63" s="12" t="s">
        <v>17</v>
      </c>
      <c r="L63" s="10" t="s">
        <v>5</v>
      </c>
      <c r="M63" s="10" t="s">
        <v>15</v>
      </c>
      <c r="N63" s="2" t="s">
        <v>17</v>
      </c>
      <c r="O63" s="2" t="s">
        <v>17</v>
      </c>
      <c r="P63" s="2" t="s">
        <v>17</v>
      </c>
      <c r="S63" s="13"/>
    </row>
    <row r="64" spans="1:19" x14ac:dyDescent="0.2">
      <c r="A64" s="2">
        <v>61</v>
      </c>
      <c r="B64" s="8">
        <v>350123029</v>
      </c>
      <c r="C64" s="8" t="s">
        <v>165</v>
      </c>
      <c r="D64" s="8" t="s">
        <v>17</v>
      </c>
      <c r="E64" s="9" t="s">
        <v>43</v>
      </c>
      <c r="F64" s="10" t="s">
        <v>272</v>
      </c>
      <c r="G64" s="10" t="s">
        <v>165</v>
      </c>
      <c r="H64" s="10" t="s">
        <v>165</v>
      </c>
      <c r="I64" s="11" t="s">
        <v>273</v>
      </c>
      <c r="J64" s="11" t="s">
        <v>274</v>
      </c>
      <c r="K64" s="12" t="s">
        <v>17</v>
      </c>
      <c r="L64" s="10" t="s">
        <v>5</v>
      </c>
      <c r="M64" s="10" t="s">
        <v>15</v>
      </c>
      <c r="N64" s="2" t="s">
        <v>17</v>
      </c>
      <c r="O64" s="2" t="s">
        <v>17</v>
      </c>
      <c r="P64" s="2" t="s">
        <v>17</v>
      </c>
      <c r="S64" s="13"/>
    </row>
    <row r="65" spans="1:19" x14ac:dyDescent="0.2">
      <c r="A65" s="2">
        <v>62</v>
      </c>
      <c r="B65" s="8">
        <v>350123030</v>
      </c>
      <c r="C65" s="8" t="s">
        <v>275</v>
      </c>
      <c r="D65" s="8" t="s">
        <v>17</v>
      </c>
      <c r="E65" s="9" t="s">
        <v>43</v>
      </c>
      <c r="F65" s="10" t="s">
        <v>275</v>
      </c>
      <c r="G65" s="10" t="s">
        <v>202</v>
      </c>
      <c r="H65" s="10" t="s">
        <v>165</v>
      </c>
      <c r="I65" s="11" t="s">
        <v>276</v>
      </c>
      <c r="J65" s="11" t="s">
        <v>277</v>
      </c>
      <c r="K65" s="12" t="s">
        <v>17</v>
      </c>
      <c r="L65" s="10" t="s">
        <v>5</v>
      </c>
      <c r="M65" s="10" t="s">
        <v>15</v>
      </c>
      <c r="N65" s="2" t="s">
        <v>17</v>
      </c>
      <c r="O65" s="2" t="s">
        <v>17</v>
      </c>
      <c r="P65" s="2" t="s">
        <v>17</v>
      </c>
      <c r="S65" s="13"/>
    </row>
    <row r="66" spans="1:19" x14ac:dyDescent="0.2">
      <c r="A66" s="2">
        <v>63</v>
      </c>
      <c r="B66" s="8">
        <v>350123031</v>
      </c>
      <c r="C66" s="8" t="s">
        <v>278</v>
      </c>
      <c r="D66" s="8" t="s">
        <v>17</v>
      </c>
      <c r="E66" s="9" t="s">
        <v>43</v>
      </c>
      <c r="F66" s="10" t="s">
        <v>278</v>
      </c>
      <c r="G66" s="10" t="s">
        <v>278</v>
      </c>
      <c r="H66" s="10" t="s">
        <v>165</v>
      </c>
      <c r="I66" s="11" t="s">
        <v>279</v>
      </c>
      <c r="J66" s="11" t="s">
        <v>280</v>
      </c>
      <c r="K66" s="12" t="s">
        <v>17</v>
      </c>
      <c r="L66" s="10" t="s">
        <v>5</v>
      </c>
      <c r="M66" s="10" t="s">
        <v>15</v>
      </c>
      <c r="N66" s="2" t="s">
        <v>17</v>
      </c>
      <c r="O66" s="2" t="s">
        <v>17</v>
      </c>
      <c r="P66" s="2" t="s">
        <v>17</v>
      </c>
      <c r="S66" s="13"/>
    </row>
    <row r="67" spans="1:19" x14ac:dyDescent="0.2">
      <c r="A67" s="2">
        <v>64</v>
      </c>
      <c r="B67" s="8">
        <v>350123032</v>
      </c>
      <c r="C67" s="8" t="s">
        <v>64</v>
      </c>
      <c r="D67" s="8" t="s">
        <v>17</v>
      </c>
      <c r="E67" s="9" t="s">
        <v>43</v>
      </c>
      <c r="F67" s="10" t="s">
        <v>255</v>
      </c>
      <c r="G67" s="10" t="s">
        <v>165</v>
      </c>
      <c r="H67" s="10" t="s">
        <v>165</v>
      </c>
      <c r="I67" s="11" t="s">
        <v>281</v>
      </c>
      <c r="J67" s="11" t="s">
        <v>282</v>
      </c>
      <c r="K67" s="12" t="s">
        <v>17</v>
      </c>
      <c r="L67" s="10" t="s">
        <v>5</v>
      </c>
      <c r="M67" s="10" t="s">
        <v>15</v>
      </c>
      <c r="N67" s="2" t="s">
        <v>17</v>
      </c>
      <c r="O67" s="2" t="s">
        <v>17</v>
      </c>
      <c r="P67" s="2" t="s">
        <v>17</v>
      </c>
      <c r="S67" s="13"/>
    </row>
    <row r="68" spans="1:19" x14ac:dyDescent="0.2">
      <c r="A68" s="2">
        <v>65</v>
      </c>
      <c r="B68" s="8">
        <v>350123033</v>
      </c>
      <c r="C68" s="8" t="s">
        <v>283</v>
      </c>
      <c r="D68" s="8" t="s">
        <v>17</v>
      </c>
      <c r="E68" s="9" t="s">
        <v>43</v>
      </c>
      <c r="F68" s="10" t="s">
        <v>283</v>
      </c>
      <c r="G68" s="10" t="s">
        <v>179</v>
      </c>
      <c r="H68" s="10" t="s">
        <v>165</v>
      </c>
      <c r="I68" s="11" t="s">
        <v>284</v>
      </c>
      <c r="J68" s="11" t="s">
        <v>285</v>
      </c>
      <c r="K68" s="12" t="s">
        <v>17</v>
      </c>
      <c r="L68" s="10" t="s">
        <v>5</v>
      </c>
      <c r="M68" s="10" t="s">
        <v>15</v>
      </c>
      <c r="N68" s="2" t="s">
        <v>17</v>
      </c>
      <c r="O68" s="2" t="s">
        <v>17</v>
      </c>
      <c r="P68" s="2" t="s">
        <v>17</v>
      </c>
      <c r="S68" s="13"/>
    </row>
    <row r="69" spans="1:19" x14ac:dyDescent="0.2">
      <c r="A69" s="2">
        <v>66</v>
      </c>
      <c r="B69" s="8">
        <v>350123034</v>
      </c>
      <c r="C69" s="8" t="s">
        <v>286</v>
      </c>
      <c r="D69" s="8" t="s">
        <v>17</v>
      </c>
      <c r="E69" s="9" t="s">
        <v>43</v>
      </c>
      <c r="F69" s="10" t="s">
        <v>287</v>
      </c>
      <c r="G69" s="10" t="s">
        <v>288</v>
      </c>
      <c r="H69" s="10" t="s">
        <v>165</v>
      </c>
      <c r="I69" s="11" t="s">
        <v>289</v>
      </c>
      <c r="J69" s="11" t="s">
        <v>290</v>
      </c>
      <c r="K69" s="12" t="s">
        <v>17</v>
      </c>
      <c r="L69" s="10" t="s">
        <v>5</v>
      </c>
      <c r="M69" s="10" t="s">
        <v>15</v>
      </c>
      <c r="N69" s="2" t="s">
        <v>17</v>
      </c>
      <c r="O69" s="2" t="s">
        <v>17</v>
      </c>
      <c r="P69" s="2" t="s">
        <v>17</v>
      </c>
      <c r="S69" s="13"/>
    </row>
    <row r="70" spans="1:19" x14ac:dyDescent="0.2">
      <c r="A70" s="2">
        <v>67</v>
      </c>
      <c r="B70" s="8">
        <v>350123035</v>
      </c>
      <c r="C70" s="8" t="s">
        <v>291</v>
      </c>
      <c r="D70" s="8" t="s">
        <v>17</v>
      </c>
      <c r="E70" s="9" t="s">
        <v>43</v>
      </c>
      <c r="F70" s="10" t="s">
        <v>291</v>
      </c>
      <c r="G70" s="10" t="s">
        <v>255</v>
      </c>
      <c r="H70" s="10" t="s">
        <v>165</v>
      </c>
      <c r="I70" s="11" t="s">
        <v>292</v>
      </c>
      <c r="J70" s="11" t="s">
        <v>293</v>
      </c>
      <c r="K70" s="12" t="s">
        <v>17</v>
      </c>
      <c r="L70" s="10" t="s">
        <v>5</v>
      </c>
      <c r="M70" s="10" t="s">
        <v>15</v>
      </c>
      <c r="N70" s="2" t="s">
        <v>17</v>
      </c>
      <c r="O70" s="2" t="s">
        <v>17</v>
      </c>
      <c r="P70" s="2" t="s">
        <v>17</v>
      </c>
      <c r="S70" s="13"/>
    </row>
    <row r="71" spans="1:19" x14ac:dyDescent="0.2">
      <c r="A71" s="2">
        <v>68</v>
      </c>
      <c r="B71" s="8">
        <v>350123036</v>
      </c>
      <c r="C71" s="8" t="s">
        <v>294</v>
      </c>
      <c r="D71" s="8" t="s">
        <v>17</v>
      </c>
      <c r="E71" s="9" t="s">
        <v>43</v>
      </c>
      <c r="F71" s="10" t="s">
        <v>294</v>
      </c>
      <c r="G71" s="10" t="s">
        <v>269</v>
      </c>
      <c r="H71" s="10" t="s">
        <v>165</v>
      </c>
      <c r="I71" s="11" t="s">
        <v>295</v>
      </c>
      <c r="J71" s="11" t="s">
        <v>296</v>
      </c>
      <c r="K71" s="12" t="s">
        <v>17</v>
      </c>
      <c r="L71" s="10" t="s">
        <v>5</v>
      </c>
      <c r="M71" s="10" t="s">
        <v>15</v>
      </c>
      <c r="N71" s="2" t="s">
        <v>17</v>
      </c>
      <c r="O71" s="2" t="s">
        <v>17</v>
      </c>
      <c r="P71" s="2" t="s">
        <v>17</v>
      </c>
      <c r="S71" s="13"/>
    </row>
    <row r="72" spans="1:19" x14ac:dyDescent="0.2">
      <c r="A72" s="2">
        <v>69</v>
      </c>
      <c r="B72" s="8">
        <v>350123037</v>
      </c>
      <c r="C72" s="8" t="s">
        <v>297</v>
      </c>
      <c r="D72" s="8" t="s">
        <v>17</v>
      </c>
      <c r="E72" s="9" t="s">
        <v>43</v>
      </c>
      <c r="F72" s="10" t="s">
        <v>297</v>
      </c>
      <c r="G72" s="10" t="s">
        <v>215</v>
      </c>
      <c r="H72" s="10" t="s">
        <v>165</v>
      </c>
      <c r="I72" s="11" t="s">
        <v>298</v>
      </c>
      <c r="J72" s="11" t="s">
        <v>299</v>
      </c>
      <c r="K72" s="12" t="s">
        <v>17</v>
      </c>
      <c r="L72" s="10" t="s">
        <v>5</v>
      </c>
      <c r="M72" s="10" t="s">
        <v>15</v>
      </c>
      <c r="N72" s="2" t="s">
        <v>17</v>
      </c>
      <c r="O72" s="2" t="s">
        <v>17</v>
      </c>
      <c r="P72" s="2" t="s">
        <v>17</v>
      </c>
      <c r="S72" s="13"/>
    </row>
    <row r="73" spans="1:19" x14ac:dyDescent="0.2">
      <c r="A73" s="2">
        <v>70</v>
      </c>
      <c r="B73" s="8">
        <v>350124001</v>
      </c>
      <c r="C73" s="8" t="s">
        <v>300</v>
      </c>
      <c r="D73" s="8" t="s">
        <v>17</v>
      </c>
      <c r="E73" s="9" t="s">
        <v>43</v>
      </c>
      <c r="F73" s="10" t="s">
        <v>300</v>
      </c>
      <c r="G73" s="10" t="s">
        <v>300</v>
      </c>
      <c r="H73" s="10" t="s">
        <v>301</v>
      </c>
      <c r="I73" s="11" t="s">
        <v>302</v>
      </c>
      <c r="J73" s="11" t="s">
        <v>303</v>
      </c>
      <c r="K73" s="12" t="s">
        <v>17</v>
      </c>
      <c r="L73" s="10" t="s">
        <v>5</v>
      </c>
      <c r="M73" s="10" t="s">
        <v>15</v>
      </c>
      <c r="N73" s="2" t="s">
        <v>17</v>
      </c>
      <c r="O73" s="2" t="s">
        <v>17</v>
      </c>
      <c r="P73" s="2" t="s">
        <v>17</v>
      </c>
      <c r="S73" s="13"/>
    </row>
    <row r="74" spans="1:19" x14ac:dyDescent="0.2">
      <c r="A74" s="2">
        <v>71</v>
      </c>
      <c r="B74" s="8">
        <v>350124002</v>
      </c>
      <c r="C74" s="8" t="s">
        <v>304</v>
      </c>
      <c r="D74" s="8" t="s">
        <v>17</v>
      </c>
      <c r="E74" s="9" t="s">
        <v>43</v>
      </c>
      <c r="F74" s="10" t="s">
        <v>304</v>
      </c>
      <c r="G74" s="10" t="s">
        <v>305</v>
      </c>
      <c r="H74" s="10" t="s">
        <v>301</v>
      </c>
      <c r="I74" s="11" t="s">
        <v>306</v>
      </c>
      <c r="J74" s="11" t="s">
        <v>307</v>
      </c>
      <c r="K74" s="12" t="s">
        <v>17</v>
      </c>
      <c r="L74" s="10" t="s">
        <v>5</v>
      </c>
      <c r="M74" s="10" t="s">
        <v>15</v>
      </c>
      <c r="N74" s="2" t="s">
        <v>17</v>
      </c>
      <c r="O74" s="2" t="s">
        <v>17</v>
      </c>
      <c r="P74" s="2" t="s">
        <v>17</v>
      </c>
      <c r="S74" s="13"/>
    </row>
    <row r="75" spans="1:19" x14ac:dyDescent="0.2">
      <c r="A75" s="2">
        <v>72</v>
      </c>
      <c r="B75" s="8">
        <v>350124003</v>
      </c>
      <c r="C75" s="8" t="s">
        <v>308</v>
      </c>
      <c r="D75" s="8" t="s">
        <v>17</v>
      </c>
      <c r="E75" s="9" t="s">
        <v>43</v>
      </c>
      <c r="F75" s="10" t="s">
        <v>308</v>
      </c>
      <c r="G75" s="10" t="s">
        <v>308</v>
      </c>
      <c r="H75" s="10" t="s">
        <v>301</v>
      </c>
      <c r="I75" s="11" t="s">
        <v>309</v>
      </c>
      <c r="J75" s="11" t="s">
        <v>310</v>
      </c>
      <c r="K75" s="12" t="s">
        <v>17</v>
      </c>
      <c r="L75" s="10" t="s">
        <v>5</v>
      </c>
      <c r="M75" s="10" t="s">
        <v>15</v>
      </c>
      <c r="N75" s="2" t="s">
        <v>17</v>
      </c>
      <c r="O75" s="2" t="s">
        <v>17</v>
      </c>
      <c r="P75" s="2" t="s">
        <v>17</v>
      </c>
      <c r="S75" s="13"/>
    </row>
    <row r="76" spans="1:19" x14ac:dyDescent="0.2">
      <c r="A76" s="2">
        <v>73</v>
      </c>
      <c r="B76" s="8">
        <v>350124004</v>
      </c>
      <c r="C76" s="8" t="s">
        <v>311</v>
      </c>
      <c r="D76" s="8" t="s">
        <v>17</v>
      </c>
      <c r="E76" s="9" t="s">
        <v>43</v>
      </c>
      <c r="F76" s="10" t="s">
        <v>312</v>
      </c>
      <c r="G76" s="10" t="s">
        <v>313</v>
      </c>
      <c r="H76" s="10" t="s">
        <v>301</v>
      </c>
      <c r="I76" s="11" t="s">
        <v>314</v>
      </c>
      <c r="J76" s="11" t="s">
        <v>315</v>
      </c>
      <c r="K76" s="12" t="s">
        <v>17</v>
      </c>
      <c r="L76" s="10" t="s">
        <v>5</v>
      </c>
      <c r="M76" s="10" t="s">
        <v>15</v>
      </c>
      <c r="N76" s="2" t="s">
        <v>17</v>
      </c>
      <c r="O76" s="2" t="s">
        <v>17</v>
      </c>
      <c r="P76" s="2" t="s">
        <v>17</v>
      </c>
      <c r="S76" s="13"/>
    </row>
    <row r="77" spans="1:19" x14ac:dyDescent="0.2">
      <c r="A77" s="2">
        <v>74</v>
      </c>
      <c r="B77" s="8">
        <v>350124005</v>
      </c>
      <c r="C77" s="8" t="s">
        <v>316</v>
      </c>
      <c r="D77" s="8" t="s">
        <v>17</v>
      </c>
      <c r="E77" s="9" t="s">
        <v>43</v>
      </c>
      <c r="F77" s="10" t="s">
        <v>316</v>
      </c>
      <c r="G77" s="10" t="s">
        <v>316</v>
      </c>
      <c r="H77" s="10" t="s">
        <v>301</v>
      </c>
      <c r="I77" s="11" t="s">
        <v>317</v>
      </c>
      <c r="J77" s="11" t="s">
        <v>318</v>
      </c>
      <c r="K77" s="12" t="s">
        <v>17</v>
      </c>
      <c r="L77" s="10" t="s">
        <v>5</v>
      </c>
      <c r="M77" s="10" t="s">
        <v>15</v>
      </c>
      <c r="N77" s="2" t="s">
        <v>17</v>
      </c>
      <c r="O77" s="2" t="s">
        <v>17</v>
      </c>
      <c r="P77" s="2" t="s">
        <v>17</v>
      </c>
      <c r="S77" s="13"/>
    </row>
    <row r="78" spans="1:19" x14ac:dyDescent="0.2">
      <c r="A78" s="2">
        <v>75</v>
      </c>
      <c r="B78" s="8">
        <v>350124006</v>
      </c>
      <c r="C78" s="8" t="s">
        <v>319</v>
      </c>
      <c r="D78" s="8" t="s">
        <v>17</v>
      </c>
      <c r="E78" s="9" t="s">
        <v>43</v>
      </c>
      <c r="F78" s="10" t="s">
        <v>320</v>
      </c>
      <c r="G78" s="10" t="s">
        <v>321</v>
      </c>
      <c r="H78" s="10" t="s">
        <v>301</v>
      </c>
      <c r="I78" s="11" t="s">
        <v>322</v>
      </c>
      <c r="J78" s="11" t="s">
        <v>323</v>
      </c>
      <c r="K78" s="12" t="s">
        <v>17</v>
      </c>
      <c r="L78" s="10" t="s">
        <v>5</v>
      </c>
      <c r="M78" s="10" t="s">
        <v>15</v>
      </c>
      <c r="N78" s="2" t="s">
        <v>17</v>
      </c>
      <c r="O78" s="2" t="s">
        <v>17</v>
      </c>
      <c r="P78" s="2" t="s">
        <v>17</v>
      </c>
      <c r="S78" s="13"/>
    </row>
    <row r="79" spans="1:19" x14ac:dyDescent="0.2">
      <c r="A79" s="2">
        <v>76</v>
      </c>
      <c r="B79" s="8">
        <v>350124007</v>
      </c>
      <c r="C79" s="8" t="s">
        <v>324</v>
      </c>
      <c r="D79" s="8" t="s">
        <v>17</v>
      </c>
      <c r="E79" s="9" t="s">
        <v>43</v>
      </c>
      <c r="F79" s="10" t="s">
        <v>325</v>
      </c>
      <c r="G79" s="10" t="s">
        <v>287</v>
      </c>
      <c r="H79" s="10" t="s">
        <v>301</v>
      </c>
      <c r="I79" s="11" t="s">
        <v>326</v>
      </c>
      <c r="J79" s="11" t="s">
        <v>327</v>
      </c>
      <c r="K79" s="12" t="s">
        <v>17</v>
      </c>
      <c r="L79" s="10" t="s">
        <v>5</v>
      </c>
      <c r="M79" s="10" t="s">
        <v>15</v>
      </c>
      <c r="N79" s="2" t="s">
        <v>17</v>
      </c>
      <c r="O79" s="2" t="s">
        <v>17</v>
      </c>
      <c r="P79" s="2" t="s">
        <v>17</v>
      </c>
      <c r="S79" s="13"/>
    </row>
    <row r="80" spans="1:19" x14ac:dyDescent="0.2">
      <c r="A80" s="2">
        <v>77</v>
      </c>
      <c r="B80" s="8">
        <v>350124008</v>
      </c>
      <c r="C80" s="8" t="s">
        <v>328</v>
      </c>
      <c r="D80" s="8" t="s">
        <v>17</v>
      </c>
      <c r="E80" s="9" t="s">
        <v>43</v>
      </c>
      <c r="F80" s="10" t="s">
        <v>329</v>
      </c>
      <c r="G80" s="10" t="s">
        <v>330</v>
      </c>
      <c r="H80" s="10" t="s">
        <v>301</v>
      </c>
      <c r="I80" s="11" t="s">
        <v>331</v>
      </c>
      <c r="J80" s="11" t="s">
        <v>332</v>
      </c>
      <c r="K80" s="12" t="s">
        <v>17</v>
      </c>
      <c r="L80" s="10" t="s">
        <v>5</v>
      </c>
      <c r="M80" s="10" t="s">
        <v>15</v>
      </c>
      <c r="N80" s="2" t="s">
        <v>17</v>
      </c>
      <c r="O80" s="2" t="s">
        <v>17</v>
      </c>
      <c r="P80" s="2" t="s">
        <v>17</v>
      </c>
      <c r="S80" s="13"/>
    </row>
    <row r="81" spans="1:19" x14ac:dyDescent="0.2">
      <c r="A81" s="2">
        <v>78</v>
      </c>
      <c r="B81" s="8">
        <v>350124009</v>
      </c>
      <c r="C81" s="8" t="s">
        <v>333</v>
      </c>
      <c r="D81" s="8" t="s">
        <v>17</v>
      </c>
      <c r="E81" s="9" t="s">
        <v>43</v>
      </c>
      <c r="F81" s="10" t="s">
        <v>334</v>
      </c>
      <c r="G81" s="10" t="s">
        <v>313</v>
      </c>
      <c r="H81" s="10" t="s">
        <v>301</v>
      </c>
      <c r="I81" s="11" t="s">
        <v>335</v>
      </c>
      <c r="J81" s="11" t="s">
        <v>336</v>
      </c>
      <c r="K81" s="12" t="s">
        <v>17</v>
      </c>
      <c r="L81" s="10" t="s">
        <v>5</v>
      </c>
      <c r="M81" s="10" t="s">
        <v>15</v>
      </c>
      <c r="N81" s="2" t="s">
        <v>17</v>
      </c>
      <c r="O81" s="2" t="s">
        <v>17</v>
      </c>
      <c r="P81" s="2" t="s">
        <v>17</v>
      </c>
      <c r="S81" s="13"/>
    </row>
    <row r="82" spans="1:19" x14ac:dyDescent="0.2">
      <c r="A82" s="2">
        <v>79</v>
      </c>
      <c r="B82" s="8">
        <v>350124010</v>
      </c>
      <c r="C82" s="8" t="s">
        <v>337</v>
      </c>
      <c r="D82" s="8" t="s">
        <v>17</v>
      </c>
      <c r="E82" s="9" t="s">
        <v>43</v>
      </c>
      <c r="F82" s="10" t="s">
        <v>337</v>
      </c>
      <c r="G82" s="10" t="s">
        <v>337</v>
      </c>
      <c r="H82" s="10" t="s">
        <v>301</v>
      </c>
      <c r="I82" s="11" t="s">
        <v>338</v>
      </c>
      <c r="J82" s="11" t="s">
        <v>339</v>
      </c>
      <c r="K82" s="12" t="s">
        <v>17</v>
      </c>
      <c r="L82" s="10" t="s">
        <v>5</v>
      </c>
      <c r="M82" s="10" t="s">
        <v>15</v>
      </c>
      <c r="N82" s="2" t="s">
        <v>17</v>
      </c>
      <c r="O82" s="2" t="s">
        <v>17</v>
      </c>
      <c r="P82" s="2" t="s">
        <v>17</v>
      </c>
      <c r="S82" s="13"/>
    </row>
    <row r="83" spans="1:19" x14ac:dyDescent="0.2">
      <c r="A83" s="2">
        <v>80</v>
      </c>
      <c r="B83" s="8">
        <v>350124011</v>
      </c>
      <c r="C83" s="8" t="s">
        <v>340</v>
      </c>
      <c r="D83" s="8" t="s">
        <v>17</v>
      </c>
      <c r="E83" s="9" t="s">
        <v>43</v>
      </c>
      <c r="F83" s="10" t="s">
        <v>341</v>
      </c>
      <c r="G83" s="10" t="s">
        <v>340</v>
      </c>
      <c r="H83" s="10" t="s">
        <v>301</v>
      </c>
      <c r="I83" s="11" t="s">
        <v>342</v>
      </c>
      <c r="J83" s="11" t="s">
        <v>343</v>
      </c>
      <c r="K83" s="12" t="s">
        <v>17</v>
      </c>
      <c r="L83" s="10" t="s">
        <v>5</v>
      </c>
      <c r="M83" s="10" t="s">
        <v>15</v>
      </c>
      <c r="N83" s="2" t="s">
        <v>17</v>
      </c>
      <c r="O83" s="2" t="s">
        <v>17</v>
      </c>
      <c r="P83" s="2" t="s">
        <v>17</v>
      </c>
      <c r="S83" s="13"/>
    </row>
    <row r="84" spans="1:19" x14ac:dyDescent="0.2">
      <c r="A84" s="2">
        <v>81</v>
      </c>
      <c r="B84" s="8">
        <v>350124012</v>
      </c>
      <c r="C84" s="8" t="s">
        <v>344</v>
      </c>
      <c r="D84" s="8" t="s">
        <v>17</v>
      </c>
      <c r="E84" s="9" t="s">
        <v>43</v>
      </c>
      <c r="F84" s="10" t="s">
        <v>344</v>
      </c>
      <c r="G84" s="10" t="s">
        <v>344</v>
      </c>
      <c r="H84" s="10" t="s">
        <v>301</v>
      </c>
      <c r="I84" s="11" t="s">
        <v>345</v>
      </c>
      <c r="J84" s="11" t="s">
        <v>346</v>
      </c>
      <c r="K84" s="12" t="s">
        <v>17</v>
      </c>
      <c r="L84" s="10" t="s">
        <v>5</v>
      </c>
      <c r="M84" s="10" t="s">
        <v>15</v>
      </c>
      <c r="N84" s="2" t="s">
        <v>17</v>
      </c>
      <c r="O84" s="2" t="s">
        <v>17</v>
      </c>
      <c r="P84" s="2" t="s">
        <v>17</v>
      </c>
      <c r="S84" s="13"/>
    </row>
    <row r="85" spans="1:19" x14ac:dyDescent="0.2">
      <c r="A85" s="2">
        <v>82</v>
      </c>
      <c r="B85" s="8">
        <v>350124013</v>
      </c>
      <c r="C85" s="8" t="s">
        <v>347</v>
      </c>
      <c r="D85" s="8" t="s">
        <v>17</v>
      </c>
      <c r="E85" s="9" t="s">
        <v>43</v>
      </c>
      <c r="F85" s="10" t="s">
        <v>305</v>
      </c>
      <c r="G85" s="10" t="s">
        <v>305</v>
      </c>
      <c r="H85" s="10" t="s">
        <v>301</v>
      </c>
      <c r="I85" s="11" t="s">
        <v>348</v>
      </c>
      <c r="J85" s="11" t="s">
        <v>349</v>
      </c>
      <c r="K85" s="12" t="s">
        <v>17</v>
      </c>
      <c r="L85" s="10" t="s">
        <v>5</v>
      </c>
      <c r="M85" s="10" t="s">
        <v>15</v>
      </c>
      <c r="N85" s="2" t="s">
        <v>17</v>
      </c>
      <c r="O85" s="2" t="s">
        <v>17</v>
      </c>
      <c r="P85" s="2" t="s">
        <v>17</v>
      </c>
      <c r="S85" s="13"/>
    </row>
    <row r="86" spans="1:19" x14ac:dyDescent="0.2">
      <c r="A86" s="2">
        <v>83</v>
      </c>
      <c r="B86" s="8">
        <v>350124014</v>
      </c>
      <c r="C86" s="8" t="s">
        <v>350</v>
      </c>
      <c r="D86" s="8" t="s">
        <v>17</v>
      </c>
      <c r="E86" s="9" t="s">
        <v>43</v>
      </c>
      <c r="F86" s="10" t="s">
        <v>350</v>
      </c>
      <c r="G86" s="10" t="s">
        <v>305</v>
      </c>
      <c r="H86" s="10" t="s">
        <v>301</v>
      </c>
      <c r="I86" s="11" t="s">
        <v>351</v>
      </c>
      <c r="J86" s="11" t="s">
        <v>352</v>
      </c>
      <c r="K86" s="12" t="s">
        <v>17</v>
      </c>
      <c r="L86" s="10" t="s">
        <v>5</v>
      </c>
      <c r="M86" s="10" t="s">
        <v>15</v>
      </c>
      <c r="N86" s="2" t="s">
        <v>17</v>
      </c>
      <c r="O86" s="2" t="s">
        <v>17</v>
      </c>
      <c r="P86" s="2" t="s">
        <v>17</v>
      </c>
      <c r="S86" s="13"/>
    </row>
    <row r="87" spans="1:19" x14ac:dyDescent="0.2">
      <c r="A87" s="2">
        <v>84</v>
      </c>
      <c r="B87" s="8">
        <v>350124015</v>
      </c>
      <c r="C87" s="8" t="s">
        <v>301</v>
      </c>
      <c r="D87" s="8" t="s">
        <v>17</v>
      </c>
      <c r="E87" s="9" t="s">
        <v>43</v>
      </c>
      <c r="F87" s="10" t="s">
        <v>353</v>
      </c>
      <c r="G87" s="10" t="s">
        <v>301</v>
      </c>
      <c r="H87" s="10" t="s">
        <v>301</v>
      </c>
      <c r="I87" s="11" t="s">
        <v>354</v>
      </c>
      <c r="J87" s="11" t="s">
        <v>355</v>
      </c>
      <c r="K87" s="12" t="s">
        <v>17</v>
      </c>
      <c r="L87" s="10" t="s">
        <v>5</v>
      </c>
      <c r="M87" s="10" t="s">
        <v>15</v>
      </c>
      <c r="N87" s="2" t="s">
        <v>17</v>
      </c>
      <c r="O87" s="2" t="s">
        <v>17</v>
      </c>
      <c r="P87" s="2" t="s">
        <v>17</v>
      </c>
      <c r="S87" s="13"/>
    </row>
    <row r="88" spans="1:19" x14ac:dyDescent="0.2">
      <c r="A88" s="2">
        <v>85</v>
      </c>
      <c r="B88" s="8">
        <v>350124016</v>
      </c>
      <c r="C88" s="8" t="s">
        <v>356</v>
      </c>
      <c r="D88" s="8" t="s">
        <v>17</v>
      </c>
      <c r="E88" s="9" t="s">
        <v>43</v>
      </c>
      <c r="F88" s="10" t="s">
        <v>356</v>
      </c>
      <c r="G88" s="10" t="s">
        <v>287</v>
      </c>
      <c r="H88" s="10" t="s">
        <v>301</v>
      </c>
      <c r="I88" s="11" t="s">
        <v>357</v>
      </c>
      <c r="J88" s="11" t="s">
        <v>358</v>
      </c>
      <c r="K88" s="12" t="s">
        <v>17</v>
      </c>
      <c r="L88" s="10" t="s">
        <v>5</v>
      </c>
      <c r="M88" s="10" t="s">
        <v>15</v>
      </c>
      <c r="N88" s="2" t="s">
        <v>17</v>
      </c>
      <c r="O88" s="2" t="s">
        <v>17</v>
      </c>
      <c r="P88" s="2" t="s">
        <v>17</v>
      </c>
      <c r="S88" s="13"/>
    </row>
    <row r="89" spans="1:19" x14ac:dyDescent="0.2">
      <c r="A89" s="2">
        <v>86</v>
      </c>
      <c r="B89" s="8">
        <v>350124017</v>
      </c>
      <c r="C89" s="8" t="s">
        <v>359</v>
      </c>
      <c r="D89" s="8" t="s">
        <v>17</v>
      </c>
      <c r="E89" s="9" t="s">
        <v>43</v>
      </c>
      <c r="F89" s="10" t="s">
        <v>255</v>
      </c>
      <c r="G89" s="10" t="s">
        <v>360</v>
      </c>
      <c r="H89" s="10" t="s">
        <v>301</v>
      </c>
      <c r="I89" s="11" t="s">
        <v>361</v>
      </c>
      <c r="J89" s="11" t="s">
        <v>362</v>
      </c>
      <c r="K89" s="12" t="s">
        <v>17</v>
      </c>
      <c r="L89" s="10" t="s">
        <v>5</v>
      </c>
      <c r="M89" s="10" t="s">
        <v>15</v>
      </c>
      <c r="N89" s="2" t="s">
        <v>17</v>
      </c>
      <c r="O89" s="2" t="s">
        <v>17</v>
      </c>
      <c r="P89" s="2" t="s">
        <v>17</v>
      </c>
      <c r="S89" s="13"/>
    </row>
    <row r="90" spans="1:19" x14ac:dyDescent="0.2">
      <c r="A90" s="2">
        <v>87</v>
      </c>
      <c r="B90" s="8">
        <v>350124018</v>
      </c>
      <c r="C90" s="8" t="s">
        <v>363</v>
      </c>
      <c r="D90" s="8" t="s">
        <v>17</v>
      </c>
      <c r="E90" s="9" t="s">
        <v>43</v>
      </c>
      <c r="F90" s="10" t="s">
        <v>363</v>
      </c>
      <c r="G90" s="10" t="s">
        <v>340</v>
      </c>
      <c r="H90" s="10" t="s">
        <v>301</v>
      </c>
      <c r="I90" s="11" t="s">
        <v>364</v>
      </c>
      <c r="J90" s="11" t="s">
        <v>365</v>
      </c>
      <c r="K90" s="12" t="s">
        <v>17</v>
      </c>
      <c r="L90" s="10" t="s">
        <v>5</v>
      </c>
      <c r="M90" s="10" t="s">
        <v>15</v>
      </c>
      <c r="N90" s="2" t="s">
        <v>17</v>
      </c>
      <c r="O90" s="2" t="s">
        <v>17</v>
      </c>
      <c r="P90" s="2" t="s">
        <v>17</v>
      </c>
      <c r="S90" s="13"/>
    </row>
    <row r="91" spans="1:19" x14ac:dyDescent="0.2">
      <c r="A91" s="2">
        <v>88</v>
      </c>
      <c r="B91" s="8">
        <v>350124019</v>
      </c>
      <c r="C91" s="8" t="s">
        <v>366</v>
      </c>
      <c r="D91" s="8" t="s">
        <v>17</v>
      </c>
      <c r="E91" s="9" t="s">
        <v>43</v>
      </c>
      <c r="F91" s="10" t="s">
        <v>367</v>
      </c>
      <c r="G91" s="10" t="s">
        <v>287</v>
      </c>
      <c r="H91" s="10" t="s">
        <v>301</v>
      </c>
      <c r="I91" s="11" t="s">
        <v>368</v>
      </c>
      <c r="J91" s="11" t="s">
        <v>369</v>
      </c>
      <c r="K91" s="12" t="s">
        <v>17</v>
      </c>
      <c r="L91" s="10" t="s">
        <v>5</v>
      </c>
      <c r="M91" s="10" t="s">
        <v>15</v>
      </c>
      <c r="N91" s="2" t="s">
        <v>17</v>
      </c>
      <c r="O91" s="2" t="s">
        <v>17</v>
      </c>
      <c r="P91" s="2" t="s">
        <v>17</v>
      </c>
      <c r="S91" s="13"/>
    </row>
    <row r="92" spans="1:19" x14ac:dyDescent="0.2">
      <c r="A92" s="2">
        <v>89</v>
      </c>
      <c r="B92" s="8">
        <v>350124020</v>
      </c>
      <c r="C92" s="8" t="s">
        <v>370</v>
      </c>
      <c r="D92" s="8" t="s">
        <v>17</v>
      </c>
      <c r="E92" s="9" t="s">
        <v>43</v>
      </c>
      <c r="F92" s="10" t="s">
        <v>370</v>
      </c>
      <c r="G92" s="10" t="s">
        <v>370</v>
      </c>
      <c r="H92" s="10" t="s">
        <v>301</v>
      </c>
      <c r="I92" s="11" t="s">
        <v>371</v>
      </c>
      <c r="J92" s="11" t="s">
        <v>372</v>
      </c>
      <c r="K92" s="12" t="s">
        <v>17</v>
      </c>
      <c r="L92" s="10" t="s">
        <v>5</v>
      </c>
      <c r="M92" s="10" t="s">
        <v>15</v>
      </c>
      <c r="N92" s="2" t="s">
        <v>17</v>
      </c>
      <c r="O92" s="2" t="s">
        <v>17</v>
      </c>
      <c r="P92" s="2" t="s">
        <v>17</v>
      </c>
      <c r="S92" s="13"/>
    </row>
    <row r="93" spans="1:19" x14ac:dyDescent="0.2">
      <c r="A93" s="2">
        <v>90</v>
      </c>
      <c r="B93" s="8">
        <v>350124021</v>
      </c>
      <c r="C93" s="8" t="s">
        <v>373</v>
      </c>
      <c r="D93" s="8" t="s">
        <v>17</v>
      </c>
      <c r="E93" s="9" t="s">
        <v>43</v>
      </c>
      <c r="F93" s="10" t="s">
        <v>374</v>
      </c>
      <c r="G93" s="10" t="s">
        <v>375</v>
      </c>
      <c r="H93" s="10" t="s">
        <v>301</v>
      </c>
      <c r="I93" s="11" t="s">
        <v>376</v>
      </c>
      <c r="J93" s="11" t="s">
        <v>377</v>
      </c>
      <c r="K93" s="12" t="s">
        <v>17</v>
      </c>
      <c r="L93" s="10" t="s">
        <v>5</v>
      </c>
      <c r="M93" s="10" t="s">
        <v>15</v>
      </c>
      <c r="N93" s="2" t="s">
        <v>17</v>
      </c>
      <c r="O93" s="2" t="s">
        <v>17</v>
      </c>
      <c r="P93" s="2" t="s">
        <v>17</v>
      </c>
      <c r="S93" s="13"/>
    </row>
    <row r="94" spans="1:19" x14ac:dyDescent="0.2">
      <c r="A94" s="2">
        <v>91</v>
      </c>
      <c r="B94" s="8">
        <v>350124022</v>
      </c>
      <c r="C94" s="8" t="s">
        <v>378</v>
      </c>
      <c r="D94" s="8" t="s">
        <v>17</v>
      </c>
      <c r="E94" s="9" t="s">
        <v>43</v>
      </c>
      <c r="F94" s="10" t="s">
        <v>378</v>
      </c>
      <c r="G94" s="10" t="s">
        <v>379</v>
      </c>
      <c r="H94" s="10" t="s">
        <v>301</v>
      </c>
      <c r="I94" s="11" t="s">
        <v>380</v>
      </c>
      <c r="J94" s="11" t="s">
        <v>381</v>
      </c>
      <c r="K94" s="12" t="s">
        <v>17</v>
      </c>
      <c r="L94" s="10" t="s">
        <v>5</v>
      </c>
      <c r="M94" s="10" t="s">
        <v>15</v>
      </c>
      <c r="N94" s="2" t="s">
        <v>17</v>
      </c>
      <c r="O94" s="2" t="s">
        <v>17</v>
      </c>
      <c r="P94" s="2" t="s">
        <v>17</v>
      </c>
      <c r="S94" s="13"/>
    </row>
    <row r="95" spans="1:19" x14ac:dyDescent="0.2">
      <c r="A95" s="2">
        <v>92</v>
      </c>
      <c r="B95" s="8">
        <v>350124023</v>
      </c>
      <c r="C95" s="8" t="s">
        <v>382</v>
      </c>
      <c r="D95" s="8" t="s">
        <v>17</v>
      </c>
      <c r="E95" s="9" t="s">
        <v>43</v>
      </c>
      <c r="F95" s="10" t="s">
        <v>382</v>
      </c>
      <c r="G95" s="10" t="s">
        <v>383</v>
      </c>
      <c r="H95" s="10" t="s">
        <v>301</v>
      </c>
      <c r="I95" s="11" t="s">
        <v>384</v>
      </c>
      <c r="J95" s="11" t="s">
        <v>385</v>
      </c>
      <c r="K95" s="12" t="s">
        <v>17</v>
      </c>
      <c r="L95" s="10" t="s">
        <v>5</v>
      </c>
      <c r="M95" s="10" t="s">
        <v>15</v>
      </c>
      <c r="N95" s="2" t="s">
        <v>17</v>
      </c>
      <c r="O95" s="2" t="s">
        <v>17</v>
      </c>
      <c r="P95" s="2" t="s">
        <v>17</v>
      </c>
      <c r="S95" s="13"/>
    </row>
    <row r="96" spans="1:19" x14ac:dyDescent="0.2">
      <c r="A96" s="2">
        <v>93</v>
      </c>
      <c r="B96" s="8">
        <v>350124024</v>
      </c>
      <c r="C96" s="8" t="s">
        <v>386</v>
      </c>
      <c r="D96" s="8" t="s">
        <v>17</v>
      </c>
      <c r="E96" s="9" t="s">
        <v>43</v>
      </c>
      <c r="F96" s="10" t="s">
        <v>386</v>
      </c>
      <c r="G96" s="10" t="s">
        <v>387</v>
      </c>
      <c r="H96" s="10" t="s">
        <v>301</v>
      </c>
      <c r="I96" s="11" t="s">
        <v>388</v>
      </c>
      <c r="J96" s="11" t="s">
        <v>389</v>
      </c>
      <c r="K96" s="12" t="s">
        <v>17</v>
      </c>
      <c r="L96" s="10" t="s">
        <v>5</v>
      </c>
      <c r="M96" s="10" t="s">
        <v>15</v>
      </c>
      <c r="N96" s="2" t="s">
        <v>17</v>
      </c>
      <c r="O96" s="2" t="s">
        <v>17</v>
      </c>
      <c r="P96" s="2" t="s">
        <v>17</v>
      </c>
      <c r="S96" s="13"/>
    </row>
    <row r="97" spans="1:19" x14ac:dyDescent="0.2">
      <c r="A97" s="2">
        <v>94</v>
      </c>
      <c r="B97" s="8">
        <v>350125001</v>
      </c>
      <c r="C97" s="8" t="s">
        <v>390</v>
      </c>
      <c r="D97" s="8" t="s">
        <v>17</v>
      </c>
      <c r="E97" s="9" t="s">
        <v>43</v>
      </c>
      <c r="F97" s="10" t="s">
        <v>391</v>
      </c>
      <c r="G97" s="10" t="s">
        <v>390</v>
      </c>
      <c r="H97" s="10" t="s">
        <v>19</v>
      </c>
      <c r="I97" s="11" t="s">
        <v>392</v>
      </c>
      <c r="J97" s="11" t="s">
        <v>393</v>
      </c>
      <c r="K97" s="12" t="s">
        <v>17</v>
      </c>
      <c r="L97" s="10" t="s">
        <v>5</v>
      </c>
      <c r="M97" s="10" t="s">
        <v>15</v>
      </c>
      <c r="N97" s="2" t="s">
        <v>17</v>
      </c>
      <c r="O97" s="2" t="s">
        <v>17</v>
      </c>
      <c r="P97" s="2" t="s">
        <v>17</v>
      </c>
      <c r="S97" s="13"/>
    </row>
    <row r="98" spans="1:19" x14ac:dyDescent="0.2">
      <c r="A98" s="2">
        <v>95</v>
      </c>
      <c r="B98" s="8">
        <v>350125002</v>
      </c>
      <c r="C98" s="8" t="s">
        <v>394</v>
      </c>
      <c r="D98" s="8" t="s">
        <v>17</v>
      </c>
      <c r="E98" s="9" t="s">
        <v>43</v>
      </c>
      <c r="F98" s="10" t="s">
        <v>395</v>
      </c>
      <c r="G98" s="10" t="s">
        <v>396</v>
      </c>
      <c r="H98" s="10" t="s">
        <v>19</v>
      </c>
      <c r="I98" s="11" t="s">
        <v>397</v>
      </c>
      <c r="J98" s="11" t="s">
        <v>398</v>
      </c>
      <c r="K98" s="12" t="s">
        <v>17</v>
      </c>
      <c r="L98" s="10" t="s">
        <v>5</v>
      </c>
      <c r="M98" s="10" t="s">
        <v>15</v>
      </c>
      <c r="N98" s="2" t="s">
        <v>17</v>
      </c>
      <c r="O98" s="2" t="s">
        <v>17</v>
      </c>
      <c r="P98" s="2" t="s">
        <v>17</v>
      </c>
      <c r="S98" s="13"/>
    </row>
    <row r="99" spans="1:19" x14ac:dyDescent="0.2">
      <c r="A99" s="2">
        <v>96</v>
      </c>
      <c r="B99" s="8">
        <v>350125003</v>
      </c>
      <c r="C99" s="8" t="s">
        <v>399</v>
      </c>
      <c r="D99" s="8" t="s">
        <v>17</v>
      </c>
      <c r="E99" s="9" t="s">
        <v>43</v>
      </c>
      <c r="F99" s="10" t="s">
        <v>400</v>
      </c>
      <c r="G99" s="10" t="s">
        <v>396</v>
      </c>
      <c r="H99" s="10" t="s">
        <v>19</v>
      </c>
      <c r="I99" s="11" t="s">
        <v>401</v>
      </c>
      <c r="J99" s="11" t="s">
        <v>402</v>
      </c>
      <c r="K99" s="12" t="s">
        <v>17</v>
      </c>
      <c r="L99" s="10" t="s">
        <v>5</v>
      </c>
      <c r="M99" s="10" t="s">
        <v>15</v>
      </c>
      <c r="N99" s="2" t="s">
        <v>17</v>
      </c>
      <c r="O99" s="2" t="s">
        <v>17</v>
      </c>
      <c r="P99" s="2" t="s">
        <v>17</v>
      </c>
      <c r="S99" s="13"/>
    </row>
    <row r="100" spans="1:19" x14ac:dyDescent="0.2">
      <c r="A100" s="2">
        <v>97</v>
      </c>
      <c r="B100" s="8">
        <v>350125004</v>
      </c>
      <c r="C100" s="8" t="s">
        <v>403</v>
      </c>
      <c r="D100" s="8" t="s">
        <v>17</v>
      </c>
      <c r="E100" s="9" t="s">
        <v>43</v>
      </c>
      <c r="F100" s="10" t="s">
        <v>404</v>
      </c>
      <c r="G100" s="10" t="s">
        <v>405</v>
      </c>
      <c r="H100" s="10" t="s">
        <v>19</v>
      </c>
      <c r="I100" s="11" t="s">
        <v>406</v>
      </c>
      <c r="J100" s="11" t="s">
        <v>407</v>
      </c>
      <c r="K100" s="12" t="s">
        <v>17</v>
      </c>
      <c r="L100" s="10" t="s">
        <v>5</v>
      </c>
      <c r="M100" s="10" t="s">
        <v>15</v>
      </c>
      <c r="N100" s="2" t="s">
        <v>17</v>
      </c>
      <c r="O100" s="2" t="s">
        <v>17</v>
      </c>
      <c r="P100" s="2" t="s">
        <v>17</v>
      </c>
      <c r="S100" s="13"/>
    </row>
    <row r="101" spans="1:19" x14ac:dyDescent="0.2">
      <c r="A101" s="2">
        <v>98</v>
      </c>
      <c r="B101" s="8">
        <v>350125005</v>
      </c>
      <c r="C101" s="8" t="s">
        <v>9</v>
      </c>
      <c r="D101" s="8" t="s">
        <v>17</v>
      </c>
      <c r="E101" s="9" t="s">
        <v>43</v>
      </c>
      <c r="F101" s="10" t="s">
        <v>9</v>
      </c>
      <c r="G101" s="10" t="s">
        <v>13</v>
      </c>
      <c r="H101" s="10" t="s">
        <v>19</v>
      </c>
      <c r="I101" s="11" t="s">
        <v>408</v>
      </c>
      <c r="J101" s="11" t="s">
        <v>409</v>
      </c>
      <c r="K101" s="12" t="s">
        <v>17</v>
      </c>
      <c r="L101" s="10" t="s">
        <v>5</v>
      </c>
      <c r="M101" s="10" t="s">
        <v>15</v>
      </c>
      <c r="N101" s="2" t="s">
        <v>17</v>
      </c>
      <c r="O101" s="2" t="s">
        <v>17</v>
      </c>
      <c r="P101" s="2" t="s">
        <v>17</v>
      </c>
      <c r="S101" s="13"/>
    </row>
    <row r="102" spans="1:19" x14ac:dyDescent="0.2">
      <c r="A102" s="2">
        <v>99</v>
      </c>
      <c r="B102" s="8">
        <v>350125006</v>
      </c>
      <c r="C102" s="8" t="s">
        <v>410</v>
      </c>
      <c r="D102" s="8" t="s">
        <v>17</v>
      </c>
      <c r="E102" s="9" t="s">
        <v>43</v>
      </c>
      <c r="F102" s="10" t="s">
        <v>410</v>
      </c>
      <c r="G102" s="10" t="s">
        <v>411</v>
      </c>
      <c r="H102" s="10" t="s">
        <v>19</v>
      </c>
      <c r="I102" s="11" t="s">
        <v>412</v>
      </c>
      <c r="J102" s="11" t="s">
        <v>413</v>
      </c>
      <c r="K102" s="12" t="s">
        <v>17</v>
      </c>
      <c r="L102" s="10" t="s">
        <v>5</v>
      </c>
      <c r="M102" s="10" t="s">
        <v>15</v>
      </c>
      <c r="N102" s="2" t="s">
        <v>17</v>
      </c>
      <c r="O102" s="2" t="s">
        <v>17</v>
      </c>
      <c r="P102" s="2" t="s">
        <v>17</v>
      </c>
      <c r="S102" s="13"/>
    </row>
    <row r="103" spans="1:19" x14ac:dyDescent="0.2">
      <c r="A103" s="2">
        <v>100</v>
      </c>
      <c r="B103" s="8">
        <v>350125007</v>
      </c>
      <c r="C103" s="8" t="s">
        <v>414</v>
      </c>
      <c r="D103" s="8" t="s">
        <v>17</v>
      </c>
      <c r="E103" s="9" t="s">
        <v>43</v>
      </c>
      <c r="F103" s="10" t="s">
        <v>414</v>
      </c>
      <c r="G103" s="10" t="s">
        <v>414</v>
      </c>
      <c r="H103" s="10" t="s">
        <v>19</v>
      </c>
      <c r="I103" s="11" t="s">
        <v>415</v>
      </c>
      <c r="J103" s="11" t="s">
        <v>416</v>
      </c>
      <c r="K103" s="12" t="s">
        <v>17</v>
      </c>
      <c r="L103" s="10" t="s">
        <v>5</v>
      </c>
      <c r="M103" s="10" t="s">
        <v>15</v>
      </c>
      <c r="N103" s="2" t="s">
        <v>17</v>
      </c>
      <c r="O103" s="2" t="s">
        <v>17</v>
      </c>
      <c r="P103" s="2" t="s">
        <v>17</v>
      </c>
      <c r="S103" s="13"/>
    </row>
    <row r="104" spans="1:19" x14ac:dyDescent="0.2">
      <c r="A104" s="2">
        <v>101</v>
      </c>
      <c r="B104" s="8">
        <v>350125008</v>
      </c>
      <c r="C104" s="8" t="s">
        <v>417</v>
      </c>
      <c r="D104" s="8" t="s">
        <v>17</v>
      </c>
      <c r="E104" s="9" t="s">
        <v>43</v>
      </c>
      <c r="F104" s="10" t="s">
        <v>417</v>
      </c>
      <c r="G104" s="10" t="s">
        <v>411</v>
      </c>
      <c r="H104" s="10" t="s">
        <v>19</v>
      </c>
      <c r="I104" s="11" t="s">
        <v>418</v>
      </c>
      <c r="J104" s="11" t="s">
        <v>419</v>
      </c>
      <c r="K104" s="12" t="s">
        <v>17</v>
      </c>
      <c r="L104" s="10" t="s">
        <v>5</v>
      </c>
      <c r="M104" s="10" t="s">
        <v>15</v>
      </c>
      <c r="N104" s="2" t="s">
        <v>17</v>
      </c>
      <c r="O104" s="2" t="s">
        <v>17</v>
      </c>
      <c r="P104" s="2" t="s">
        <v>17</v>
      </c>
      <c r="S104" s="13"/>
    </row>
    <row r="105" spans="1:19" x14ac:dyDescent="0.2">
      <c r="A105" s="2">
        <v>102</v>
      </c>
      <c r="B105" s="8">
        <v>350125009</v>
      </c>
      <c r="C105" s="8" t="s">
        <v>420</v>
      </c>
      <c r="D105" s="8" t="s">
        <v>17</v>
      </c>
      <c r="E105" s="9" t="s">
        <v>43</v>
      </c>
      <c r="F105" s="10" t="s">
        <v>420</v>
      </c>
      <c r="G105" s="10" t="s">
        <v>420</v>
      </c>
      <c r="H105" s="10" t="s">
        <v>19</v>
      </c>
      <c r="I105" s="11" t="s">
        <v>421</v>
      </c>
      <c r="J105" s="11" t="s">
        <v>422</v>
      </c>
      <c r="K105" s="12" t="s">
        <v>17</v>
      </c>
      <c r="L105" s="10" t="s">
        <v>5</v>
      </c>
      <c r="M105" s="10" t="s">
        <v>15</v>
      </c>
      <c r="N105" s="2" t="s">
        <v>17</v>
      </c>
      <c r="O105" s="2" t="s">
        <v>17</v>
      </c>
      <c r="P105" s="2" t="s">
        <v>17</v>
      </c>
      <c r="S105" s="13"/>
    </row>
    <row r="106" spans="1:19" x14ac:dyDescent="0.2">
      <c r="A106" s="2">
        <v>103</v>
      </c>
      <c r="B106" s="8">
        <v>350125010</v>
      </c>
      <c r="C106" s="8" t="s">
        <v>423</v>
      </c>
      <c r="D106" s="8" t="s">
        <v>17</v>
      </c>
      <c r="E106" s="9" t="s">
        <v>43</v>
      </c>
      <c r="F106" s="10" t="s">
        <v>424</v>
      </c>
      <c r="G106" s="10" t="s">
        <v>411</v>
      </c>
      <c r="H106" s="10" t="s">
        <v>19</v>
      </c>
      <c r="I106" s="11" t="s">
        <v>425</v>
      </c>
      <c r="J106" s="11" t="s">
        <v>426</v>
      </c>
      <c r="K106" s="12" t="s">
        <v>17</v>
      </c>
      <c r="L106" s="10" t="s">
        <v>5</v>
      </c>
      <c r="M106" s="10" t="s">
        <v>15</v>
      </c>
      <c r="N106" s="2" t="s">
        <v>17</v>
      </c>
      <c r="O106" s="2" t="s">
        <v>17</v>
      </c>
      <c r="P106" s="2" t="s">
        <v>17</v>
      </c>
      <c r="S106" s="13"/>
    </row>
    <row r="107" spans="1:19" x14ac:dyDescent="0.2">
      <c r="A107" s="2">
        <v>104</v>
      </c>
      <c r="B107" s="8">
        <v>350125011</v>
      </c>
      <c r="C107" s="8" t="s">
        <v>427</v>
      </c>
      <c r="D107" s="8" t="s">
        <v>17</v>
      </c>
      <c r="E107" s="9" t="s">
        <v>43</v>
      </c>
      <c r="F107" s="10" t="s">
        <v>427</v>
      </c>
      <c r="G107" s="10" t="s">
        <v>428</v>
      </c>
      <c r="H107" s="10" t="s">
        <v>19</v>
      </c>
      <c r="I107" s="11" t="s">
        <v>429</v>
      </c>
      <c r="J107" s="11" t="s">
        <v>430</v>
      </c>
      <c r="K107" s="12" t="s">
        <v>17</v>
      </c>
      <c r="L107" s="10" t="s">
        <v>5</v>
      </c>
      <c r="M107" s="10" t="s">
        <v>15</v>
      </c>
      <c r="N107" s="2" t="s">
        <v>17</v>
      </c>
      <c r="O107" s="2" t="s">
        <v>17</v>
      </c>
      <c r="P107" s="2" t="s">
        <v>17</v>
      </c>
      <c r="S107" s="13"/>
    </row>
    <row r="108" spans="1:19" x14ac:dyDescent="0.2">
      <c r="A108" s="2">
        <v>105</v>
      </c>
      <c r="B108" s="8">
        <v>350125012</v>
      </c>
      <c r="C108" s="8" t="s">
        <v>431</v>
      </c>
      <c r="D108" s="8" t="s">
        <v>17</v>
      </c>
      <c r="E108" s="9" t="s">
        <v>43</v>
      </c>
      <c r="F108" s="10" t="s">
        <v>432</v>
      </c>
      <c r="G108" s="10" t="s">
        <v>428</v>
      </c>
      <c r="H108" s="10" t="s">
        <v>19</v>
      </c>
      <c r="I108" s="11" t="s">
        <v>433</v>
      </c>
      <c r="J108" s="11" t="s">
        <v>434</v>
      </c>
      <c r="K108" s="12" t="s">
        <v>17</v>
      </c>
      <c r="L108" s="10" t="s">
        <v>5</v>
      </c>
      <c r="M108" s="10" t="s">
        <v>15</v>
      </c>
      <c r="N108" s="2" t="s">
        <v>17</v>
      </c>
      <c r="O108" s="2" t="s">
        <v>17</v>
      </c>
      <c r="P108" s="2" t="s">
        <v>17</v>
      </c>
      <c r="S108" s="13"/>
    </row>
    <row r="109" spans="1:19" x14ac:dyDescent="0.2">
      <c r="A109" s="2">
        <v>106</v>
      </c>
      <c r="B109" s="8">
        <v>350125013</v>
      </c>
      <c r="C109" s="8" t="s">
        <v>435</v>
      </c>
      <c r="D109" s="8" t="s">
        <v>17</v>
      </c>
      <c r="E109" s="9" t="s">
        <v>43</v>
      </c>
      <c r="F109" s="10" t="s">
        <v>435</v>
      </c>
      <c r="G109" s="10" t="s">
        <v>435</v>
      </c>
      <c r="H109" s="10" t="s">
        <v>19</v>
      </c>
      <c r="I109" s="11" t="s">
        <v>436</v>
      </c>
      <c r="J109" s="11" t="s">
        <v>437</v>
      </c>
      <c r="K109" s="12" t="s">
        <v>17</v>
      </c>
      <c r="L109" s="10" t="s">
        <v>5</v>
      </c>
      <c r="M109" s="10" t="s">
        <v>15</v>
      </c>
      <c r="N109" s="2" t="s">
        <v>17</v>
      </c>
      <c r="O109" s="2" t="s">
        <v>17</v>
      </c>
      <c r="P109" s="2" t="s">
        <v>17</v>
      </c>
      <c r="S109" s="13"/>
    </row>
    <row r="110" spans="1:19" x14ac:dyDescent="0.2">
      <c r="A110" s="2">
        <v>107</v>
      </c>
      <c r="B110" s="8">
        <v>350125014</v>
      </c>
      <c r="C110" s="8" t="s">
        <v>438</v>
      </c>
      <c r="D110" s="8" t="s">
        <v>17</v>
      </c>
      <c r="E110" s="9" t="s">
        <v>43</v>
      </c>
      <c r="F110" s="10" t="s">
        <v>439</v>
      </c>
      <c r="G110" s="10" t="s">
        <v>440</v>
      </c>
      <c r="H110" s="10" t="s">
        <v>19</v>
      </c>
      <c r="I110" s="11" t="s">
        <v>441</v>
      </c>
      <c r="J110" s="11" t="s">
        <v>442</v>
      </c>
      <c r="K110" s="12" t="s">
        <v>17</v>
      </c>
      <c r="L110" s="10" t="s">
        <v>5</v>
      </c>
      <c r="M110" s="10" t="s">
        <v>15</v>
      </c>
      <c r="N110" s="2" t="s">
        <v>17</v>
      </c>
      <c r="O110" s="2" t="s">
        <v>17</v>
      </c>
      <c r="P110" s="2" t="s">
        <v>17</v>
      </c>
      <c r="S110" s="13"/>
    </row>
    <row r="111" spans="1:19" x14ac:dyDescent="0.2">
      <c r="A111" s="2">
        <v>108</v>
      </c>
      <c r="B111" s="8">
        <v>350125015</v>
      </c>
      <c r="C111" s="8" t="s">
        <v>443</v>
      </c>
      <c r="D111" s="8" t="s">
        <v>17</v>
      </c>
      <c r="E111" s="9" t="s">
        <v>43</v>
      </c>
      <c r="F111" s="10" t="s">
        <v>444</v>
      </c>
      <c r="G111" s="10" t="s">
        <v>445</v>
      </c>
      <c r="H111" s="10" t="s">
        <v>19</v>
      </c>
      <c r="I111" s="11" t="s">
        <v>446</v>
      </c>
      <c r="J111" s="11" t="s">
        <v>447</v>
      </c>
      <c r="K111" s="12" t="s">
        <v>17</v>
      </c>
      <c r="L111" s="10" t="s">
        <v>5</v>
      </c>
      <c r="M111" s="10" t="s">
        <v>15</v>
      </c>
      <c r="N111" s="2" t="s">
        <v>17</v>
      </c>
      <c r="O111" s="2" t="s">
        <v>17</v>
      </c>
      <c r="P111" s="2" t="s">
        <v>17</v>
      </c>
      <c r="S111" s="13"/>
    </row>
    <row r="112" spans="1:19" x14ac:dyDescent="0.2">
      <c r="A112" s="2">
        <v>109</v>
      </c>
      <c r="B112" s="8">
        <v>350215001</v>
      </c>
      <c r="C112" s="8" t="s">
        <v>448</v>
      </c>
      <c r="D112" s="8" t="s">
        <v>17</v>
      </c>
      <c r="E112" s="9" t="s">
        <v>449</v>
      </c>
      <c r="F112" s="10" t="s">
        <v>450</v>
      </c>
      <c r="G112" s="10" t="s">
        <v>451</v>
      </c>
      <c r="H112" s="10" t="s">
        <v>452</v>
      </c>
      <c r="I112" s="11" t="s">
        <v>453</v>
      </c>
      <c r="J112" s="11" t="s">
        <v>454</v>
      </c>
      <c r="K112" s="12" t="s">
        <v>17</v>
      </c>
      <c r="L112" s="10" t="s">
        <v>455</v>
      </c>
      <c r="M112" s="10" t="s">
        <v>15</v>
      </c>
      <c r="N112" s="2" t="s">
        <v>17</v>
      </c>
      <c r="O112" s="2" t="s">
        <v>17</v>
      </c>
      <c r="P112" s="2" t="s">
        <v>17</v>
      </c>
      <c r="S112" s="13"/>
    </row>
    <row r="113" spans="1:19" x14ac:dyDescent="0.2">
      <c r="A113" s="2">
        <v>110</v>
      </c>
      <c r="B113" s="8">
        <v>350215002</v>
      </c>
      <c r="C113" s="8" t="s">
        <v>456</v>
      </c>
      <c r="D113" s="8" t="s">
        <v>17</v>
      </c>
      <c r="E113" s="9" t="s">
        <v>449</v>
      </c>
      <c r="F113" s="10" t="s">
        <v>457</v>
      </c>
      <c r="G113" s="10" t="s">
        <v>458</v>
      </c>
      <c r="H113" s="10" t="s">
        <v>452</v>
      </c>
      <c r="I113" s="11" t="s">
        <v>459</v>
      </c>
      <c r="J113" s="11" t="s">
        <v>460</v>
      </c>
      <c r="K113" s="12" t="s">
        <v>17</v>
      </c>
      <c r="L113" s="10" t="s">
        <v>455</v>
      </c>
      <c r="M113" s="10" t="s">
        <v>15</v>
      </c>
      <c r="N113" s="2" t="s">
        <v>17</v>
      </c>
      <c r="O113" s="2" t="s">
        <v>17</v>
      </c>
      <c r="P113" s="2" t="s">
        <v>17</v>
      </c>
      <c r="S113" s="13"/>
    </row>
    <row r="114" spans="1:19" x14ac:dyDescent="0.2">
      <c r="A114" s="2">
        <v>111</v>
      </c>
      <c r="B114" s="8">
        <v>350215003</v>
      </c>
      <c r="C114" s="8" t="s">
        <v>461</v>
      </c>
      <c r="D114" s="8" t="s">
        <v>17</v>
      </c>
      <c r="E114" s="9" t="s">
        <v>449</v>
      </c>
      <c r="F114" s="10" t="s">
        <v>462</v>
      </c>
      <c r="G114" s="10" t="s">
        <v>463</v>
      </c>
      <c r="H114" s="10" t="s">
        <v>452</v>
      </c>
      <c r="I114" s="11" t="s">
        <v>464</v>
      </c>
      <c r="J114" s="11" t="s">
        <v>465</v>
      </c>
      <c r="K114" s="12" t="s">
        <v>17</v>
      </c>
      <c r="L114" s="10" t="s">
        <v>455</v>
      </c>
      <c r="M114" s="10" t="s">
        <v>15</v>
      </c>
      <c r="N114" s="2" t="s">
        <v>17</v>
      </c>
      <c r="O114" s="2" t="s">
        <v>17</v>
      </c>
      <c r="P114" s="2" t="s">
        <v>17</v>
      </c>
      <c r="S114" s="13"/>
    </row>
    <row r="115" spans="1:19" x14ac:dyDescent="0.2">
      <c r="A115" s="2">
        <v>112</v>
      </c>
      <c r="B115" s="8">
        <v>350215004</v>
      </c>
      <c r="C115" s="8" t="s">
        <v>466</v>
      </c>
      <c r="D115" s="8" t="s">
        <v>17</v>
      </c>
      <c r="E115" s="9" t="s">
        <v>449</v>
      </c>
      <c r="F115" s="10" t="s">
        <v>466</v>
      </c>
      <c r="G115" s="10" t="s">
        <v>467</v>
      </c>
      <c r="H115" s="10" t="s">
        <v>452</v>
      </c>
      <c r="I115" s="11" t="s">
        <v>468</v>
      </c>
      <c r="J115" s="11" t="s">
        <v>469</v>
      </c>
      <c r="K115" s="12" t="s">
        <v>17</v>
      </c>
      <c r="L115" s="10" t="s">
        <v>455</v>
      </c>
      <c r="M115" s="10" t="s">
        <v>15</v>
      </c>
      <c r="N115" s="2" t="s">
        <v>17</v>
      </c>
      <c r="O115" s="2" t="s">
        <v>17</v>
      </c>
      <c r="P115" s="2" t="s">
        <v>17</v>
      </c>
      <c r="S115" s="13"/>
    </row>
    <row r="116" spans="1:19" x14ac:dyDescent="0.2">
      <c r="A116" s="2">
        <v>113</v>
      </c>
      <c r="B116" s="8">
        <v>350215005</v>
      </c>
      <c r="C116" s="8" t="s">
        <v>470</v>
      </c>
      <c r="D116" s="8" t="s">
        <v>17</v>
      </c>
      <c r="E116" s="9" t="s">
        <v>449</v>
      </c>
      <c r="F116" s="10" t="s">
        <v>471</v>
      </c>
      <c r="G116" s="10" t="s">
        <v>472</v>
      </c>
      <c r="H116" s="10" t="s">
        <v>452</v>
      </c>
      <c r="I116" s="11" t="s">
        <v>473</v>
      </c>
      <c r="J116" s="11" t="s">
        <v>474</v>
      </c>
      <c r="K116" s="12" t="s">
        <v>17</v>
      </c>
      <c r="L116" s="10" t="s">
        <v>455</v>
      </c>
      <c r="M116" s="10" t="s">
        <v>15</v>
      </c>
      <c r="N116" s="2" t="s">
        <v>17</v>
      </c>
      <c r="O116" s="2" t="s">
        <v>17</v>
      </c>
      <c r="P116" s="2" t="s">
        <v>17</v>
      </c>
      <c r="S116" s="13"/>
    </row>
    <row r="117" spans="1:19" x14ac:dyDescent="0.2">
      <c r="A117" s="2">
        <v>114</v>
      </c>
      <c r="B117" s="8">
        <v>350215006</v>
      </c>
      <c r="C117" s="8" t="s">
        <v>475</v>
      </c>
      <c r="D117" s="8" t="s">
        <v>17</v>
      </c>
      <c r="E117" s="9" t="s">
        <v>449</v>
      </c>
      <c r="F117" s="10" t="s">
        <v>476</v>
      </c>
      <c r="G117" s="10" t="s">
        <v>477</v>
      </c>
      <c r="H117" s="10" t="s">
        <v>452</v>
      </c>
      <c r="I117" s="11" t="s">
        <v>478</v>
      </c>
      <c r="J117" s="11" t="s">
        <v>479</v>
      </c>
      <c r="K117" s="12" t="s">
        <v>17</v>
      </c>
      <c r="L117" s="10" t="s">
        <v>455</v>
      </c>
      <c r="M117" s="10" t="s">
        <v>15</v>
      </c>
      <c r="N117" s="2" t="s">
        <v>17</v>
      </c>
      <c r="O117" s="2" t="s">
        <v>17</v>
      </c>
      <c r="P117" s="2" t="s">
        <v>17</v>
      </c>
      <c r="S117" s="13"/>
    </row>
    <row r="118" spans="1:19" x14ac:dyDescent="0.2">
      <c r="A118" s="2">
        <v>115</v>
      </c>
      <c r="B118" s="8">
        <v>350215007</v>
      </c>
      <c r="C118" s="8" t="s">
        <v>480</v>
      </c>
      <c r="D118" s="8" t="s">
        <v>17</v>
      </c>
      <c r="E118" s="9" t="s">
        <v>449</v>
      </c>
      <c r="F118" s="10" t="s">
        <v>481</v>
      </c>
      <c r="G118" s="10" t="s">
        <v>482</v>
      </c>
      <c r="H118" s="10" t="s">
        <v>452</v>
      </c>
      <c r="I118" s="11" t="s">
        <v>483</v>
      </c>
      <c r="J118" s="11" t="s">
        <v>484</v>
      </c>
      <c r="K118" s="12" t="s">
        <v>17</v>
      </c>
      <c r="L118" s="10" t="s">
        <v>455</v>
      </c>
      <c r="M118" s="10" t="s">
        <v>15</v>
      </c>
      <c r="N118" s="2" t="s">
        <v>17</v>
      </c>
      <c r="O118" s="2" t="s">
        <v>17</v>
      </c>
      <c r="P118" s="2" t="s">
        <v>17</v>
      </c>
      <c r="S118" s="13"/>
    </row>
    <row r="119" spans="1:19" x14ac:dyDescent="0.2">
      <c r="A119" s="2">
        <v>116</v>
      </c>
      <c r="B119" s="8">
        <v>350215008</v>
      </c>
      <c r="C119" s="8" t="s">
        <v>485</v>
      </c>
      <c r="D119" s="8" t="s">
        <v>17</v>
      </c>
      <c r="E119" s="9" t="s">
        <v>449</v>
      </c>
      <c r="F119" s="10" t="s">
        <v>485</v>
      </c>
      <c r="G119" s="10" t="s">
        <v>486</v>
      </c>
      <c r="H119" s="10" t="s">
        <v>452</v>
      </c>
      <c r="I119" s="11" t="s">
        <v>487</v>
      </c>
      <c r="J119" s="11" t="s">
        <v>488</v>
      </c>
      <c r="K119" s="12" t="s">
        <v>17</v>
      </c>
      <c r="L119" s="10" t="s">
        <v>455</v>
      </c>
      <c r="M119" s="10" t="s">
        <v>15</v>
      </c>
      <c r="N119" s="2" t="s">
        <v>17</v>
      </c>
      <c r="O119" s="2" t="s">
        <v>17</v>
      </c>
      <c r="P119" s="2" t="s">
        <v>17</v>
      </c>
      <c r="S119" s="13"/>
    </row>
    <row r="120" spans="1:19" x14ac:dyDescent="0.2">
      <c r="A120" s="2">
        <v>117</v>
      </c>
      <c r="B120" s="8">
        <v>350215009</v>
      </c>
      <c r="C120" s="8" t="s">
        <v>82</v>
      </c>
      <c r="D120" s="8" t="s">
        <v>17</v>
      </c>
      <c r="E120" s="9" t="s">
        <v>449</v>
      </c>
      <c r="F120" s="10" t="s">
        <v>489</v>
      </c>
      <c r="G120" s="10" t="s">
        <v>467</v>
      </c>
      <c r="H120" s="10" t="s">
        <v>452</v>
      </c>
      <c r="I120" s="11" t="s">
        <v>490</v>
      </c>
      <c r="J120" s="11" t="s">
        <v>491</v>
      </c>
      <c r="K120" s="12" t="s">
        <v>17</v>
      </c>
      <c r="L120" s="10" t="s">
        <v>455</v>
      </c>
      <c r="M120" s="10" t="s">
        <v>15</v>
      </c>
      <c r="N120" s="2" t="s">
        <v>17</v>
      </c>
      <c r="O120" s="2" t="s">
        <v>17</v>
      </c>
      <c r="P120" s="2" t="s">
        <v>17</v>
      </c>
      <c r="S120" s="13"/>
    </row>
    <row r="121" spans="1:19" x14ac:dyDescent="0.2">
      <c r="A121" s="2">
        <v>118</v>
      </c>
      <c r="B121" s="8">
        <v>350215010</v>
      </c>
      <c r="C121" s="8" t="s">
        <v>492</v>
      </c>
      <c r="D121" s="8" t="s">
        <v>17</v>
      </c>
      <c r="E121" s="9" t="s">
        <v>449</v>
      </c>
      <c r="F121" s="10" t="s">
        <v>493</v>
      </c>
      <c r="G121" s="10" t="s">
        <v>494</v>
      </c>
      <c r="H121" s="10" t="s">
        <v>452</v>
      </c>
      <c r="I121" s="11" t="s">
        <v>495</v>
      </c>
      <c r="J121" s="11" t="s">
        <v>496</v>
      </c>
      <c r="K121" s="12" t="s">
        <v>17</v>
      </c>
      <c r="L121" s="10" t="s">
        <v>455</v>
      </c>
      <c r="M121" s="10" t="s">
        <v>15</v>
      </c>
      <c r="N121" s="2" t="s">
        <v>17</v>
      </c>
      <c r="O121" s="2" t="s">
        <v>17</v>
      </c>
      <c r="P121" s="2" t="s">
        <v>17</v>
      </c>
      <c r="S121" s="13"/>
    </row>
    <row r="122" spans="1:19" x14ac:dyDescent="0.2">
      <c r="A122" s="2">
        <v>119</v>
      </c>
      <c r="B122" s="8">
        <v>350215011</v>
      </c>
      <c r="C122" s="8" t="s">
        <v>497</v>
      </c>
      <c r="D122" s="8" t="s">
        <v>17</v>
      </c>
      <c r="E122" s="9" t="s">
        <v>449</v>
      </c>
      <c r="F122" s="10" t="s">
        <v>498</v>
      </c>
      <c r="G122" s="10" t="s">
        <v>499</v>
      </c>
      <c r="H122" s="10" t="s">
        <v>500</v>
      </c>
      <c r="I122" s="11" t="s">
        <v>501</v>
      </c>
      <c r="J122" s="11" t="s">
        <v>502</v>
      </c>
      <c r="K122" s="12" t="s">
        <v>17</v>
      </c>
      <c r="L122" s="10" t="s">
        <v>455</v>
      </c>
      <c r="M122" s="10" t="s">
        <v>15</v>
      </c>
      <c r="N122" s="2" t="s">
        <v>17</v>
      </c>
      <c r="O122" s="2" t="s">
        <v>17</v>
      </c>
      <c r="P122" s="2" t="s">
        <v>17</v>
      </c>
      <c r="S122" s="13"/>
    </row>
    <row r="123" spans="1:19" x14ac:dyDescent="0.2">
      <c r="A123" s="2">
        <v>120</v>
      </c>
      <c r="B123" s="8">
        <v>350215012</v>
      </c>
      <c r="C123" s="8" t="s">
        <v>503</v>
      </c>
      <c r="D123" s="8" t="s">
        <v>17</v>
      </c>
      <c r="E123" s="9" t="s">
        <v>449</v>
      </c>
      <c r="F123" s="10" t="s">
        <v>504</v>
      </c>
      <c r="G123" s="10" t="s">
        <v>477</v>
      </c>
      <c r="H123" s="10" t="s">
        <v>452</v>
      </c>
      <c r="I123" s="11" t="s">
        <v>505</v>
      </c>
      <c r="J123" s="11" t="s">
        <v>506</v>
      </c>
      <c r="K123" s="12" t="s">
        <v>17</v>
      </c>
      <c r="L123" s="10" t="s">
        <v>455</v>
      </c>
      <c r="M123" s="10" t="s">
        <v>15</v>
      </c>
      <c r="N123" s="2" t="s">
        <v>17</v>
      </c>
      <c r="O123" s="2" t="s">
        <v>17</v>
      </c>
      <c r="P123" s="2" t="s">
        <v>17</v>
      </c>
      <c r="S123" s="13"/>
    </row>
    <row r="124" spans="1:19" x14ac:dyDescent="0.2">
      <c r="A124" s="2">
        <v>121</v>
      </c>
      <c r="B124" s="8">
        <v>350215013</v>
      </c>
      <c r="C124" s="8" t="s">
        <v>507</v>
      </c>
      <c r="D124" s="8" t="s">
        <v>17</v>
      </c>
      <c r="E124" s="9" t="s">
        <v>449</v>
      </c>
      <c r="F124" s="10" t="s">
        <v>508</v>
      </c>
      <c r="G124" s="10" t="s">
        <v>467</v>
      </c>
      <c r="H124" s="10" t="s">
        <v>452</v>
      </c>
      <c r="I124" s="11" t="s">
        <v>509</v>
      </c>
      <c r="J124" s="11" t="s">
        <v>510</v>
      </c>
      <c r="K124" s="12" t="s">
        <v>17</v>
      </c>
      <c r="L124" s="10" t="s">
        <v>455</v>
      </c>
      <c r="M124" s="10" t="s">
        <v>15</v>
      </c>
      <c r="N124" s="2" t="s">
        <v>17</v>
      </c>
      <c r="O124" s="2" t="s">
        <v>17</v>
      </c>
      <c r="P124" s="2" t="s">
        <v>17</v>
      </c>
      <c r="S124" s="13"/>
    </row>
    <row r="125" spans="1:19" x14ac:dyDescent="0.2">
      <c r="A125" s="2">
        <v>122</v>
      </c>
      <c r="B125" s="8">
        <v>350215014</v>
      </c>
      <c r="C125" s="8" t="s">
        <v>511</v>
      </c>
      <c r="D125" s="8" t="s">
        <v>17</v>
      </c>
      <c r="E125" s="9" t="s">
        <v>449</v>
      </c>
      <c r="F125" s="10" t="s">
        <v>512</v>
      </c>
      <c r="G125" s="10" t="s">
        <v>513</v>
      </c>
      <c r="H125" s="10" t="s">
        <v>452</v>
      </c>
      <c r="I125" s="11" t="s">
        <v>514</v>
      </c>
      <c r="J125" s="11" t="s">
        <v>515</v>
      </c>
      <c r="K125" s="12" t="s">
        <v>17</v>
      </c>
      <c r="L125" s="10" t="s">
        <v>455</v>
      </c>
      <c r="M125" s="10" t="s">
        <v>15</v>
      </c>
      <c r="N125" s="2" t="s">
        <v>17</v>
      </c>
      <c r="O125" s="2" t="s">
        <v>17</v>
      </c>
      <c r="P125" s="2" t="s">
        <v>17</v>
      </c>
      <c r="S125" s="13"/>
    </row>
    <row r="126" spans="1:19" x14ac:dyDescent="0.2">
      <c r="A126" s="2">
        <v>123</v>
      </c>
      <c r="B126" s="8">
        <v>350215015</v>
      </c>
      <c r="C126" s="8" t="s">
        <v>516</v>
      </c>
      <c r="D126" s="8" t="s">
        <v>17</v>
      </c>
      <c r="E126" s="9" t="s">
        <v>449</v>
      </c>
      <c r="F126" s="10" t="s">
        <v>517</v>
      </c>
      <c r="G126" s="10" t="s">
        <v>518</v>
      </c>
      <c r="H126" s="10" t="s">
        <v>452</v>
      </c>
      <c r="I126" s="11" t="s">
        <v>519</v>
      </c>
      <c r="J126" s="11" t="s">
        <v>520</v>
      </c>
      <c r="K126" s="12" t="s">
        <v>17</v>
      </c>
      <c r="L126" s="10" t="s">
        <v>455</v>
      </c>
      <c r="M126" s="10" t="s">
        <v>15</v>
      </c>
      <c r="N126" s="2" t="s">
        <v>17</v>
      </c>
      <c r="O126" s="2" t="s">
        <v>17</v>
      </c>
      <c r="P126" s="2" t="s">
        <v>17</v>
      </c>
      <c r="S126" s="13"/>
    </row>
    <row r="127" spans="1:19" x14ac:dyDescent="0.2">
      <c r="A127" s="2">
        <v>124</v>
      </c>
      <c r="B127" s="8">
        <v>350215016</v>
      </c>
      <c r="C127" s="8" t="s">
        <v>521</v>
      </c>
      <c r="D127" s="8" t="s">
        <v>17</v>
      </c>
      <c r="E127" s="9" t="s">
        <v>449</v>
      </c>
      <c r="F127" s="10" t="s">
        <v>193</v>
      </c>
      <c r="G127" s="10" t="s">
        <v>467</v>
      </c>
      <c r="H127" s="10" t="s">
        <v>452</v>
      </c>
      <c r="I127" s="11" t="s">
        <v>522</v>
      </c>
      <c r="J127" s="11" t="s">
        <v>523</v>
      </c>
      <c r="K127" s="12" t="s">
        <v>17</v>
      </c>
      <c r="L127" s="10" t="s">
        <v>455</v>
      </c>
      <c r="M127" s="10" t="s">
        <v>15</v>
      </c>
      <c r="N127" s="2" t="s">
        <v>17</v>
      </c>
      <c r="O127" s="2" t="s">
        <v>17</v>
      </c>
      <c r="P127" s="2" t="s">
        <v>17</v>
      </c>
      <c r="S127" s="13"/>
    </row>
    <row r="128" spans="1:19" x14ac:dyDescent="0.2">
      <c r="A128" s="2">
        <v>125</v>
      </c>
      <c r="B128" s="8">
        <v>350215017</v>
      </c>
      <c r="C128" s="8" t="s">
        <v>524</v>
      </c>
      <c r="D128" s="8" t="s">
        <v>17</v>
      </c>
      <c r="E128" s="9" t="s">
        <v>449</v>
      </c>
      <c r="F128" s="10" t="s">
        <v>511</v>
      </c>
      <c r="G128" s="10" t="s">
        <v>525</v>
      </c>
      <c r="H128" s="10" t="s">
        <v>452</v>
      </c>
      <c r="I128" s="11" t="s">
        <v>526</v>
      </c>
      <c r="J128" s="11" t="s">
        <v>527</v>
      </c>
      <c r="K128" s="12" t="s">
        <v>17</v>
      </c>
      <c r="L128" s="10" t="s">
        <v>455</v>
      </c>
      <c r="M128" s="10" t="s">
        <v>15</v>
      </c>
      <c r="N128" s="2" t="s">
        <v>17</v>
      </c>
      <c r="O128" s="2" t="s">
        <v>17</v>
      </c>
      <c r="P128" s="2" t="s">
        <v>17</v>
      </c>
      <c r="S128" s="13"/>
    </row>
    <row r="129" spans="1:19" x14ac:dyDescent="0.2">
      <c r="A129" s="2">
        <v>126</v>
      </c>
      <c r="B129" s="8">
        <v>350215018</v>
      </c>
      <c r="C129" s="8" t="s">
        <v>528</v>
      </c>
      <c r="D129" s="8" t="s">
        <v>17</v>
      </c>
      <c r="E129" s="9" t="s">
        <v>449</v>
      </c>
      <c r="F129" s="10" t="s">
        <v>528</v>
      </c>
      <c r="G129" s="10" t="s">
        <v>528</v>
      </c>
      <c r="H129" s="10" t="s">
        <v>452</v>
      </c>
      <c r="I129" s="11" t="s">
        <v>529</v>
      </c>
      <c r="J129" s="11" t="s">
        <v>530</v>
      </c>
      <c r="K129" s="12" t="s">
        <v>17</v>
      </c>
      <c r="L129" s="10" t="s">
        <v>455</v>
      </c>
      <c r="M129" s="10" t="s">
        <v>15</v>
      </c>
      <c r="N129" s="2" t="s">
        <v>17</v>
      </c>
      <c r="O129" s="2" t="s">
        <v>17</v>
      </c>
      <c r="P129" s="2" t="s">
        <v>17</v>
      </c>
      <c r="S129" s="13"/>
    </row>
    <row r="130" spans="1:19" x14ac:dyDescent="0.2">
      <c r="A130" s="2">
        <v>127</v>
      </c>
      <c r="B130" s="8">
        <v>350215019</v>
      </c>
      <c r="C130" s="8" t="s">
        <v>531</v>
      </c>
      <c r="D130" s="8" t="s">
        <v>17</v>
      </c>
      <c r="E130" s="9" t="s">
        <v>449</v>
      </c>
      <c r="F130" s="10" t="s">
        <v>532</v>
      </c>
      <c r="G130" s="10" t="s">
        <v>531</v>
      </c>
      <c r="H130" s="10" t="s">
        <v>452</v>
      </c>
      <c r="I130" s="11" t="s">
        <v>533</v>
      </c>
      <c r="J130" s="11" t="s">
        <v>534</v>
      </c>
      <c r="K130" s="12" t="s">
        <v>17</v>
      </c>
      <c r="L130" s="10" t="s">
        <v>455</v>
      </c>
      <c r="M130" s="10" t="s">
        <v>15</v>
      </c>
      <c r="N130" s="2" t="s">
        <v>17</v>
      </c>
      <c r="O130" s="2" t="s">
        <v>17</v>
      </c>
      <c r="P130" s="2" t="s">
        <v>17</v>
      </c>
      <c r="S130" s="13"/>
    </row>
    <row r="131" spans="1:19" x14ac:dyDescent="0.2">
      <c r="A131" s="2">
        <v>128</v>
      </c>
      <c r="B131" s="8">
        <v>350215020</v>
      </c>
      <c r="C131" s="8" t="s">
        <v>498</v>
      </c>
      <c r="D131" s="8" t="s">
        <v>17</v>
      </c>
      <c r="E131" s="9" t="s">
        <v>449</v>
      </c>
      <c r="F131" s="10" t="s">
        <v>504</v>
      </c>
      <c r="G131" s="10" t="s">
        <v>477</v>
      </c>
      <c r="H131" s="10" t="s">
        <v>452</v>
      </c>
      <c r="I131" s="11" t="s">
        <v>535</v>
      </c>
      <c r="J131" s="11" t="s">
        <v>536</v>
      </c>
      <c r="K131" s="12" t="s">
        <v>17</v>
      </c>
      <c r="L131" s="10" t="s">
        <v>455</v>
      </c>
      <c r="M131" s="10" t="s">
        <v>15</v>
      </c>
      <c r="N131" s="2" t="s">
        <v>17</v>
      </c>
      <c r="O131" s="2" t="s">
        <v>17</v>
      </c>
      <c r="P131" s="2" t="s">
        <v>17</v>
      </c>
      <c r="S131" s="13"/>
    </row>
    <row r="132" spans="1:19" x14ac:dyDescent="0.2">
      <c r="A132" s="2">
        <v>129</v>
      </c>
      <c r="B132" s="8">
        <v>350215021</v>
      </c>
      <c r="C132" s="8" t="s">
        <v>537</v>
      </c>
      <c r="D132" s="8" t="s">
        <v>17</v>
      </c>
      <c r="E132" s="9" t="s">
        <v>449</v>
      </c>
      <c r="F132" s="10" t="s">
        <v>538</v>
      </c>
      <c r="G132" s="10" t="s">
        <v>451</v>
      </c>
      <c r="H132" s="10" t="s">
        <v>452</v>
      </c>
      <c r="I132" s="11" t="s">
        <v>539</v>
      </c>
      <c r="J132" s="11" t="s">
        <v>540</v>
      </c>
      <c r="K132" s="12" t="s">
        <v>17</v>
      </c>
      <c r="L132" s="10" t="s">
        <v>455</v>
      </c>
      <c r="M132" s="10" t="s">
        <v>15</v>
      </c>
      <c r="N132" s="2" t="s">
        <v>17</v>
      </c>
      <c r="O132" s="2" t="s">
        <v>17</v>
      </c>
      <c r="P132" s="2" t="s">
        <v>17</v>
      </c>
      <c r="S132" s="13"/>
    </row>
    <row r="133" spans="1:19" x14ac:dyDescent="0.2">
      <c r="A133" s="2">
        <v>130</v>
      </c>
      <c r="B133" s="8">
        <v>350215022</v>
      </c>
      <c r="C133" s="8" t="s">
        <v>541</v>
      </c>
      <c r="D133" s="8" t="s">
        <v>17</v>
      </c>
      <c r="E133" s="9" t="s">
        <v>449</v>
      </c>
      <c r="F133" s="10" t="s">
        <v>542</v>
      </c>
      <c r="G133" s="10" t="s">
        <v>531</v>
      </c>
      <c r="H133" s="10" t="s">
        <v>452</v>
      </c>
      <c r="I133" s="11" t="s">
        <v>543</v>
      </c>
      <c r="J133" s="11" t="s">
        <v>544</v>
      </c>
      <c r="K133" s="12" t="s">
        <v>17</v>
      </c>
      <c r="L133" s="10" t="s">
        <v>455</v>
      </c>
      <c r="M133" s="10" t="s">
        <v>15</v>
      </c>
      <c r="N133" s="2" t="s">
        <v>17</v>
      </c>
      <c r="O133" s="2" t="s">
        <v>17</v>
      </c>
      <c r="P133" s="2" t="s">
        <v>17</v>
      </c>
      <c r="S133" s="13"/>
    </row>
    <row r="134" spans="1:19" x14ac:dyDescent="0.2">
      <c r="A134" s="2">
        <v>131</v>
      </c>
      <c r="B134" s="8">
        <v>350215023</v>
      </c>
      <c r="C134" s="8" t="s">
        <v>472</v>
      </c>
      <c r="D134" s="8" t="s">
        <v>17</v>
      </c>
      <c r="E134" s="9" t="s">
        <v>449</v>
      </c>
      <c r="F134" s="10" t="s">
        <v>545</v>
      </c>
      <c r="G134" s="10" t="s">
        <v>494</v>
      </c>
      <c r="H134" s="10" t="s">
        <v>452</v>
      </c>
      <c r="I134" s="11" t="s">
        <v>546</v>
      </c>
      <c r="J134" s="11" t="s">
        <v>547</v>
      </c>
      <c r="K134" s="12" t="s">
        <v>17</v>
      </c>
      <c r="L134" s="10" t="s">
        <v>455</v>
      </c>
      <c r="M134" s="10" t="s">
        <v>15</v>
      </c>
      <c r="N134" s="2" t="s">
        <v>17</v>
      </c>
      <c r="O134" s="2" t="s">
        <v>17</v>
      </c>
      <c r="P134" s="2" t="s">
        <v>17</v>
      </c>
      <c r="S134" s="13"/>
    </row>
    <row r="135" spans="1:19" x14ac:dyDescent="0.2">
      <c r="A135" s="2">
        <v>132</v>
      </c>
      <c r="B135" s="8">
        <v>350215024</v>
      </c>
      <c r="C135" s="8" t="s">
        <v>486</v>
      </c>
      <c r="D135" s="8" t="s">
        <v>17</v>
      </c>
      <c r="E135" s="9" t="s">
        <v>449</v>
      </c>
      <c r="F135" s="10" t="s">
        <v>486</v>
      </c>
      <c r="G135" s="10" t="s">
        <v>486</v>
      </c>
      <c r="H135" s="10" t="s">
        <v>452</v>
      </c>
      <c r="I135" s="11" t="s">
        <v>548</v>
      </c>
      <c r="J135" s="11" t="s">
        <v>549</v>
      </c>
      <c r="K135" s="12" t="s">
        <v>17</v>
      </c>
      <c r="L135" s="10" t="s">
        <v>455</v>
      </c>
      <c r="M135" s="10" t="s">
        <v>15</v>
      </c>
      <c r="N135" s="2" t="s">
        <v>17</v>
      </c>
      <c r="O135" s="2" t="s">
        <v>17</v>
      </c>
      <c r="P135" s="2" t="s">
        <v>17</v>
      </c>
      <c r="S135" s="13"/>
    </row>
    <row r="136" spans="1:19" x14ac:dyDescent="0.2">
      <c r="A136" s="2">
        <v>133</v>
      </c>
      <c r="B136" s="8">
        <v>350215025</v>
      </c>
      <c r="C136" s="8" t="s">
        <v>550</v>
      </c>
      <c r="D136" s="8" t="s">
        <v>17</v>
      </c>
      <c r="E136" s="9" t="s">
        <v>449</v>
      </c>
      <c r="F136" s="10" t="s">
        <v>551</v>
      </c>
      <c r="G136" s="10" t="s">
        <v>525</v>
      </c>
      <c r="H136" s="10" t="s">
        <v>452</v>
      </c>
      <c r="I136" s="11" t="s">
        <v>552</v>
      </c>
      <c r="J136" s="11" t="s">
        <v>553</v>
      </c>
      <c r="K136" s="12" t="s">
        <v>17</v>
      </c>
      <c r="L136" s="10" t="s">
        <v>455</v>
      </c>
      <c r="M136" s="10" t="s">
        <v>15</v>
      </c>
      <c r="N136" s="2" t="s">
        <v>17</v>
      </c>
      <c r="O136" s="2" t="s">
        <v>17</v>
      </c>
      <c r="P136" s="2" t="s">
        <v>17</v>
      </c>
      <c r="S136" s="13"/>
    </row>
    <row r="137" spans="1:19" x14ac:dyDescent="0.2">
      <c r="A137" s="2">
        <v>134</v>
      </c>
      <c r="B137" s="8">
        <v>350215026</v>
      </c>
      <c r="C137" s="8" t="s">
        <v>554</v>
      </c>
      <c r="D137" s="8" t="s">
        <v>17</v>
      </c>
      <c r="E137" s="9" t="s">
        <v>449</v>
      </c>
      <c r="F137" s="10" t="s">
        <v>555</v>
      </c>
      <c r="G137" s="10" t="s">
        <v>554</v>
      </c>
      <c r="H137" s="10" t="s">
        <v>452</v>
      </c>
      <c r="I137" s="11" t="s">
        <v>556</v>
      </c>
      <c r="J137" s="11" t="s">
        <v>557</v>
      </c>
      <c r="K137" s="12" t="s">
        <v>17</v>
      </c>
      <c r="L137" s="10" t="s">
        <v>455</v>
      </c>
      <c r="M137" s="10" t="s">
        <v>15</v>
      </c>
      <c r="N137" s="2" t="s">
        <v>17</v>
      </c>
      <c r="O137" s="2" t="s">
        <v>17</v>
      </c>
      <c r="P137" s="2" t="s">
        <v>17</v>
      </c>
      <c r="S137" s="13"/>
    </row>
    <row r="138" spans="1:19" x14ac:dyDescent="0.2">
      <c r="A138" s="2">
        <v>135</v>
      </c>
      <c r="B138" s="8">
        <v>350215027</v>
      </c>
      <c r="C138" s="8" t="s">
        <v>558</v>
      </c>
      <c r="D138" s="8" t="s">
        <v>17</v>
      </c>
      <c r="E138" s="9" t="s">
        <v>449</v>
      </c>
      <c r="F138" s="10" t="s">
        <v>559</v>
      </c>
      <c r="G138" s="10" t="s">
        <v>452</v>
      </c>
      <c r="H138" s="10" t="s">
        <v>452</v>
      </c>
      <c r="I138" s="11" t="s">
        <v>560</v>
      </c>
      <c r="J138" s="11" t="s">
        <v>561</v>
      </c>
      <c r="K138" s="12" t="s">
        <v>17</v>
      </c>
      <c r="L138" s="10" t="s">
        <v>455</v>
      </c>
      <c r="M138" s="10" t="s">
        <v>15</v>
      </c>
      <c r="N138" s="2" t="s">
        <v>17</v>
      </c>
      <c r="O138" s="2" t="s">
        <v>17</v>
      </c>
      <c r="P138" s="2" t="s">
        <v>17</v>
      </c>
      <c r="S138" s="13"/>
    </row>
    <row r="139" spans="1:19" x14ac:dyDescent="0.2">
      <c r="A139" s="2">
        <v>136</v>
      </c>
      <c r="B139" s="8">
        <v>350215028</v>
      </c>
      <c r="C139" s="8" t="s">
        <v>562</v>
      </c>
      <c r="D139" s="8" t="s">
        <v>17</v>
      </c>
      <c r="E139" s="9" t="s">
        <v>449</v>
      </c>
      <c r="F139" s="10" t="s">
        <v>563</v>
      </c>
      <c r="G139" s="10" t="s">
        <v>463</v>
      </c>
      <c r="H139" s="10" t="s">
        <v>452</v>
      </c>
      <c r="I139" s="11" t="s">
        <v>564</v>
      </c>
      <c r="J139" s="11" t="s">
        <v>565</v>
      </c>
      <c r="K139" s="12" t="s">
        <v>17</v>
      </c>
      <c r="L139" s="10" t="s">
        <v>455</v>
      </c>
      <c r="M139" s="10" t="s">
        <v>15</v>
      </c>
      <c r="N139" s="2" t="s">
        <v>17</v>
      </c>
      <c r="O139" s="2" t="s">
        <v>17</v>
      </c>
      <c r="P139" s="2" t="s">
        <v>17</v>
      </c>
      <c r="S139" s="13"/>
    </row>
    <row r="140" spans="1:19" x14ac:dyDescent="0.2">
      <c r="A140" s="2">
        <v>137</v>
      </c>
      <c r="B140" s="8">
        <v>350215029</v>
      </c>
      <c r="C140" s="8" t="s">
        <v>566</v>
      </c>
      <c r="D140" s="8" t="s">
        <v>17</v>
      </c>
      <c r="E140" s="9" t="s">
        <v>449</v>
      </c>
      <c r="F140" s="10" t="s">
        <v>567</v>
      </c>
      <c r="G140" s="10" t="s">
        <v>452</v>
      </c>
      <c r="H140" s="10" t="s">
        <v>452</v>
      </c>
      <c r="I140" s="11" t="s">
        <v>568</v>
      </c>
      <c r="J140" s="11" t="s">
        <v>569</v>
      </c>
      <c r="K140" s="12" t="s">
        <v>17</v>
      </c>
      <c r="L140" s="10" t="s">
        <v>455</v>
      </c>
      <c r="M140" s="10" t="s">
        <v>15</v>
      </c>
      <c r="N140" s="2" t="s">
        <v>17</v>
      </c>
      <c r="O140" s="2" t="s">
        <v>17</v>
      </c>
      <c r="P140" s="2" t="s">
        <v>17</v>
      </c>
      <c r="S140" s="13"/>
    </row>
    <row r="141" spans="1:19" x14ac:dyDescent="0.2">
      <c r="A141" s="2">
        <v>138</v>
      </c>
      <c r="B141" s="8">
        <v>350215030</v>
      </c>
      <c r="C141" s="8" t="s">
        <v>570</v>
      </c>
      <c r="D141" s="8" t="s">
        <v>17</v>
      </c>
      <c r="E141" s="9" t="s">
        <v>449</v>
      </c>
      <c r="F141" s="10" t="s">
        <v>570</v>
      </c>
      <c r="G141" s="10" t="s">
        <v>486</v>
      </c>
      <c r="H141" s="10" t="s">
        <v>452</v>
      </c>
      <c r="I141" s="11" t="s">
        <v>571</v>
      </c>
      <c r="J141" s="11" t="s">
        <v>572</v>
      </c>
      <c r="K141" s="12" t="s">
        <v>17</v>
      </c>
      <c r="L141" s="10" t="s">
        <v>455</v>
      </c>
      <c r="M141" s="10" t="s">
        <v>15</v>
      </c>
      <c r="N141" s="2" t="s">
        <v>17</v>
      </c>
      <c r="O141" s="2" t="s">
        <v>17</v>
      </c>
      <c r="P141" s="2" t="s">
        <v>17</v>
      </c>
      <c r="S141" s="13"/>
    </row>
    <row r="142" spans="1:19" x14ac:dyDescent="0.2">
      <c r="A142" s="2">
        <v>139</v>
      </c>
      <c r="B142" s="8">
        <v>350216001</v>
      </c>
      <c r="C142" s="8" t="s">
        <v>573</v>
      </c>
      <c r="D142" s="8" t="s">
        <v>17</v>
      </c>
      <c r="E142" s="9" t="s">
        <v>449</v>
      </c>
      <c r="F142" s="10" t="s">
        <v>574</v>
      </c>
      <c r="G142" s="10" t="s">
        <v>575</v>
      </c>
      <c r="H142" s="10" t="s">
        <v>500</v>
      </c>
      <c r="I142" s="11" t="s">
        <v>576</v>
      </c>
      <c r="J142" s="11" t="s">
        <v>577</v>
      </c>
      <c r="K142" s="12" t="s">
        <v>17</v>
      </c>
      <c r="L142" s="10" t="s">
        <v>455</v>
      </c>
      <c r="M142" s="10" t="s">
        <v>15</v>
      </c>
      <c r="N142" s="2" t="s">
        <v>17</v>
      </c>
      <c r="O142" s="2" t="s">
        <v>17</v>
      </c>
      <c r="P142" s="2" t="s">
        <v>17</v>
      </c>
      <c r="S142" s="13"/>
    </row>
    <row r="143" spans="1:19" x14ac:dyDescent="0.2">
      <c r="A143" s="2">
        <v>140</v>
      </c>
      <c r="B143" s="8">
        <v>350216002</v>
      </c>
      <c r="C143" s="8" t="s">
        <v>578</v>
      </c>
      <c r="D143" s="8" t="s">
        <v>17</v>
      </c>
      <c r="E143" s="9" t="s">
        <v>449</v>
      </c>
      <c r="F143" s="10" t="s">
        <v>578</v>
      </c>
      <c r="G143" s="10" t="s">
        <v>578</v>
      </c>
      <c r="H143" s="10" t="s">
        <v>500</v>
      </c>
      <c r="I143" s="11" t="s">
        <v>579</v>
      </c>
      <c r="J143" s="11" t="s">
        <v>580</v>
      </c>
      <c r="K143" s="12" t="s">
        <v>17</v>
      </c>
      <c r="L143" s="10" t="s">
        <v>455</v>
      </c>
      <c r="M143" s="10" t="s">
        <v>15</v>
      </c>
      <c r="N143" s="2" t="s">
        <v>17</v>
      </c>
      <c r="O143" s="2" t="s">
        <v>17</v>
      </c>
      <c r="P143" s="2" t="s">
        <v>17</v>
      </c>
      <c r="S143" s="13"/>
    </row>
    <row r="144" spans="1:19" x14ac:dyDescent="0.2">
      <c r="A144" s="2">
        <v>141</v>
      </c>
      <c r="B144" s="8">
        <v>350216003</v>
      </c>
      <c r="C144" s="8" t="s">
        <v>581</v>
      </c>
      <c r="D144" s="8" t="s">
        <v>17</v>
      </c>
      <c r="E144" s="9" t="s">
        <v>449</v>
      </c>
      <c r="F144" s="10" t="s">
        <v>582</v>
      </c>
      <c r="G144" s="10" t="s">
        <v>583</v>
      </c>
      <c r="H144" s="10" t="s">
        <v>500</v>
      </c>
      <c r="I144" s="11" t="s">
        <v>584</v>
      </c>
      <c r="J144" s="11" t="s">
        <v>585</v>
      </c>
      <c r="K144" s="12" t="s">
        <v>17</v>
      </c>
      <c r="L144" s="10" t="s">
        <v>455</v>
      </c>
      <c r="M144" s="10" t="s">
        <v>15</v>
      </c>
      <c r="N144" s="2" t="s">
        <v>17</v>
      </c>
      <c r="O144" s="2" t="s">
        <v>17</v>
      </c>
      <c r="P144" s="2" t="s">
        <v>17</v>
      </c>
      <c r="S144" s="13"/>
    </row>
    <row r="145" spans="1:19" x14ac:dyDescent="0.2">
      <c r="A145" s="2">
        <v>142</v>
      </c>
      <c r="B145" s="8">
        <v>350216004</v>
      </c>
      <c r="C145" s="8" t="s">
        <v>586</v>
      </c>
      <c r="D145" s="8" t="s">
        <v>17</v>
      </c>
      <c r="E145" s="9" t="s">
        <v>449</v>
      </c>
      <c r="F145" s="10" t="s">
        <v>587</v>
      </c>
      <c r="G145" s="10" t="s">
        <v>588</v>
      </c>
      <c r="H145" s="10" t="s">
        <v>500</v>
      </c>
      <c r="I145" s="11" t="s">
        <v>589</v>
      </c>
      <c r="J145" s="11" t="s">
        <v>590</v>
      </c>
      <c r="K145" s="12" t="s">
        <v>17</v>
      </c>
      <c r="L145" s="10" t="s">
        <v>455</v>
      </c>
      <c r="M145" s="10" t="s">
        <v>15</v>
      </c>
      <c r="N145" s="2" t="s">
        <v>17</v>
      </c>
      <c r="O145" s="2" t="s">
        <v>17</v>
      </c>
      <c r="P145" s="2" t="s">
        <v>17</v>
      </c>
      <c r="S145" s="13"/>
    </row>
    <row r="146" spans="1:19" x14ac:dyDescent="0.2">
      <c r="A146" s="2">
        <v>143</v>
      </c>
      <c r="B146" s="8">
        <v>350216005</v>
      </c>
      <c r="C146" s="8" t="s">
        <v>591</v>
      </c>
      <c r="D146" s="8" t="s">
        <v>17</v>
      </c>
      <c r="E146" s="9" t="s">
        <v>449</v>
      </c>
      <c r="F146" s="10" t="s">
        <v>592</v>
      </c>
      <c r="G146" s="10" t="s">
        <v>593</v>
      </c>
      <c r="H146" s="10" t="s">
        <v>500</v>
      </c>
      <c r="I146" s="11" t="s">
        <v>594</v>
      </c>
      <c r="J146" s="11" t="s">
        <v>595</v>
      </c>
      <c r="K146" s="12" t="s">
        <v>17</v>
      </c>
      <c r="L146" s="10" t="s">
        <v>455</v>
      </c>
      <c r="M146" s="10" t="s">
        <v>15</v>
      </c>
      <c r="N146" s="2" t="s">
        <v>17</v>
      </c>
      <c r="O146" s="2" t="s">
        <v>17</v>
      </c>
      <c r="P146" s="2" t="s">
        <v>17</v>
      </c>
      <c r="S146" s="13"/>
    </row>
    <row r="147" spans="1:19" x14ac:dyDescent="0.2">
      <c r="A147" s="2">
        <v>144</v>
      </c>
      <c r="B147" s="8">
        <v>350216006</v>
      </c>
      <c r="C147" s="8" t="s">
        <v>596</v>
      </c>
      <c r="D147" s="8" t="s">
        <v>17</v>
      </c>
      <c r="E147" s="9" t="s">
        <v>449</v>
      </c>
      <c r="F147" s="10" t="s">
        <v>597</v>
      </c>
      <c r="G147" s="10" t="s">
        <v>593</v>
      </c>
      <c r="H147" s="10" t="s">
        <v>500</v>
      </c>
      <c r="I147" s="11" t="s">
        <v>598</v>
      </c>
      <c r="J147" s="11" t="s">
        <v>599</v>
      </c>
      <c r="K147" s="12" t="s">
        <v>17</v>
      </c>
      <c r="L147" s="10" t="s">
        <v>455</v>
      </c>
      <c r="M147" s="10" t="s">
        <v>15</v>
      </c>
      <c r="N147" s="2" t="s">
        <v>17</v>
      </c>
      <c r="O147" s="2" t="s">
        <v>17</v>
      </c>
      <c r="P147" s="2" t="s">
        <v>17</v>
      </c>
      <c r="S147" s="13"/>
    </row>
    <row r="148" spans="1:19" x14ac:dyDescent="0.2">
      <c r="A148" s="2">
        <v>145</v>
      </c>
      <c r="B148" s="8">
        <v>350216007</v>
      </c>
      <c r="C148" s="8" t="s">
        <v>600</v>
      </c>
      <c r="D148" s="8" t="s">
        <v>17</v>
      </c>
      <c r="E148" s="9" t="s">
        <v>449</v>
      </c>
      <c r="F148" s="10" t="s">
        <v>601</v>
      </c>
      <c r="G148" s="10" t="s">
        <v>600</v>
      </c>
      <c r="H148" s="10" t="s">
        <v>500</v>
      </c>
      <c r="I148" s="11" t="s">
        <v>602</v>
      </c>
      <c r="J148" s="11" t="s">
        <v>603</v>
      </c>
      <c r="K148" s="12" t="s">
        <v>17</v>
      </c>
      <c r="L148" s="10" t="s">
        <v>455</v>
      </c>
      <c r="M148" s="10" t="s">
        <v>15</v>
      </c>
      <c r="N148" s="2" t="s">
        <v>17</v>
      </c>
      <c r="O148" s="2" t="s">
        <v>17</v>
      </c>
      <c r="P148" s="2" t="s">
        <v>17</v>
      </c>
      <c r="S148" s="13"/>
    </row>
    <row r="149" spans="1:19" x14ac:dyDescent="0.2">
      <c r="A149" s="2">
        <v>146</v>
      </c>
      <c r="B149" s="8">
        <v>350216008</v>
      </c>
      <c r="C149" s="8" t="s">
        <v>604</v>
      </c>
      <c r="D149" s="8" t="s">
        <v>17</v>
      </c>
      <c r="E149" s="9" t="s">
        <v>449</v>
      </c>
      <c r="F149" s="10" t="s">
        <v>604</v>
      </c>
      <c r="G149" s="10" t="s">
        <v>604</v>
      </c>
      <c r="H149" s="10" t="s">
        <v>500</v>
      </c>
      <c r="I149" s="11" t="s">
        <v>605</v>
      </c>
      <c r="J149" s="11" t="s">
        <v>606</v>
      </c>
      <c r="K149" s="12" t="s">
        <v>17</v>
      </c>
      <c r="L149" s="10" t="s">
        <v>455</v>
      </c>
      <c r="M149" s="10" t="s">
        <v>15</v>
      </c>
      <c r="N149" s="2" t="s">
        <v>17</v>
      </c>
      <c r="O149" s="2" t="s">
        <v>17</v>
      </c>
      <c r="P149" s="2" t="s">
        <v>17</v>
      </c>
      <c r="S149" s="13"/>
    </row>
    <row r="150" spans="1:19" x14ac:dyDescent="0.2">
      <c r="A150" s="2">
        <v>147</v>
      </c>
      <c r="B150" s="8">
        <v>350216009</v>
      </c>
      <c r="C150" s="8" t="s">
        <v>607</v>
      </c>
      <c r="D150" s="8" t="s">
        <v>17</v>
      </c>
      <c r="E150" s="9" t="s">
        <v>449</v>
      </c>
      <c r="F150" s="10" t="s">
        <v>608</v>
      </c>
      <c r="G150" s="10" t="s">
        <v>604</v>
      </c>
      <c r="H150" s="10" t="s">
        <v>500</v>
      </c>
      <c r="I150" s="11" t="s">
        <v>609</v>
      </c>
      <c r="J150" s="11" t="s">
        <v>610</v>
      </c>
      <c r="K150" s="12" t="s">
        <v>17</v>
      </c>
      <c r="L150" s="10" t="s">
        <v>455</v>
      </c>
      <c r="M150" s="10" t="s">
        <v>15</v>
      </c>
      <c r="N150" s="2" t="s">
        <v>17</v>
      </c>
      <c r="O150" s="2" t="s">
        <v>17</v>
      </c>
      <c r="P150" s="2" t="s">
        <v>17</v>
      </c>
      <c r="S150" s="13"/>
    </row>
    <row r="151" spans="1:19" x14ac:dyDescent="0.2">
      <c r="A151" s="2">
        <v>148</v>
      </c>
      <c r="B151" s="8">
        <v>350216010</v>
      </c>
      <c r="C151" s="8" t="s">
        <v>611</v>
      </c>
      <c r="D151" s="8" t="s">
        <v>17</v>
      </c>
      <c r="E151" s="9" t="s">
        <v>449</v>
      </c>
      <c r="F151" s="10" t="s">
        <v>612</v>
      </c>
      <c r="G151" s="10" t="s">
        <v>588</v>
      </c>
      <c r="H151" s="10" t="s">
        <v>500</v>
      </c>
      <c r="I151" s="11" t="s">
        <v>613</v>
      </c>
      <c r="J151" s="11" t="s">
        <v>614</v>
      </c>
      <c r="K151" s="12" t="s">
        <v>17</v>
      </c>
      <c r="L151" s="10" t="s">
        <v>455</v>
      </c>
      <c r="M151" s="10" t="s">
        <v>15</v>
      </c>
      <c r="N151" s="2" t="s">
        <v>17</v>
      </c>
      <c r="O151" s="2" t="s">
        <v>17</v>
      </c>
      <c r="P151" s="2" t="s">
        <v>17</v>
      </c>
      <c r="S151" s="13"/>
    </row>
    <row r="152" spans="1:19" x14ac:dyDescent="0.2">
      <c r="A152" s="2">
        <v>149</v>
      </c>
      <c r="B152" s="8">
        <v>350216011</v>
      </c>
      <c r="C152" s="8" t="s">
        <v>615</v>
      </c>
      <c r="D152" s="8" t="s">
        <v>17</v>
      </c>
      <c r="E152" s="9" t="s">
        <v>449</v>
      </c>
      <c r="F152" s="10" t="s">
        <v>616</v>
      </c>
      <c r="G152" s="10" t="s">
        <v>617</v>
      </c>
      <c r="H152" s="10" t="s">
        <v>500</v>
      </c>
      <c r="I152" s="11" t="s">
        <v>618</v>
      </c>
      <c r="J152" s="11" t="s">
        <v>619</v>
      </c>
      <c r="K152" s="12" t="s">
        <v>17</v>
      </c>
      <c r="L152" s="10" t="s">
        <v>455</v>
      </c>
      <c r="M152" s="10" t="s">
        <v>15</v>
      </c>
      <c r="N152" s="2" t="s">
        <v>17</v>
      </c>
      <c r="O152" s="2" t="s">
        <v>17</v>
      </c>
      <c r="P152" s="2" t="s">
        <v>17</v>
      </c>
      <c r="S152" s="13"/>
    </row>
    <row r="153" spans="1:19" x14ac:dyDescent="0.2">
      <c r="A153" s="2">
        <v>150</v>
      </c>
      <c r="B153" s="8">
        <v>350216012</v>
      </c>
      <c r="C153" s="8" t="s">
        <v>620</v>
      </c>
      <c r="D153" s="8" t="s">
        <v>17</v>
      </c>
      <c r="E153" s="9" t="s">
        <v>449</v>
      </c>
      <c r="F153" s="10" t="s">
        <v>621</v>
      </c>
      <c r="G153" s="10" t="s">
        <v>617</v>
      </c>
      <c r="H153" s="10" t="s">
        <v>500</v>
      </c>
      <c r="I153" s="11" t="s">
        <v>622</v>
      </c>
      <c r="J153" s="11" t="s">
        <v>623</v>
      </c>
      <c r="K153" s="12" t="s">
        <v>17</v>
      </c>
      <c r="L153" s="10" t="s">
        <v>455</v>
      </c>
      <c r="M153" s="10" t="s">
        <v>15</v>
      </c>
      <c r="N153" s="2" t="s">
        <v>17</v>
      </c>
      <c r="O153" s="2" t="s">
        <v>17</v>
      </c>
      <c r="P153" s="2" t="s">
        <v>17</v>
      </c>
      <c r="S153" s="13"/>
    </row>
    <row r="154" spans="1:19" x14ac:dyDescent="0.2">
      <c r="A154" s="2">
        <v>151</v>
      </c>
      <c r="B154" s="8">
        <v>350216013</v>
      </c>
      <c r="C154" s="8" t="s">
        <v>624</v>
      </c>
      <c r="D154" s="8" t="s">
        <v>17</v>
      </c>
      <c r="E154" s="9" t="s">
        <v>449</v>
      </c>
      <c r="F154" s="10" t="s">
        <v>625</v>
      </c>
      <c r="G154" s="10" t="s">
        <v>68</v>
      </c>
      <c r="H154" s="10" t="s">
        <v>500</v>
      </c>
      <c r="I154" s="11" t="s">
        <v>626</v>
      </c>
      <c r="J154" s="11" t="s">
        <v>627</v>
      </c>
      <c r="K154" s="12" t="s">
        <v>17</v>
      </c>
      <c r="L154" s="10" t="s">
        <v>455</v>
      </c>
      <c r="M154" s="10" t="s">
        <v>15</v>
      </c>
      <c r="N154" s="2" t="s">
        <v>17</v>
      </c>
      <c r="O154" s="2" t="s">
        <v>17</v>
      </c>
      <c r="P154" s="2" t="s">
        <v>17</v>
      </c>
      <c r="S154" s="13"/>
    </row>
    <row r="155" spans="1:19" x14ac:dyDescent="0.2">
      <c r="A155" s="2">
        <v>152</v>
      </c>
      <c r="B155" s="8">
        <v>350216014</v>
      </c>
      <c r="C155" s="8" t="s">
        <v>628</v>
      </c>
      <c r="D155" s="8" t="s">
        <v>17</v>
      </c>
      <c r="E155" s="9" t="s">
        <v>449</v>
      </c>
      <c r="F155" s="10" t="s">
        <v>629</v>
      </c>
      <c r="G155" s="10" t="s">
        <v>630</v>
      </c>
      <c r="H155" s="10" t="s">
        <v>500</v>
      </c>
      <c r="I155" s="11" t="s">
        <v>631</v>
      </c>
      <c r="J155" s="11" t="s">
        <v>632</v>
      </c>
      <c r="K155" s="12" t="s">
        <v>17</v>
      </c>
      <c r="L155" s="10" t="s">
        <v>455</v>
      </c>
      <c r="M155" s="10" t="s">
        <v>15</v>
      </c>
      <c r="N155" s="2" t="s">
        <v>17</v>
      </c>
      <c r="O155" s="2" t="s">
        <v>17</v>
      </c>
      <c r="P155" s="2" t="s">
        <v>17</v>
      </c>
      <c r="S155" s="13"/>
    </row>
    <row r="156" spans="1:19" x14ac:dyDescent="0.2">
      <c r="A156" s="2">
        <v>153</v>
      </c>
      <c r="B156" s="8">
        <v>350216015</v>
      </c>
      <c r="C156" s="8" t="s">
        <v>633</v>
      </c>
      <c r="D156" s="8" t="s">
        <v>17</v>
      </c>
      <c r="E156" s="9" t="s">
        <v>449</v>
      </c>
      <c r="F156" s="10" t="s">
        <v>634</v>
      </c>
      <c r="G156" s="10" t="s">
        <v>588</v>
      </c>
      <c r="H156" s="10" t="s">
        <v>500</v>
      </c>
      <c r="I156" s="11" t="s">
        <v>635</v>
      </c>
      <c r="J156" s="11" t="s">
        <v>636</v>
      </c>
      <c r="K156" s="12" t="s">
        <v>17</v>
      </c>
      <c r="L156" s="10" t="s">
        <v>455</v>
      </c>
      <c r="M156" s="10" t="s">
        <v>15</v>
      </c>
      <c r="N156" s="2" t="s">
        <v>17</v>
      </c>
      <c r="O156" s="2" t="s">
        <v>17</v>
      </c>
      <c r="P156" s="2" t="s">
        <v>17</v>
      </c>
      <c r="S156" s="13"/>
    </row>
    <row r="157" spans="1:19" x14ac:dyDescent="0.2">
      <c r="A157" s="2">
        <v>154</v>
      </c>
      <c r="B157" s="8">
        <v>350216016</v>
      </c>
      <c r="C157" s="8" t="s">
        <v>637</v>
      </c>
      <c r="D157" s="8" t="s">
        <v>17</v>
      </c>
      <c r="E157" s="9" t="s">
        <v>449</v>
      </c>
      <c r="F157" s="10" t="s">
        <v>638</v>
      </c>
      <c r="G157" s="10" t="s">
        <v>639</v>
      </c>
      <c r="H157" s="10" t="s">
        <v>500</v>
      </c>
      <c r="I157" s="11" t="s">
        <v>640</v>
      </c>
      <c r="J157" s="11" t="s">
        <v>641</v>
      </c>
      <c r="K157" s="12" t="s">
        <v>17</v>
      </c>
      <c r="L157" s="10" t="s">
        <v>455</v>
      </c>
      <c r="M157" s="10" t="s">
        <v>15</v>
      </c>
      <c r="N157" s="2" t="s">
        <v>17</v>
      </c>
      <c r="O157" s="2" t="s">
        <v>17</v>
      </c>
      <c r="P157" s="2" t="s">
        <v>17</v>
      </c>
      <c r="S157" s="13"/>
    </row>
    <row r="158" spans="1:19" x14ac:dyDescent="0.2">
      <c r="A158" s="2">
        <v>155</v>
      </c>
      <c r="B158" s="8">
        <v>350216017</v>
      </c>
      <c r="C158" s="8" t="s">
        <v>642</v>
      </c>
      <c r="D158" s="8" t="s">
        <v>17</v>
      </c>
      <c r="E158" s="9" t="s">
        <v>449</v>
      </c>
      <c r="F158" s="10" t="s">
        <v>642</v>
      </c>
      <c r="G158" s="10" t="s">
        <v>639</v>
      </c>
      <c r="H158" s="10" t="s">
        <v>500</v>
      </c>
      <c r="I158" s="11" t="s">
        <v>643</v>
      </c>
      <c r="J158" s="11" t="s">
        <v>644</v>
      </c>
      <c r="K158" s="12" t="s">
        <v>17</v>
      </c>
      <c r="L158" s="10" t="s">
        <v>455</v>
      </c>
      <c r="M158" s="10" t="s">
        <v>15</v>
      </c>
      <c r="N158" s="2" t="s">
        <v>17</v>
      </c>
      <c r="O158" s="2" t="s">
        <v>17</v>
      </c>
      <c r="P158" s="2" t="s">
        <v>17</v>
      </c>
      <c r="S158" s="13"/>
    </row>
    <row r="159" spans="1:19" x14ac:dyDescent="0.2">
      <c r="A159" s="2">
        <v>156</v>
      </c>
      <c r="B159" s="8">
        <v>350216018</v>
      </c>
      <c r="C159" s="8" t="s">
        <v>645</v>
      </c>
      <c r="D159" s="8" t="s">
        <v>17</v>
      </c>
      <c r="E159" s="9" t="s">
        <v>449</v>
      </c>
      <c r="F159" s="10" t="s">
        <v>646</v>
      </c>
      <c r="G159" s="10" t="s">
        <v>646</v>
      </c>
      <c r="H159" s="10" t="s">
        <v>647</v>
      </c>
      <c r="I159" s="11" t="s">
        <v>648</v>
      </c>
      <c r="J159" s="11" t="s">
        <v>649</v>
      </c>
      <c r="K159" s="12" t="s">
        <v>17</v>
      </c>
      <c r="L159" s="10" t="s">
        <v>455</v>
      </c>
      <c r="M159" s="10" t="s">
        <v>15</v>
      </c>
      <c r="N159" s="2" t="s">
        <v>17</v>
      </c>
      <c r="O159" s="2" t="s">
        <v>17</v>
      </c>
      <c r="P159" s="2" t="s">
        <v>17</v>
      </c>
      <c r="S159" s="13"/>
    </row>
    <row r="160" spans="1:19" x14ac:dyDescent="0.2">
      <c r="A160" s="2">
        <v>157</v>
      </c>
      <c r="B160" s="8">
        <v>350216019</v>
      </c>
      <c r="C160" s="8" t="s">
        <v>583</v>
      </c>
      <c r="D160" s="8" t="s">
        <v>17</v>
      </c>
      <c r="E160" s="9" t="s">
        <v>449</v>
      </c>
      <c r="F160" s="10" t="s">
        <v>583</v>
      </c>
      <c r="G160" s="10" t="s">
        <v>583</v>
      </c>
      <c r="H160" s="10" t="s">
        <v>500</v>
      </c>
      <c r="I160" s="11" t="s">
        <v>650</v>
      </c>
      <c r="J160" s="11" t="s">
        <v>651</v>
      </c>
      <c r="K160" s="12" t="s">
        <v>17</v>
      </c>
      <c r="L160" s="10" t="s">
        <v>455</v>
      </c>
      <c r="M160" s="10" t="s">
        <v>15</v>
      </c>
      <c r="N160" s="2" t="s">
        <v>17</v>
      </c>
      <c r="O160" s="2" t="s">
        <v>17</v>
      </c>
      <c r="P160" s="2" t="s">
        <v>17</v>
      </c>
      <c r="S160" s="13"/>
    </row>
    <row r="161" spans="1:19" x14ac:dyDescent="0.2">
      <c r="A161" s="2">
        <v>158</v>
      </c>
      <c r="B161" s="8">
        <v>350216020</v>
      </c>
      <c r="C161" s="8" t="s">
        <v>588</v>
      </c>
      <c r="D161" s="8" t="s">
        <v>17</v>
      </c>
      <c r="E161" s="9" t="s">
        <v>449</v>
      </c>
      <c r="F161" s="10" t="s">
        <v>588</v>
      </c>
      <c r="G161" s="10" t="s">
        <v>588</v>
      </c>
      <c r="H161" s="10" t="s">
        <v>500</v>
      </c>
      <c r="I161" s="11" t="s">
        <v>652</v>
      </c>
      <c r="J161" s="11" t="s">
        <v>653</v>
      </c>
      <c r="K161" s="12" t="s">
        <v>17</v>
      </c>
      <c r="L161" s="10" t="s">
        <v>455</v>
      </c>
      <c r="M161" s="10" t="s">
        <v>15</v>
      </c>
      <c r="N161" s="2" t="s">
        <v>17</v>
      </c>
      <c r="O161" s="2" t="s">
        <v>17</v>
      </c>
      <c r="P161" s="2" t="s">
        <v>17</v>
      </c>
      <c r="S161" s="13"/>
    </row>
    <row r="162" spans="1:19" x14ac:dyDescent="0.2">
      <c r="A162" s="2">
        <v>159</v>
      </c>
      <c r="B162" s="8">
        <v>350216021</v>
      </c>
      <c r="C162" s="8" t="s">
        <v>654</v>
      </c>
      <c r="D162" s="8" t="s">
        <v>17</v>
      </c>
      <c r="E162" s="9" t="s">
        <v>449</v>
      </c>
      <c r="F162" s="10" t="s">
        <v>655</v>
      </c>
      <c r="G162" s="10" t="s">
        <v>68</v>
      </c>
      <c r="H162" s="10" t="s">
        <v>500</v>
      </c>
      <c r="I162" s="11" t="s">
        <v>656</v>
      </c>
      <c r="J162" s="11" t="s">
        <v>657</v>
      </c>
      <c r="K162" s="12" t="s">
        <v>17</v>
      </c>
      <c r="L162" s="10" t="s">
        <v>455</v>
      </c>
      <c r="M162" s="10" t="s">
        <v>15</v>
      </c>
      <c r="N162" s="2" t="s">
        <v>17</v>
      </c>
      <c r="O162" s="2" t="s">
        <v>17</v>
      </c>
      <c r="P162" s="2" t="s">
        <v>17</v>
      </c>
      <c r="S162" s="13"/>
    </row>
    <row r="163" spans="1:19" x14ac:dyDescent="0.2">
      <c r="A163" s="2">
        <v>160</v>
      </c>
      <c r="B163" s="8">
        <v>350216022</v>
      </c>
      <c r="C163" s="8" t="s">
        <v>658</v>
      </c>
      <c r="D163" s="8" t="s">
        <v>17</v>
      </c>
      <c r="E163" s="9" t="s">
        <v>449</v>
      </c>
      <c r="F163" s="10" t="s">
        <v>659</v>
      </c>
      <c r="G163" s="10" t="s">
        <v>660</v>
      </c>
      <c r="H163" s="10" t="s">
        <v>661</v>
      </c>
      <c r="I163" s="11" t="s">
        <v>662</v>
      </c>
      <c r="J163" s="11" t="s">
        <v>663</v>
      </c>
      <c r="K163" s="12" t="s">
        <v>17</v>
      </c>
      <c r="L163" s="10" t="s">
        <v>455</v>
      </c>
      <c r="M163" s="10" t="s">
        <v>15</v>
      </c>
      <c r="N163" s="2" t="s">
        <v>17</v>
      </c>
      <c r="O163" s="2" t="s">
        <v>17</v>
      </c>
      <c r="P163" s="2" t="s">
        <v>17</v>
      </c>
      <c r="S163" s="13"/>
    </row>
    <row r="164" spans="1:19" x14ac:dyDescent="0.2">
      <c r="A164" s="2">
        <v>161</v>
      </c>
      <c r="B164" s="8">
        <v>350216023</v>
      </c>
      <c r="C164" s="8" t="s">
        <v>664</v>
      </c>
      <c r="D164" s="8" t="s">
        <v>17</v>
      </c>
      <c r="E164" s="9" t="s">
        <v>449</v>
      </c>
      <c r="F164" s="10" t="s">
        <v>665</v>
      </c>
      <c r="G164" s="10" t="s">
        <v>575</v>
      </c>
      <c r="H164" s="10" t="s">
        <v>500</v>
      </c>
      <c r="I164" s="11" t="s">
        <v>666</v>
      </c>
      <c r="J164" s="11" t="s">
        <v>667</v>
      </c>
      <c r="K164" s="12" t="s">
        <v>17</v>
      </c>
      <c r="L164" s="10" t="s">
        <v>455</v>
      </c>
      <c r="M164" s="10" t="s">
        <v>15</v>
      </c>
      <c r="N164" s="2" t="s">
        <v>17</v>
      </c>
      <c r="O164" s="2" t="s">
        <v>17</v>
      </c>
      <c r="P164" s="2" t="s">
        <v>17</v>
      </c>
      <c r="S164" s="13"/>
    </row>
    <row r="165" spans="1:19" x14ac:dyDescent="0.2">
      <c r="A165" s="2">
        <v>162</v>
      </c>
      <c r="B165" s="8">
        <v>350216024</v>
      </c>
      <c r="C165" s="8" t="s">
        <v>668</v>
      </c>
      <c r="D165" s="8" t="s">
        <v>17</v>
      </c>
      <c r="E165" s="9" t="s">
        <v>449</v>
      </c>
      <c r="F165" s="10" t="s">
        <v>668</v>
      </c>
      <c r="G165" s="10" t="s">
        <v>604</v>
      </c>
      <c r="H165" s="10" t="s">
        <v>500</v>
      </c>
      <c r="I165" s="11" t="s">
        <v>669</v>
      </c>
      <c r="J165" s="11" t="s">
        <v>670</v>
      </c>
      <c r="K165" s="12" t="s">
        <v>17</v>
      </c>
      <c r="L165" s="10" t="s">
        <v>455</v>
      </c>
      <c r="M165" s="10" t="s">
        <v>15</v>
      </c>
      <c r="N165" s="2" t="s">
        <v>17</v>
      </c>
      <c r="O165" s="2" t="s">
        <v>17</v>
      </c>
      <c r="P165" s="2" t="s">
        <v>17</v>
      </c>
      <c r="S165" s="13"/>
    </row>
    <row r="166" spans="1:19" x14ac:dyDescent="0.2">
      <c r="A166" s="2">
        <v>163</v>
      </c>
      <c r="B166" s="8">
        <v>350216025</v>
      </c>
      <c r="C166" s="8" t="s">
        <v>671</v>
      </c>
      <c r="D166" s="8" t="s">
        <v>17</v>
      </c>
      <c r="E166" s="9" t="s">
        <v>449</v>
      </c>
      <c r="F166" s="10" t="s">
        <v>671</v>
      </c>
      <c r="G166" s="10" t="s">
        <v>583</v>
      </c>
      <c r="H166" s="10" t="s">
        <v>500</v>
      </c>
      <c r="I166" s="11" t="s">
        <v>672</v>
      </c>
      <c r="J166" s="11" t="s">
        <v>673</v>
      </c>
      <c r="K166" s="12" t="s">
        <v>17</v>
      </c>
      <c r="L166" s="10" t="s">
        <v>455</v>
      </c>
      <c r="M166" s="10" t="s">
        <v>15</v>
      </c>
      <c r="N166" s="2" t="s">
        <v>17</v>
      </c>
      <c r="O166" s="2" t="s">
        <v>17</v>
      </c>
      <c r="P166" s="2" t="s">
        <v>17</v>
      </c>
      <c r="S166" s="13"/>
    </row>
    <row r="167" spans="1:19" x14ac:dyDescent="0.2">
      <c r="A167" s="2">
        <v>164</v>
      </c>
      <c r="B167" s="8">
        <v>350216026</v>
      </c>
      <c r="C167" s="8" t="s">
        <v>674</v>
      </c>
      <c r="D167" s="8" t="s">
        <v>17</v>
      </c>
      <c r="E167" s="9" t="s">
        <v>449</v>
      </c>
      <c r="F167" s="10" t="s">
        <v>674</v>
      </c>
      <c r="G167" s="10" t="s">
        <v>675</v>
      </c>
      <c r="H167" s="10" t="s">
        <v>500</v>
      </c>
      <c r="I167" s="11" t="s">
        <v>676</v>
      </c>
      <c r="J167" s="11" t="s">
        <v>677</v>
      </c>
      <c r="K167" s="12" t="s">
        <v>17</v>
      </c>
      <c r="L167" s="10" t="s">
        <v>455</v>
      </c>
      <c r="M167" s="10" t="s">
        <v>15</v>
      </c>
      <c r="N167" s="2" t="s">
        <v>17</v>
      </c>
      <c r="O167" s="2" t="s">
        <v>17</v>
      </c>
      <c r="P167" s="2" t="s">
        <v>17</v>
      </c>
      <c r="S167" s="13"/>
    </row>
    <row r="168" spans="1:19" x14ac:dyDescent="0.2">
      <c r="A168" s="2">
        <v>165</v>
      </c>
      <c r="B168" s="8">
        <v>350278001</v>
      </c>
      <c r="C168" s="8" t="s">
        <v>678</v>
      </c>
      <c r="D168" s="8" t="s">
        <v>17</v>
      </c>
      <c r="E168" s="9" t="s">
        <v>449</v>
      </c>
      <c r="F168" s="10" t="s">
        <v>679</v>
      </c>
      <c r="G168" s="10" t="s">
        <v>680</v>
      </c>
      <c r="H168" s="10" t="s">
        <v>681</v>
      </c>
      <c r="I168" s="11" t="s">
        <v>682</v>
      </c>
      <c r="J168" s="11" t="s">
        <v>683</v>
      </c>
      <c r="K168" s="12" t="s">
        <v>17</v>
      </c>
      <c r="L168" s="10" t="s">
        <v>455</v>
      </c>
      <c r="M168" s="10" t="s">
        <v>15</v>
      </c>
      <c r="N168" s="2" t="s">
        <v>17</v>
      </c>
      <c r="O168" s="2" t="s">
        <v>17</v>
      </c>
      <c r="P168" s="2" t="s">
        <v>17</v>
      </c>
      <c r="S168" s="13"/>
    </row>
    <row r="169" spans="1:19" x14ac:dyDescent="0.2">
      <c r="A169" s="2">
        <v>166</v>
      </c>
      <c r="B169" s="8">
        <v>350278002</v>
      </c>
      <c r="C169" s="8" t="s">
        <v>684</v>
      </c>
      <c r="D169" s="8" t="s">
        <v>17</v>
      </c>
      <c r="E169" s="9" t="s">
        <v>449</v>
      </c>
      <c r="F169" s="10" t="s">
        <v>685</v>
      </c>
      <c r="G169" s="10" t="s">
        <v>686</v>
      </c>
      <c r="H169" s="10" t="s">
        <v>681</v>
      </c>
      <c r="I169" s="11" t="s">
        <v>687</v>
      </c>
      <c r="J169" s="11" t="s">
        <v>688</v>
      </c>
      <c r="K169" s="12" t="s">
        <v>17</v>
      </c>
      <c r="L169" s="10" t="s">
        <v>455</v>
      </c>
      <c r="M169" s="10" t="s">
        <v>15</v>
      </c>
      <c r="N169" s="2" t="s">
        <v>17</v>
      </c>
      <c r="O169" s="2" t="s">
        <v>17</v>
      </c>
      <c r="P169" s="2" t="s">
        <v>17</v>
      </c>
      <c r="S169" s="13"/>
    </row>
    <row r="170" spans="1:19" x14ac:dyDescent="0.2">
      <c r="A170" s="2">
        <v>167</v>
      </c>
      <c r="B170" s="8">
        <v>350278003</v>
      </c>
      <c r="C170" s="8" t="s">
        <v>689</v>
      </c>
      <c r="D170" s="8" t="s">
        <v>17</v>
      </c>
      <c r="E170" s="9" t="s">
        <v>449</v>
      </c>
      <c r="F170" s="10" t="s">
        <v>689</v>
      </c>
      <c r="G170" s="10" t="s">
        <v>690</v>
      </c>
      <c r="H170" s="10" t="s">
        <v>681</v>
      </c>
      <c r="I170" s="11" t="s">
        <v>691</v>
      </c>
      <c r="J170" s="11" t="s">
        <v>692</v>
      </c>
      <c r="K170" s="12" t="s">
        <v>17</v>
      </c>
      <c r="L170" s="10" t="s">
        <v>455</v>
      </c>
      <c r="M170" s="10" t="s">
        <v>15</v>
      </c>
      <c r="N170" s="2" t="s">
        <v>17</v>
      </c>
      <c r="O170" s="2" t="s">
        <v>17</v>
      </c>
      <c r="P170" s="2" t="s">
        <v>17</v>
      </c>
      <c r="S170" s="13"/>
    </row>
    <row r="171" spans="1:19" x14ac:dyDescent="0.2">
      <c r="A171" s="2">
        <v>168</v>
      </c>
      <c r="B171" s="8">
        <v>350278004</v>
      </c>
      <c r="C171" s="8" t="s">
        <v>193</v>
      </c>
      <c r="D171" s="8" t="s">
        <v>17</v>
      </c>
      <c r="E171" s="9" t="s">
        <v>449</v>
      </c>
      <c r="F171" s="10" t="s">
        <v>693</v>
      </c>
      <c r="G171" s="10" t="s">
        <v>694</v>
      </c>
      <c r="H171" s="10" t="s">
        <v>681</v>
      </c>
      <c r="I171" s="11" t="s">
        <v>695</v>
      </c>
      <c r="J171" s="11" t="s">
        <v>696</v>
      </c>
      <c r="K171" s="12" t="s">
        <v>17</v>
      </c>
      <c r="L171" s="10" t="s">
        <v>455</v>
      </c>
      <c r="M171" s="10" t="s">
        <v>15</v>
      </c>
      <c r="N171" s="2" t="s">
        <v>17</v>
      </c>
      <c r="O171" s="2" t="s">
        <v>17</v>
      </c>
      <c r="P171" s="2" t="s">
        <v>17</v>
      </c>
      <c r="S171" s="13"/>
    </row>
    <row r="172" spans="1:19" x14ac:dyDescent="0.2">
      <c r="A172" s="2">
        <v>169</v>
      </c>
      <c r="B172" s="8">
        <v>350278005</v>
      </c>
      <c r="C172" s="8" t="s">
        <v>697</v>
      </c>
      <c r="D172" s="8" t="s">
        <v>17</v>
      </c>
      <c r="E172" s="9" t="s">
        <v>449</v>
      </c>
      <c r="F172" s="10" t="s">
        <v>697</v>
      </c>
      <c r="G172" s="10" t="s">
        <v>698</v>
      </c>
      <c r="H172" s="10" t="s">
        <v>681</v>
      </c>
      <c r="I172" s="11" t="s">
        <v>699</v>
      </c>
      <c r="J172" s="11" t="s">
        <v>700</v>
      </c>
      <c r="K172" s="12" t="s">
        <v>17</v>
      </c>
      <c r="L172" s="10" t="s">
        <v>455</v>
      </c>
      <c r="M172" s="10" t="s">
        <v>15</v>
      </c>
      <c r="N172" s="2" t="s">
        <v>17</v>
      </c>
      <c r="O172" s="2" t="s">
        <v>17</v>
      </c>
      <c r="P172" s="2" t="s">
        <v>17</v>
      </c>
      <c r="S172" s="13"/>
    </row>
    <row r="173" spans="1:19" x14ac:dyDescent="0.2">
      <c r="A173" s="2">
        <v>170</v>
      </c>
      <c r="B173" s="8">
        <v>350278006</v>
      </c>
      <c r="C173" s="8" t="s">
        <v>701</v>
      </c>
      <c r="D173" s="8" t="s">
        <v>17</v>
      </c>
      <c r="E173" s="9" t="s">
        <v>449</v>
      </c>
      <c r="F173" s="10" t="s">
        <v>698</v>
      </c>
      <c r="G173" s="10" t="s">
        <v>698</v>
      </c>
      <c r="H173" s="10" t="s">
        <v>681</v>
      </c>
      <c r="I173" s="11" t="s">
        <v>702</v>
      </c>
      <c r="J173" s="11" t="s">
        <v>703</v>
      </c>
      <c r="K173" s="12" t="s">
        <v>17</v>
      </c>
      <c r="L173" s="10" t="s">
        <v>455</v>
      </c>
      <c r="M173" s="10" t="s">
        <v>15</v>
      </c>
      <c r="N173" s="2" t="s">
        <v>17</v>
      </c>
      <c r="O173" s="2" t="s">
        <v>17</v>
      </c>
      <c r="P173" s="2" t="s">
        <v>17</v>
      </c>
      <c r="S173" s="13"/>
    </row>
    <row r="174" spans="1:19" x14ac:dyDescent="0.2">
      <c r="A174" s="2">
        <v>171</v>
      </c>
      <c r="B174" s="8">
        <v>350278007</v>
      </c>
      <c r="C174" s="8" t="s">
        <v>704</v>
      </c>
      <c r="D174" s="8" t="s">
        <v>17</v>
      </c>
      <c r="E174" s="9" t="s">
        <v>449</v>
      </c>
      <c r="F174" s="10" t="s">
        <v>705</v>
      </c>
      <c r="G174" s="10" t="s">
        <v>706</v>
      </c>
      <c r="H174" s="10" t="s">
        <v>681</v>
      </c>
      <c r="I174" s="11" t="s">
        <v>707</v>
      </c>
      <c r="J174" s="11" t="s">
        <v>708</v>
      </c>
      <c r="K174" s="12" t="s">
        <v>17</v>
      </c>
      <c r="L174" s="10" t="s">
        <v>455</v>
      </c>
      <c r="M174" s="10" t="s">
        <v>15</v>
      </c>
      <c r="N174" s="2" t="s">
        <v>17</v>
      </c>
      <c r="O174" s="2" t="s">
        <v>17</v>
      </c>
      <c r="P174" s="2" t="s">
        <v>17</v>
      </c>
      <c r="S174" s="13"/>
    </row>
    <row r="175" spans="1:19" x14ac:dyDescent="0.2">
      <c r="A175" s="2">
        <v>172</v>
      </c>
      <c r="B175" s="8">
        <v>350278008</v>
      </c>
      <c r="C175" s="8" t="s">
        <v>709</v>
      </c>
      <c r="D175" s="8" t="s">
        <v>17</v>
      </c>
      <c r="E175" s="9" t="s">
        <v>449</v>
      </c>
      <c r="F175" s="10" t="s">
        <v>710</v>
      </c>
      <c r="G175" s="10" t="s">
        <v>711</v>
      </c>
      <c r="H175" s="10" t="s">
        <v>681</v>
      </c>
      <c r="I175" s="11" t="s">
        <v>712</v>
      </c>
      <c r="J175" s="11" t="s">
        <v>713</v>
      </c>
      <c r="K175" s="12" t="s">
        <v>17</v>
      </c>
      <c r="L175" s="10" t="s">
        <v>455</v>
      </c>
      <c r="M175" s="10" t="s">
        <v>15</v>
      </c>
      <c r="N175" s="2" t="s">
        <v>17</v>
      </c>
      <c r="O175" s="2" t="s">
        <v>17</v>
      </c>
      <c r="P175" s="2" t="s">
        <v>17</v>
      </c>
      <c r="S175" s="13"/>
    </row>
    <row r="176" spans="1:19" x14ac:dyDescent="0.2">
      <c r="A176" s="2">
        <v>173</v>
      </c>
      <c r="B176" s="8">
        <v>350278009</v>
      </c>
      <c r="C176" s="8" t="s">
        <v>714</v>
      </c>
      <c r="D176" s="8" t="s">
        <v>17</v>
      </c>
      <c r="E176" s="9" t="s">
        <v>449</v>
      </c>
      <c r="F176" s="10" t="s">
        <v>715</v>
      </c>
      <c r="G176" s="10" t="s">
        <v>714</v>
      </c>
      <c r="H176" s="10" t="s">
        <v>681</v>
      </c>
      <c r="I176" s="11" t="s">
        <v>716</v>
      </c>
      <c r="J176" s="11" t="s">
        <v>717</v>
      </c>
      <c r="K176" s="12" t="s">
        <v>17</v>
      </c>
      <c r="L176" s="10" t="s">
        <v>455</v>
      </c>
      <c r="M176" s="10" t="s">
        <v>15</v>
      </c>
      <c r="N176" s="2" t="s">
        <v>17</v>
      </c>
      <c r="O176" s="2" t="s">
        <v>17</v>
      </c>
      <c r="P176" s="2" t="s">
        <v>17</v>
      </c>
      <c r="S176" s="13"/>
    </row>
    <row r="177" spans="1:19" x14ac:dyDescent="0.2">
      <c r="A177" s="2">
        <v>174</v>
      </c>
      <c r="B177" s="8">
        <v>350278010</v>
      </c>
      <c r="C177" s="8" t="s">
        <v>718</v>
      </c>
      <c r="D177" s="8" t="s">
        <v>17</v>
      </c>
      <c r="E177" s="9" t="s">
        <v>449</v>
      </c>
      <c r="F177" s="10" t="s">
        <v>612</v>
      </c>
      <c r="G177" s="10" t="s">
        <v>719</v>
      </c>
      <c r="H177" s="10" t="s">
        <v>681</v>
      </c>
      <c r="I177" s="11" t="s">
        <v>720</v>
      </c>
      <c r="J177" s="11" t="s">
        <v>721</v>
      </c>
      <c r="K177" s="12" t="s">
        <v>17</v>
      </c>
      <c r="L177" s="10" t="s">
        <v>455</v>
      </c>
      <c r="M177" s="10" t="s">
        <v>15</v>
      </c>
      <c r="N177" s="2" t="s">
        <v>17</v>
      </c>
      <c r="O177" s="2" t="s">
        <v>17</v>
      </c>
      <c r="P177" s="2" t="s">
        <v>17</v>
      </c>
      <c r="S177" s="13"/>
    </row>
    <row r="178" spans="1:19" x14ac:dyDescent="0.2">
      <c r="A178" s="2">
        <v>175</v>
      </c>
      <c r="B178" s="8">
        <v>350278011</v>
      </c>
      <c r="C178" s="8" t="s">
        <v>722</v>
      </c>
      <c r="D178" s="8" t="s">
        <v>17</v>
      </c>
      <c r="E178" s="9" t="s">
        <v>449</v>
      </c>
      <c r="F178" s="10" t="s">
        <v>723</v>
      </c>
      <c r="G178" s="10" t="s">
        <v>724</v>
      </c>
      <c r="H178" s="10" t="s">
        <v>681</v>
      </c>
      <c r="I178" s="11" t="s">
        <v>725</v>
      </c>
      <c r="J178" s="11" t="s">
        <v>726</v>
      </c>
      <c r="K178" s="12" t="s">
        <v>17</v>
      </c>
      <c r="L178" s="10" t="s">
        <v>455</v>
      </c>
      <c r="M178" s="10" t="s">
        <v>15</v>
      </c>
      <c r="N178" s="2" t="s">
        <v>17</v>
      </c>
      <c r="O178" s="2" t="s">
        <v>17</v>
      </c>
      <c r="P178" s="2" t="s">
        <v>17</v>
      </c>
      <c r="S178" s="13"/>
    </row>
    <row r="179" spans="1:19" x14ac:dyDescent="0.2">
      <c r="A179" s="2">
        <v>176</v>
      </c>
      <c r="B179" s="8">
        <v>350307001</v>
      </c>
      <c r="C179" s="8" t="s">
        <v>727</v>
      </c>
      <c r="D179" s="8" t="s">
        <v>17</v>
      </c>
      <c r="E179" s="9" t="s">
        <v>728</v>
      </c>
      <c r="F179" s="10" t="s">
        <v>727</v>
      </c>
      <c r="G179" s="10" t="s">
        <v>727</v>
      </c>
      <c r="H179" s="10" t="s">
        <v>729</v>
      </c>
      <c r="I179" s="11" t="s">
        <v>730</v>
      </c>
      <c r="J179" s="11" t="s">
        <v>731</v>
      </c>
      <c r="K179" s="12" t="s">
        <v>17</v>
      </c>
      <c r="L179" s="10" t="s">
        <v>732</v>
      </c>
      <c r="M179" s="10" t="s">
        <v>15</v>
      </c>
      <c r="N179" s="2" t="s">
        <v>17</v>
      </c>
      <c r="O179" s="2" t="s">
        <v>17</v>
      </c>
      <c r="P179" s="2" t="s">
        <v>17</v>
      </c>
      <c r="S179" s="13"/>
    </row>
    <row r="180" spans="1:19" x14ac:dyDescent="0.2">
      <c r="A180" s="2">
        <v>177</v>
      </c>
      <c r="B180" s="8">
        <v>350313001</v>
      </c>
      <c r="C180" s="8" t="s">
        <v>733</v>
      </c>
      <c r="D180" s="8" t="s">
        <v>17</v>
      </c>
      <c r="E180" s="9" t="s">
        <v>728</v>
      </c>
      <c r="F180" s="10" t="s">
        <v>734</v>
      </c>
      <c r="G180" s="10" t="s">
        <v>734</v>
      </c>
      <c r="H180" s="10" t="s">
        <v>735</v>
      </c>
      <c r="I180" s="11" t="s">
        <v>736</v>
      </c>
      <c r="J180" s="11" t="s">
        <v>737</v>
      </c>
      <c r="K180" s="12" t="s">
        <v>17</v>
      </c>
      <c r="L180" s="10" t="s">
        <v>732</v>
      </c>
      <c r="M180" s="10" t="s">
        <v>15</v>
      </c>
      <c r="N180" s="2" t="s">
        <v>17</v>
      </c>
      <c r="O180" s="2" t="s">
        <v>17</v>
      </c>
      <c r="P180" s="2" t="s">
        <v>17</v>
      </c>
      <c r="S180" s="13"/>
    </row>
    <row r="181" spans="1:19" x14ac:dyDescent="0.2">
      <c r="A181" s="2">
        <v>178</v>
      </c>
      <c r="B181" s="8">
        <v>350313002</v>
      </c>
      <c r="C181" s="8" t="s">
        <v>738</v>
      </c>
      <c r="D181" s="8" t="s">
        <v>17</v>
      </c>
      <c r="E181" s="9" t="s">
        <v>728</v>
      </c>
      <c r="F181" s="10" t="s">
        <v>738</v>
      </c>
      <c r="G181" s="10" t="s">
        <v>739</v>
      </c>
      <c r="H181" s="10" t="s">
        <v>735</v>
      </c>
      <c r="I181" s="11" t="s">
        <v>740</v>
      </c>
      <c r="J181" s="11" t="s">
        <v>741</v>
      </c>
      <c r="K181" s="12" t="s">
        <v>17</v>
      </c>
      <c r="L181" s="10" t="s">
        <v>732</v>
      </c>
      <c r="M181" s="10" t="s">
        <v>15</v>
      </c>
      <c r="N181" s="2" t="s">
        <v>17</v>
      </c>
      <c r="O181" s="2" t="s">
        <v>17</v>
      </c>
      <c r="P181" s="2" t="s">
        <v>17</v>
      </c>
      <c r="S181" s="13"/>
    </row>
    <row r="182" spans="1:19" x14ac:dyDescent="0.2">
      <c r="A182" s="2">
        <v>179</v>
      </c>
      <c r="B182" s="8">
        <v>350313003</v>
      </c>
      <c r="C182" s="8" t="s">
        <v>742</v>
      </c>
      <c r="D182" s="8" t="s">
        <v>17</v>
      </c>
      <c r="E182" s="9" t="s">
        <v>728</v>
      </c>
      <c r="F182" s="10" t="s">
        <v>742</v>
      </c>
      <c r="G182" s="10" t="s">
        <v>612</v>
      </c>
      <c r="H182" s="10" t="s">
        <v>735</v>
      </c>
      <c r="I182" s="11" t="s">
        <v>743</v>
      </c>
      <c r="J182" s="11" t="s">
        <v>744</v>
      </c>
      <c r="K182" s="12" t="s">
        <v>17</v>
      </c>
      <c r="L182" s="10" t="s">
        <v>732</v>
      </c>
      <c r="M182" s="10" t="s">
        <v>15</v>
      </c>
      <c r="N182" s="2" t="s">
        <v>17</v>
      </c>
      <c r="O182" s="2" t="s">
        <v>17</v>
      </c>
      <c r="P182" s="2" t="s">
        <v>17</v>
      </c>
      <c r="S182" s="13"/>
    </row>
    <row r="183" spans="1:19" x14ac:dyDescent="0.2">
      <c r="A183" s="2">
        <v>180</v>
      </c>
      <c r="B183" s="8">
        <v>350313004</v>
      </c>
      <c r="C183" s="8" t="s">
        <v>745</v>
      </c>
      <c r="D183" s="8" t="s">
        <v>17</v>
      </c>
      <c r="E183" s="9" t="s">
        <v>728</v>
      </c>
      <c r="F183" s="10" t="s">
        <v>745</v>
      </c>
      <c r="G183" s="10" t="s">
        <v>612</v>
      </c>
      <c r="H183" s="10" t="s">
        <v>735</v>
      </c>
      <c r="I183" s="11" t="s">
        <v>746</v>
      </c>
      <c r="J183" s="11" t="s">
        <v>747</v>
      </c>
      <c r="K183" s="12" t="s">
        <v>17</v>
      </c>
      <c r="L183" s="10" t="s">
        <v>732</v>
      </c>
      <c r="M183" s="10" t="s">
        <v>15</v>
      </c>
      <c r="N183" s="2" t="s">
        <v>17</v>
      </c>
      <c r="O183" s="2" t="s">
        <v>17</v>
      </c>
      <c r="P183" s="2" t="s">
        <v>17</v>
      </c>
      <c r="S183" s="13"/>
    </row>
    <row r="184" spans="1:19" x14ac:dyDescent="0.2">
      <c r="A184" s="2">
        <v>181</v>
      </c>
      <c r="B184" s="8">
        <v>350313005</v>
      </c>
      <c r="C184" s="8" t="s">
        <v>748</v>
      </c>
      <c r="D184" s="8" t="s">
        <v>17</v>
      </c>
      <c r="E184" s="9" t="s">
        <v>728</v>
      </c>
      <c r="F184" s="10" t="s">
        <v>748</v>
      </c>
      <c r="G184" s="10" t="s">
        <v>734</v>
      </c>
      <c r="H184" s="10" t="s">
        <v>735</v>
      </c>
      <c r="I184" s="11" t="s">
        <v>749</v>
      </c>
      <c r="J184" s="11" t="s">
        <v>750</v>
      </c>
      <c r="K184" s="12" t="s">
        <v>17</v>
      </c>
      <c r="L184" s="10" t="s">
        <v>732</v>
      </c>
      <c r="M184" s="10" t="s">
        <v>15</v>
      </c>
      <c r="N184" s="2" t="s">
        <v>17</v>
      </c>
      <c r="O184" s="2" t="s">
        <v>17</v>
      </c>
      <c r="P184" s="2" t="s">
        <v>17</v>
      </c>
      <c r="S184" s="13"/>
    </row>
    <row r="185" spans="1:19" x14ac:dyDescent="0.2">
      <c r="A185" s="2">
        <v>182</v>
      </c>
      <c r="B185" s="8">
        <v>350313006</v>
      </c>
      <c r="C185" s="8" t="s">
        <v>751</v>
      </c>
      <c r="D185" s="8" t="s">
        <v>17</v>
      </c>
      <c r="E185" s="9" t="s">
        <v>728</v>
      </c>
      <c r="F185" s="10" t="s">
        <v>752</v>
      </c>
      <c r="G185" s="10" t="s">
        <v>753</v>
      </c>
      <c r="H185" s="10" t="s">
        <v>735</v>
      </c>
      <c r="I185" s="11" t="s">
        <v>754</v>
      </c>
      <c r="J185" s="11" t="s">
        <v>755</v>
      </c>
      <c r="K185" s="12" t="s">
        <v>17</v>
      </c>
      <c r="L185" s="10" t="s">
        <v>732</v>
      </c>
      <c r="M185" s="10" t="s">
        <v>15</v>
      </c>
      <c r="N185" s="2" t="s">
        <v>17</v>
      </c>
      <c r="O185" s="2" t="s">
        <v>17</v>
      </c>
      <c r="P185" s="2" t="s">
        <v>17</v>
      </c>
      <c r="S185" s="13"/>
    </row>
    <row r="186" spans="1:19" x14ac:dyDescent="0.2">
      <c r="A186" s="2">
        <v>183</v>
      </c>
      <c r="B186" s="8">
        <v>350313007</v>
      </c>
      <c r="C186" s="8" t="s">
        <v>756</v>
      </c>
      <c r="D186" s="8" t="s">
        <v>17</v>
      </c>
      <c r="E186" s="9" t="s">
        <v>728</v>
      </c>
      <c r="F186" s="10" t="s">
        <v>756</v>
      </c>
      <c r="G186" s="10" t="s">
        <v>757</v>
      </c>
      <c r="H186" s="10" t="s">
        <v>735</v>
      </c>
      <c r="I186" s="11" t="s">
        <v>758</v>
      </c>
      <c r="J186" s="11" t="s">
        <v>759</v>
      </c>
      <c r="K186" s="12" t="s">
        <v>17</v>
      </c>
      <c r="L186" s="10" t="s">
        <v>732</v>
      </c>
      <c r="M186" s="10" t="s">
        <v>15</v>
      </c>
      <c r="N186" s="2" t="s">
        <v>17</v>
      </c>
      <c r="O186" s="2" t="s">
        <v>17</v>
      </c>
      <c r="P186" s="2" t="s">
        <v>17</v>
      </c>
      <c r="S186" s="13"/>
    </row>
    <row r="187" spans="1:19" x14ac:dyDescent="0.2">
      <c r="A187" s="2">
        <v>184</v>
      </c>
      <c r="B187" s="8">
        <v>350313008</v>
      </c>
      <c r="C187" s="8" t="s">
        <v>760</v>
      </c>
      <c r="D187" s="8" t="s">
        <v>17</v>
      </c>
      <c r="E187" s="9" t="s">
        <v>728</v>
      </c>
      <c r="F187" s="10" t="s">
        <v>761</v>
      </c>
      <c r="G187" s="10" t="s">
        <v>762</v>
      </c>
      <c r="H187" s="10" t="s">
        <v>735</v>
      </c>
      <c r="I187" s="11" t="s">
        <v>763</v>
      </c>
      <c r="J187" s="11" t="s">
        <v>764</v>
      </c>
      <c r="K187" s="12" t="s">
        <v>17</v>
      </c>
      <c r="L187" s="10" t="s">
        <v>732</v>
      </c>
      <c r="M187" s="10" t="s">
        <v>15</v>
      </c>
      <c r="N187" s="2" t="s">
        <v>17</v>
      </c>
      <c r="O187" s="2" t="s">
        <v>17</v>
      </c>
      <c r="P187" s="2" t="s">
        <v>17</v>
      </c>
      <c r="S187" s="13"/>
    </row>
    <row r="188" spans="1:19" x14ac:dyDescent="0.2">
      <c r="A188" s="2">
        <v>185</v>
      </c>
      <c r="B188" s="8">
        <v>350313009</v>
      </c>
      <c r="C188" s="8" t="s">
        <v>765</v>
      </c>
      <c r="D188" s="8" t="s">
        <v>17</v>
      </c>
      <c r="E188" s="9" t="s">
        <v>728</v>
      </c>
      <c r="F188" s="10" t="s">
        <v>766</v>
      </c>
      <c r="G188" s="10" t="s">
        <v>734</v>
      </c>
      <c r="H188" s="10" t="s">
        <v>735</v>
      </c>
      <c r="I188" s="11" t="s">
        <v>767</v>
      </c>
      <c r="J188" s="11" t="s">
        <v>768</v>
      </c>
      <c r="K188" s="12" t="s">
        <v>17</v>
      </c>
      <c r="L188" s="10" t="s">
        <v>732</v>
      </c>
      <c r="M188" s="10" t="s">
        <v>15</v>
      </c>
      <c r="N188" s="2" t="s">
        <v>17</v>
      </c>
      <c r="O188" s="2" t="s">
        <v>17</v>
      </c>
      <c r="P188" s="2" t="s">
        <v>17</v>
      </c>
      <c r="S188" s="13"/>
    </row>
    <row r="189" spans="1:19" x14ac:dyDescent="0.2">
      <c r="A189" s="2">
        <v>186</v>
      </c>
      <c r="B189" s="8">
        <v>350313010</v>
      </c>
      <c r="C189" s="8" t="s">
        <v>769</v>
      </c>
      <c r="D189" s="8" t="s">
        <v>17</v>
      </c>
      <c r="E189" s="9" t="s">
        <v>728</v>
      </c>
      <c r="F189" s="10" t="s">
        <v>770</v>
      </c>
      <c r="G189" s="10" t="s">
        <v>771</v>
      </c>
      <c r="H189" s="10" t="s">
        <v>735</v>
      </c>
      <c r="I189" s="11" t="s">
        <v>772</v>
      </c>
      <c r="J189" s="11" t="s">
        <v>773</v>
      </c>
      <c r="K189" s="12" t="s">
        <v>17</v>
      </c>
      <c r="L189" s="10" t="s">
        <v>732</v>
      </c>
      <c r="M189" s="10" t="s">
        <v>15</v>
      </c>
      <c r="N189" s="2" t="s">
        <v>17</v>
      </c>
      <c r="O189" s="2" t="s">
        <v>17</v>
      </c>
      <c r="P189" s="2" t="s">
        <v>17</v>
      </c>
      <c r="S189" s="13"/>
    </row>
    <row r="190" spans="1:19" x14ac:dyDescent="0.2">
      <c r="A190" s="2">
        <v>187</v>
      </c>
      <c r="B190" s="8">
        <v>350313011</v>
      </c>
      <c r="C190" s="8" t="s">
        <v>774</v>
      </c>
      <c r="D190" s="8" t="s">
        <v>17</v>
      </c>
      <c r="E190" s="9" t="s">
        <v>728</v>
      </c>
      <c r="F190" s="10" t="s">
        <v>775</v>
      </c>
      <c r="G190" s="10" t="s">
        <v>776</v>
      </c>
      <c r="H190" s="10" t="s">
        <v>735</v>
      </c>
      <c r="I190" s="11" t="s">
        <v>777</v>
      </c>
      <c r="J190" s="11" t="s">
        <v>778</v>
      </c>
      <c r="K190" s="12" t="s">
        <v>17</v>
      </c>
      <c r="L190" s="10" t="s">
        <v>732</v>
      </c>
      <c r="M190" s="10" t="s">
        <v>15</v>
      </c>
      <c r="N190" s="2" t="s">
        <v>17</v>
      </c>
      <c r="O190" s="2" t="s">
        <v>17</v>
      </c>
      <c r="P190" s="2" t="s">
        <v>17</v>
      </c>
      <c r="S190" s="13"/>
    </row>
    <row r="191" spans="1:19" x14ac:dyDescent="0.2">
      <c r="A191" s="2">
        <v>188</v>
      </c>
      <c r="B191" s="8">
        <v>350313012</v>
      </c>
      <c r="C191" s="8" t="s">
        <v>779</v>
      </c>
      <c r="D191" s="8" t="s">
        <v>17</v>
      </c>
      <c r="E191" s="9" t="s">
        <v>728</v>
      </c>
      <c r="F191" s="10" t="s">
        <v>779</v>
      </c>
      <c r="G191" s="10" t="s">
        <v>779</v>
      </c>
      <c r="H191" s="10" t="s">
        <v>735</v>
      </c>
      <c r="I191" s="11" t="s">
        <v>780</v>
      </c>
      <c r="J191" s="11" t="s">
        <v>781</v>
      </c>
      <c r="K191" s="12" t="s">
        <v>17</v>
      </c>
      <c r="L191" s="10" t="s">
        <v>732</v>
      </c>
      <c r="M191" s="10" t="s">
        <v>15</v>
      </c>
      <c r="N191" s="2" t="s">
        <v>17</v>
      </c>
      <c r="O191" s="2" t="s">
        <v>17</v>
      </c>
      <c r="P191" s="2" t="s">
        <v>17</v>
      </c>
      <c r="S191" s="13"/>
    </row>
    <row r="192" spans="1:19" x14ac:dyDescent="0.2">
      <c r="A192" s="2">
        <v>189</v>
      </c>
      <c r="B192" s="8">
        <v>350313013</v>
      </c>
      <c r="C192" s="8" t="s">
        <v>782</v>
      </c>
      <c r="D192" s="8" t="s">
        <v>17</v>
      </c>
      <c r="E192" s="9" t="s">
        <v>728</v>
      </c>
      <c r="F192" s="10" t="s">
        <v>782</v>
      </c>
      <c r="G192" s="10" t="s">
        <v>779</v>
      </c>
      <c r="H192" s="10" t="s">
        <v>735</v>
      </c>
      <c r="I192" s="11" t="s">
        <v>783</v>
      </c>
      <c r="J192" s="11" t="s">
        <v>784</v>
      </c>
      <c r="K192" s="12" t="s">
        <v>17</v>
      </c>
      <c r="L192" s="10" t="s">
        <v>732</v>
      </c>
      <c r="M192" s="10" t="s">
        <v>15</v>
      </c>
      <c r="N192" s="2" t="s">
        <v>17</v>
      </c>
      <c r="O192" s="2" t="s">
        <v>17</v>
      </c>
      <c r="P192" s="2" t="s">
        <v>17</v>
      </c>
      <c r="S192" s="13"/>
    </row>
    <row r="193" spans="1:19" x14ac:dyDescent="0.2">
      <c r="A193" s="2">
        <v>190</v>
      </c>
      <c r="B193" s="8">
        <v>350313014</v>
      </c>
      <c r="C193" s="8" t="s">
        <v>785</v>
      </c>
      <c r="D193" s="8" t="s">
        <v>17</v>
      </c>
      <c r="E193" s="9" t="s">
        <v>728</v>
      </c>
      <c r="F193" s="10" t="s">
        <v>786</v>
      </c>
      <c r="G193" s="10" t="s">
        <v>787</v>
      </c>
      <c r="H193" s="10" t="s">
        <v>735</v>
      </c>
      <c r="I193" s="11" t="s">
        <v>788</v>
      </c>
      <c r="J193" s="11" t="s">
        <v>789</v>
      </c>
      <c r="K193" s="12" t="s">
        <v>17</v>
      </c>
      <c r="L193" s="10" t="s">
        <v>732</v>
      </c>
      <c r="M193" s="10" t="s">
        <v>15</v>
      </c>
      <c r="N193" s="2" t="s">
        <v>17</v>
      </c>
      <c r="O193" s="2" t="s">
        <v>17</v>
      </c>
      <c r="P193" s="2" t="s">
        <v>17</v>
      </c>
      <c r="S193" s="13"/>
    </row>
    <row r="194" spans="1:19" x14ac:dyDescent="0.2">
      <c r="A194" s="2">
        <v>191</v>
      </c>
      <c r="B194" s="8">
        <v>350313015</v>
      </c>
      <c r="C194" s="8" t="s">
        <v>790</v>
      </c>
      <c r="D194" s="8" t="s">
        <v>17</v>
      </c>
      <c r="E194" s="9" t="s">
        <v>728</v>
      </c>
      <c r="F194" s="10" t="s">
        <v>790</v>
      </c>
      <c r="G194" s="10" t="s">
        <v>779</v>
      </c>
      <c r="H194" s="10" t="s">
        <v>735</v>
      </c>
      <c r="I194" s="11" t="s">
        <v>791</v>
      </c>
      <c r="J194" s="11" t="s">
        <v>792</v>
      </c>
      <c r="K194" s="12" t="s">
        <v>17</v>
      </c>
      <c r="L194" s="10" t="s">
        <v>732</v>
      </c>
      <c r="M194" s="10" t="s">
        <v>15</v>
      </c>
      <c r="N194" s="2" t="s">
        <v>17</v>
      </c>
      <c r="O194" s="2" t="s">
        <v>17</v>
      </c>
      <c r="P194" s="2" t="s">
        <v>17</v>
      </c>
      <c r="S194" s="13"/>
    </row>
    <row r="195" spans="1:19" x14ac:dyDescent="0.2">
      <c r="A195" s="2">
        <v>192</v>
      </c>
      <c r="B195" s="8">
        <v>350313016</v>
      </c>
      <c r="C195" s="8" t="s">
        <v>793</v>
      </c>
      <c r="D195" s="8" t="s">
        <v>17</v>
      </c>
      <c r="E195" s="9" t="s">
        <v>728</v>
      </c>
      <c r="F195" s="10" t="s">
        <v>793</v>
      </c>
      <c r="G195" s="10" t="s">
        <v>794</v>
      </c>
      <c r="H195" s="10" t="s">
        <v>735</v>
      </c>
      <c r="I195" s="11" t="s">
        <v>795</v>
      </c>
      <c r="J195" s="11" t="s">
        <v>796</v>
      </c>
      <c r="K195" s="12" t="s">
        <v>17</v>
      </c>
      <c r="L195" s="10" t="s">
        <v>732</v>
      </c>
      <c r="M195" s="10" t="s">
        <v>15</v>
      </c>
      <c r="N195" s="2" t="s">
        <v>17</v>
      </c>
      <c r="O195" s="2" t="s">
        <v>17</v>
      </c>
      <c r="P195" s="2" t="s">
        <v>17</v>
      </c>
      <c r="S195" s="13"/>
    </row>
    <row r="196" spans="1:19" x14ac:dyDescent="0.2">
      <c r="A196" s="2">
        <v>193</v>
      </c>
      <c r="B196" s="8">
        <v>350313017</v>
      </c>
      <c r="C196" s="8" t="s">
        <v>797</v>
      </c>
      <c r="D196" s="8" t="s">
        <v>17</v>
      </c>
      <c r="E196" s="9" t="s">
        <v>728</v>
      </c>
      <c r="F196" s="10" t="s">
        <v>761</v>
      </c>
      <c r="G196" s="10" t="s">
        <v>762</v>
      </c>
      <c r="H196" s="10" t="s">
        <v>735</v>
      </c>
      <c r="I196" s="11" t="s">
        <v>798</v>
      </c>
      <c r="J196" s="11" t="s">
        <v>799</v>
      </c>
      <c r="K196" s="12" t="s">
        <v>17</v>
      </c>
      <c r="L196" s="10" t="s">
        <v>732</v>
      </c>
      <c r="M196" s="10" t="s">
        <v>15</v>
      </c>
      <c r="N196" s="2" t="s">
        <v>17</v>
      </c>
      <c r="O196" s="2" t="s">
        <v>17</v>
      </c>
      <c r="P196" s="2" t="s">
        <v>17</v>
      </c>
      <c r="S196" s="13"/>
    </row>
    <row r="197" spans="1:19" x14ac:dyDescent="0.2">
      <c r="A197" s="2">
        <v>194</v>
      </c>
      <c r="B197" s="8">
        <v>350313018</v>
      </c>
      <c r="C197" s="8" t="s">
        <v>333</v>
      </c>
      <c r="D197" s="8" t="s">
        <v>17</v>
      </c>
      <c r="E197" s="9" t="s">
        <v>728</v>
      </c>
      <c r="F197" s="10" t="s">
        <v>800</v>
      </c>
      <c r="G197" s="10" t="s">
        <v>801</v>
      </c>
      <c r="H197" s="10" t="s">
        <v>735</v>
      </c>
      <c r="I197" s="11" t="s">
        <v>802</v>
      </c>
      <c r="J197" s="11" t="s">
        <v>803</v>
      </c>
      <c r="K197" s="12" t="s">
        <v>17</v>
      </c>
      <c r="L197" s="10" t="s">
        <v>804</v>
      </c>
      <c r="M197" s="10" t="s">
        <v>15</v>
      </c>
      <c r="N197" s="2" t="s">
        <v>17</v>
      </c>
      <c r="O197" s="2" t="s">
        <v>17</v>
      </c>
      <c r="P197" s="2" t="s">
        <v>17</v>
      </c>
      <c r="S197" s="13"/>
    </row>
    <row r="198" spans="1:19" x14ac:dyDescent="0.2">
      <c r="A198" s="2">
        <v>195</v>
      </c>
      <c r="B198" s="8">
        <v>350313019</v>
      </c>
      <c r="C198" s="8" t="s">
        <v>801</v>
      </c>
      <c r="D198" s="8" t="s">
        <v>17</v>
      </c>
      <c r="E198" s="9" t="s">
        <v>728</v>
      </c>
      <c r="F198" s="10" t="s">
        <v>370</v>
      </c>
      <c r="G198" s="10" t="s">
        <v>801</v>
      </c>
      <c r="H198" s="10" t="s">
        <v>735</v>
      </c>
      <c r="I198" s="11" t="s">
        <v>805</v>
      </c>
      <c r="J198" s="11" t="s">
        <v>806</v>
      </c>
      <c r="K198" s="12" t="s">
        <v>17</v>
      </c>
      <c r="L198" s="10" t="s">
        <v>804</v>
      </c>
      <c r="M198" s="10" t="s">
        <v>15</v>
      </c>
      <c r="N198" s="2" t="s">
        <v>17</v>
      </c>
      <c r="O198" s="2" t="s">
        <v>17</v>
      </c>
      <c r="P198" s="2" t="s">
        <v>17</v>
      </c>
      <c r="S198" s="13"/>
    </row>
    <row r="199" spans="1:19" x14ac:dyDescent="0.2">
      <c r="A199" s="2">
        <v>196</v>
      </c>
      <c r="B199" s="8">
        <v>350313020</v>
      </c>
      <c r="C199" s="8" t="s">
        <v>807</v>
      </c>
      <c r="D199" s="8" t="s">
        <v>17</v>
      </c>
      <c r="E199" s="9" t="s">
        <v>728</v>
      </c>
      <c r="F199" s="10" t="s">
        <v>807</v>
      </c>
      <c r="G199" s="10" t="s">
        <v>808</v>
      </c>
      <c r="H199" s="10" t="s">
        <v>735</v>
      </c>
      <c r="I199" s="11" t="s">
        <v>809</v>
      </c>
      <c r="J199" s="11" t="s">
        <v>810</v>
      </c>
      <c r="K199" s="12" t="s">
        <v>17</v>
      </c>
      <c r="L199" s="10" t="s">
        <v>804</v>
      </c>
      <c r="M199" s="10" t="s">
        <v>15</v>
      </c>
      <c r="N199" s="2" t="s">
        <v>17</v>
      </c>
      <c r="O199" s="2" t="s">
        <v>17</v>
      </c>
      <c r="P199" s="2" t="s">
        <v>17</v>
      </c>
      <c r="S199" s="13"/>
    </row>
    <row r="200" spans="1:19" x14ac:dyDescent="0.2">
      <c r="A200" s="2">
        <v>197</v>
      </c>
      <c r="B200" s="8">
        <v>350313021</v>
      </c>
      <c r="C200" s="8" t="s">
        <v>811</v>
      </c>
      <c r="D200" s="8" t="s">
        <v>17</v>
      </c>
      <c r="E200" s="9" t="s">
        <v>728</v>
      </c>
      <c r="F200" s="10" t="s">
        <v>812</v>
      </c>
      <c r="G200" s="10" t="s">
        <v>812</v>
      </c>
      <c r="H200" s="10" t="s">
        <v>735</v>
      </c>
      <c r="I200" s="11" t="s">
        <v>813</v>
      </c>
      <c r="J200" s="11" t="s">
        <v>814</v>
      </c>
      <c r="K200" s="12" t="s">
        <v>17</v>
      </c>
      <c r="L200" s="10" t="s">
        <v>804</v>
      </c>
      <c r="M200" s="10" t="s">
        <v>15</v>
      </c>
      <c r="N200" s="2" t="s">
        <v>17</v>
      </c>
      <c r="O200" s="2" t="s">
        <v>17</v>
      </c>
      <c r="P200" s="2" t="s">
        <v>17</v>
      </c>
      <c r="S200" s="13"/>
    </row>
    <row r="201" spans="1:19" x14ac:dyDescent="0.2">
      <c r="A201" s="2">
        <v>198</v>
      </c>
      <c r="B201" s="8">
        <v>350313022</v>
      </c>
      <c r="C201" s="8" t="s">
        <v>815</v>
      </c>
      <c r="D201" s="8" t="s">
        <v>17</v>
      </c>
      <c r="E201" s="9" t="s">
        <v>728</v>
      </c>
      <c r="F201" s="10" t="s">
        <v>816</v>
      </c>
      <c r="G201" s="10" t="s">
        <v>808</v>
      </c>
      <c r="H201" s="10" t="s">
        <v>735</v>
      </c>
      <c r="I201" s="11" t="s">
        <v>817</v>
      </c>
      <c r="J201" s="11" t="s">
        <v>818</v>
      </c>
      <c r="K201" s="12" t="s">
        <v>17</v>
      </c>
      <c r="L201" s="10" t="s">
        <v>804</v>
      </c>
      <c r="M201" s="10" t="s">
        <v>15</v>
      </c>
      <c r="N201" s="2" t="s">
        <v>17</v>
      </c>
      <c r="O201" s="2" t="s">
        <v>17</v>
      </c>
      <c r="P201" s="2" t="s">
        <v>17</v>
      </c>
      <c r="S201" s="13"/>
    </row>
    <row r="202" spans="1:19" x14ac:dyDescent="0.2">
      <c r="A202" s="2">
        <v>199</v>
      </c>
      <c r="B202" s="8">
        <v>350313023</v>
      </c>
      <c r="C202" s="8" t="s">
        <v>819</v>
      </c>
      <c r="D202" s="8" t="s">
        <v>17</v>
      </c>
      <c r="E202" s="9" t="s">
        <v>728</v>
      </c>
      <c r="F202" s="10" t="s">
        <v>820</v>
      </c>
      <c r="G202" s="10" t="s">
        <v>808</v>
      </c>
      <c r="H202" s="10" t="s">
        <v>735</v>
      </c>
      <c r="I202" s="11" t="s">
        <v>821</v>
      </c>
      <c r="J202" s="11" t="s">
        <v>822</v>
      </c>
      <c r="K202" s="12" t="s">
        <v>17</v>
      </c>
      <c r="L202" s="10" t="s">
        <v>804</v>
      </c>
      <c r="M202" s="10" t="s">
        <v>15</v>
      </c>
      <c r="N202" s="2" t="s">
        <v>17</v>
      </c>
      <c r="O202" s="2" t="s">
        <v>17</v>
      </c>
      <c r="P202" s="2" t="s">
        <v>17</v>
      </c>
      <c r="S202" s="13"/>
    </row>
    <row r="203" spans="1:19" x14ac:dyDescent="0.2">
      <c r="A203" s="2">
        <v>200</v>
      </c>
      <c r="B203" s="8">
        <v>350313024</v>
      </c>
      <c r="C203" s="8" t="s">
        <v>823</v>
      </c>
      <c r="D203" s="8" t="s">
        <v>17</v>
      </c>
      <c r="E203" s="9" t="s">
        <v>728</v>
      </c>
      <c r="F203" s="10" t="s">
        <v>823</v>
      </c>
      <c r="G203" s="10" t="s">
        <v>808</v>
      </c>
      <c r="H203" s="10" t="s">
        <v>735</v>
      </c>
      <c r="I203" s="11" t="s">
        <v>824</v>
      </c>
      <c r="J203" s="11" t="s">
        <v>825</v>
      </c>
      <c r="K203" s="12" t="s">
        <v>17</v>
      </c>
      <c r="L203" s="10" t="s">
        <v>804</v>
      </c>
      <c r="M203" s="10" t="s">
        <v>15</v>
      </c>
      <c r="N203" s="2" t="s">
        <v>17</v>
      </c>
      <c r="O203" s="2" t="s">
        <v>17</v>
      </c>
      <c r="P203" s="2" t="s">
        <v>17</v>
      </c>
      <c r="S203" s="13"/>
    </row>
    <row r="204" spans="1:19" x14ac:dyDescent="0.2">
      <c r="A204" s="2">
        <v>201</v>
      </c>
      <c r="B204" s="8">
        <v>350313025</v>
      </c>
      <c r="C204" s="8" t="s">
        <v>808</v>
      </c>
      <c r="D204" s="8" t="s">
        <v>17</v>
      </c>
      <c r="E204" s="9" t="s">
        <v>728</v>
      </c>
      <c r="F204" s="10" t="s">
        <v>826</v>
      </c>
      <c r="G204" s="10" t="s">
        <v>808</v>
      </c>
      <c r="H204" s="10" t="s">
        <v>735</v>
      </c>
      <c r="I204" s="11" t="s">
        <v>827</v>
      </c>
      <c r="J204" s="11" t="s">
        <v>828</v>
      </c>
      <c r="K204" s="12" t="s">
        <v>17</v>
      </c>
      <c r="L204" s="10" t="s">
        <v>804</v>
      </c>
      <c r="M204" s="10" t="s">
        <v>15</v>
      </c>
      <c r="N204" s="2" t="s">
        <v>17</v>
      </c>
      <c r="O204" s="2" t="s">
        <v>17</v>
      </c>
      <c r="P204" s="2" t="s">
        <v>17</v>
      </c>
      <c r="S204" s="13"/>
    </row>
    <row r="205" spans="1:19" x14ac:dyDescent="0.2">
      <c r="A205" s="2">
        <v>202</v>
      </c>
      <c r="B205" s="8">
        <v>350313026</v>
      </c>
      <c r="C205" s="8" t="s">
        <v>829</v>
      </c>
      <c r="D205" s="8" t="s">
        <v>17</v>
      </c>
      <c r="E205" s="9" t="s">
        <v>728</v>
      </c>
      <c r="F205" s="10" t="s">
        <v>830</v>
      </c>
      <c r="G205" s="10" t="s">
        <v>808</v>
      </c>
      <c r="H205" s="10" t="s">
        <v>735</v>
      </c>
      <c r="I205" s="11" t="s">
        <v>831</v>
      </c>
      <c r="J205" s="11" t="s">
        <v>832</v>
      </c>
      <c r="K205" s="12" t="s">
        <v>17</v>
      </c>
      <c r="L205" s="10" t="s">
        <v>804</v>
      </c>
      <c r="M205" s="10" t="s">
        <v>15</v>
      </c>
      <c r="N205" s="2" t="s">
        <v>17</v>
      </c>
      <c r="O205" s="2" t="s">
        <v>17</v>
      </c>
      <c r="P205" s="2" t="s">
        <v>17</v>
      </c>
      <c r="S205" s="13"/>
    </row>
    <row r="206" spans="1:19" x14ac:dyDescent="0.2">
      <c r="A206" s="2">
        <v>203</v>
      </c>
      <c r="B206" s="8">
        <v>350313027</v>
      </c>
      <c r="C206" s="8" t="s">
        <v>833</v>
      </c>
      <c r="D206" s="8" t="s">
        <v>17</v>
      </c>
      <c r="E206" s="9" t="s">
        <v>728</v>
      </c>
      <c r="F206" s="10" t="s">
        <v>833</v>
      </c>
      <c r="G206" s="10" t="s">
        <v>723</v>
      </c>
      <c r="H206" s="10" t="s">
        <v>735</v>
      </c>
      <c r="I206" s="11" t="s">
        <v>834</v>
      </c>
      <c r="J206" s="11" t="s">
        <v>835</v>
      </c>
      <c r="K206" s="12" t="s">
        <v>17</v>
      </c>
      <c r="L206" s="10" t="s">
        <v>804</v>
      </c>
      <c r="M206" s="10" t="s">
        <v>15</v>
      </c>
      <c r="N206" s="2" t="s">
        <v>17</v>
      </c>
      <c r="O206" s="2" t="s">
        <v>17</v>
      </c>
      <c r="P206" s="2" t="s">
        <v>17</v>
      </c>
      <c r="S206" s="13"/>
    </row>
    <row r="207" spans="1:19" x14ac:dyDescent="0.2">
      <c r="A207" s="2">
        <v>204</v>
      </c>
      <c r="B207" s="8">
        <v>350313028</v>
      </c>
      <c r="C207" s="8" t="s">
        <v>836</v>
      </c>
      <c r="D207" s="8" t="s">
        <v>17</v>
      </c>
      <c r="E207" s="9" t="s">
        <v>728</v>
      </c>
      <c r="F207" s="10" t="s">
        <v>837</v>
      </c>
      <c r="G207" s="10" t="s">
        <v>723</v>
      </c>
      <c r="H207" s="10" t="s">
        <v>735</v>
      </c>
      <c r="I207" s="11" t="s">
        <v>838</v>
      </c>
      <c r="J207" s="11" t="s">
        <v>839</v>
      </c>
      <c r="K207" s="12" t="s">
        <v>17</v>
      </c>
      <c r="L207" s="10" t="s">
        <v>804</v>
      </c>
      <c r="M207" s="10" t="s">
        <v>15</v>
      </c>
      <c r="N207" s="2" t="s">
        <v>17</v>
      </c>
      <c r="O207" s="2" t="s">
        <v>17</v>
      </c>
      <c r="P207" s="2" t="s">
        <v>17</v>
      </c>
      <c r="S207" s="13"/>
    </row>
    <row r="208" spans="1:19" x14ac:dyDescent="0.2">
      <c r="A208" s="2">
        <v>205</v>
      </c>
      <c r="B208" s="8">
        <v>350313029</v>
      </c>
      <c r="C208" s="8" t="s">
        <v>840</v>
      </c>
      <c r="D208" s="8" t="s">
        <v>17</v>
      </c>
      <c r="E208" s="9" t="s">
        <v>728</v>
      </c>
      <c r="F208" s="10" t="s">
        <v>841</v>
      </c>
      <c r="G208" s="10" t="s">
        <v>842</v>
      </c>
      <c r="H208" s="10" t="s">
        <v>735</v>
      </c>
      <c r="I208" s="11" t="s">
        <v>843</v>
      </c>
      <c r="J208" s="11" t="s">
        <v>844</v>
      </c>
      <c r="K208" s="12" t="s">
        <v>17</v>
      </c>
      <c r="L208" s="10" t="s">
        <v>804</v>
      </c>
      <c r="M208" s="10" t="s">
        <v>15</v>
      </c>
      <c r="N208" s="2" t="s">
        <v>17</v>
      </c>
      <c r="O208" s="2" t="s">
        <v>17</v>
      </c>
      <c r="P208" s="2" t="s">
        <v>17</v>
      </c>
      <c r="S208" s="13"/>
    </row>
    <row r="209" spans="1:19" x14ac:dyDescent="0.2">
      <c r="A209" s="2">
        <v>206</v>
      </c>
      <c r="B209" s="8">
        <v>350313030</v>
      </c>
      <c r="C209" s="8" t="s">
        <v>842</v>
      </c>
      <c r="D209" s="8" t="s">
        <v>17</v>
      </c>
      <c r="E209" s="9" t="s">
        <v>728</v>
      </c>
      <c r="F209" s="10" t="s">
        <v>845</v>
      </c>
      <c r="G209" s="10" t="s">
        <v>842</v>
      </c>
      <c r="H209" s="10" t="s">
        <v>735</v>
      </c>
      <c r="I209" s="11" t="s">
        <v>846</v>
      </c>
      <c r="J209" s="11" t="s">
        <v>847</v>
      </c>
      <c r="K209" s="12" t="s">
        <v>17</v>
      </c>
      <c r="L209" s="10" t="s">
        <v>804</v>
      </c>
      <c r="M209" s="10" t="s">
        <v>15</v>
      </c>
      <c r="N209" s="2" t="s">
        <v>17</v>
      </c>
      <c r="O209" s="2" t="s">
        <v>17</v>
      </c>
      <c r="P209" s="2" t="s">
        <v>17</v>
      </c>
      <c r="S209" s="13"/>
    </row>
    <row r="210" spans="1:19" x14ac:dyDescent="0.2">
      <c r="A210" s="2">
        <v>207</v>
      </c>
      <c r="B210" s="8">
        <v>350313031</v>
      </c>
      <c r="C210" s="8" t="s">
        <v>848</v>
      </c>
      <c r="D210" s="8" t="s">
        <v>17</v>
      </c>
      <c r="E210" s="9" t="s">
        <v>728</v>
      </c>
      <c r="F210" s="10" t="s">
        <v>848</v>
      </c>
      <c r="G210" s="10" t="s">
        <v>849</v>
      </c>
      <c r="H210" s="10" t="s">
        <v>735</v>
      </c>
      <c r="I210" s="11" t="s">
        <v>850</v>
      </c>
      <c r="J210" s="11" t="s">
        <v>851</v>
      </c>
      <c r="K210" s="12" t="s">
        <v>17</v>
      </c>
      <c r="L210" s="10" t="s">
        <v>804</v>
      </c>
      <c r="M210" s="10" t="s">
        <v>15</v>
      </c>
      <c r="N210" s="2" t="s">
        <v>17</v>
      </c>
      <c r="O210" s="2" t="s">
        <v>17</v>
      </c>
      <c r="P210" s="2" t="s">
        <v>17</v>
      </c>
      <c r="S210" s="13"/>
    </row>
    <row r="211" spans="1:19" x14ac:dyDescent="0.2">
      <c r="A211" s="2">
        <v>208</v>
      </c>
      <c r="B211" s="8">
        <v>350313032</v>
      </c>
      <c r="C211" s="8" t="s">
        <v>849</v>
      </c>
      <c r="D211" s="8" t="s">
        <v>17</v>
      </c>
      <c r="E211" s="9" t="s">
        <v>728</v>
      </c>
      <c r="F211" s="10" t="s">
        <v>852</v>
      </c>
      <c r="G211" s="10" t="s">
        <v>849</v>
      </c>
      <c r="H211" s="10" t="s">
        <v>735</v>
      </c>
      <c r="I211" s="11" t="s">
        <v>853</v>
      </c>
      <c r="J211" s="11" t="s">
        <v>854</v>
      </c>
      <c r="K211" s="12" t="s">
        <v>17</v>
      </c>
      <c r="L211" s="10" t="s">
        <v>804</v>
      </c>
      <c r="M211" s="10" t="s">
        <v>15</v>
      </c>
      <c r="N211" s="2" t="s">
        <v>17</v>
      </c>
      <c r="O211" s="2" t="s">
        <v>17</v>
      </c>
      <c r="P211" s="2" t="s">
        <v>17</v>
      </c>
      <c r="S211" s="13"/>
    </row>
    <row r="212" spans="1:19" x14ac:dyDescent="0.2">
      <c r="A212" s="2">
        <v>209</v>
      </c>
      <c r="B212" s="8">
        <v>350313033</v>
      </c>
      <c r="C212" s="8" t="s">
        <v>855</v>
      </c>
      <c r="D212" s="8" t="s">
        <v>17</v>
      </c>
      <c r="E212" s="9" t="s">
        <v>728</v>
      </c>
      <c r="F212" s="10" t="s">
        <v>855</v>
      </c>
      <c r="G212" s="10" t="s">
        <v>855</v>
      </c>
      <c r="H212" s="10" t="s">
        <v>735</v>
      </c>
      <c r="I212" s="11" t="s">
        <v>856</v>
      </c>
      <c r="J212" s="11" t="s">
        <v>857</v>
      </c>
      <c r="K212" s="12" t="s">
        <v>17</v>
      </c>
      <c r="L212" s="10" t="s">
        <v>804</v>
      </c>
      <c r="M212" s="10" t="s">
        <v>15</v>
      </c>
      <c r="N212" s="2" t="s">
        <v>17</v>
      </c>
      <c r="O212" s="2" t="s">
        <v>17</v>
      </c>
      <c r="P212" s="2" t="s">
        <v>17</v>
      </c>
      <c r="S212" s="13"/>
    </row>
    <row r="213" spans="1:19" x14ac:dyDescent="0.2">
      <c r="A213" s="2">
        <v>210</v>
      </c>
      <c r="B213" s="8">
        <v>350313034</v>
      </c>
      <c r="C213" s="8" t="s">
        <v>858</v>
      </c>
      <c r="D213" s="8" t="s">
        <v>17</v>
      </c>
      <c r="E213" s="9" t="s">
        <v>728</v>
      </c>
      <c r="F213" s="10" t="s">
        <v>855</v>
      </c>
      <c r="G213" s="10" t="s">
        <v>855</v>
      </c>
      <c r="H213" s="10" t="s">
        <v>735</v>
      </c>
      <c r="I213" s="11" t="s">
        <v>859</v>
      </c>
      <c r="J213" s="11" t="s">
        <v>860</v>
      </c>
      <c r="K213" s="12" t="s">
        <v>17</v>
      </c>
      <c r="L213" s="10" t="s">
        <v>804</v>
      </c>
      <c r="M213" s="10" t="s">
        <v>15</v>
      </c>
      <c r="N213" s="2" t="s">
        <v>17</v>
      </c>
      <c r="O213" s="2" t="s">
        <v>17</v>
      </c>
      <c r="P213" s="2" t="s">
        <v>17</v>
      </c>
      <c r="S213" s="13"/>
    </row>
    <row r="214" spans="1:19" x14ac:dyDescent="0.2">
      <c r="A214" s="2">
        <v>211</v>
      </c>
      <c r="B214" s="8">
        <v>350313035</v>
      </c>
      <c r="C214" s="8" t="s">
        <v>861</v>
      </c>
      <c r="D214" s="8" t="s">
        <v>17</v>
      </c>
      <c r="E214" s="9" t="s">
        <v>728</v>
      </c>
      <c r="F214" s="10" t="s">
        <v>862</v>
      </c>
      <c r="G214" s="10" t="s">
        <v>855</v>
      </c>
      <c r="H214" s="10" t="s">
        <v>735</v>
      </c>
      <c r="I214" s="11" t="s">
        <v>863</v>
      </c>
      <c r="J214" s="11" t="s">
        <v>864</v>
      </c>
      <c r="K214" s="12" t="s">
        <v>17</v>
      </c>
      <c r="L214" s="10" t="s">
        <v>804</v>
      </c>
      <c r="M214" s="10" t="s">
        <v>15</v>
      </c>
      <c r="N214" s="2" t="s">
        <v>17</v>
      </c>
      <c r="O214" s="2" t="s">
        <v>17</v>
      </c>
      <c r="P214" s="2" t="s">
        <v>17</v>
      </c>
      <c r="S214" s="13"/>
    </row>
    <row r="215" spans="1:19" x14ac:dyDescent="0.2">
      <c r="A215" s="2">
        <v>212</v>
      </c>
      <c r="B215" s="8">
        <v>350313036</v>
      </c>
      <c r="C215" s="8" t="s">
        <v>865</v>
      </c>
      <c r="D215" s="8" t="s">
        <v>17</v>
      </c>
      <c r="E215" s="9" t="s">
        <v>728</v>
      </c>
      <c r="F215" s="10" t="s">
        <v>866</v>
      </c>
      <c r="G215" s="10" t="s">
        <v>723</v>
      </c>
      <c r="H215" s="10" t="s">
        <v>735</v>
      </c>
      <c r="I215" s="11" t="s">
        <v>867</v>
      </c>
      <c r="J215" s="11" t="s">
        <v>868</v>
      </c>
      <c r="K215" s="12" t="s">
        <v>17</v>
      </c>
      <c r="L215" s="10" t="s">
        <v>804</v>
      </c>
      <c r="M215" s="10" t="s">
        <v>15</v>
      </c>
      <c r="N215" s="2" t="s">
        <v>17</v>
      </c>
      <c r="O215" s="2" t="s">
        <v>17</v>
      </c>
      <c r="P215" s="2" t="s">
        <v>17</v>
      </c>
      <c r="S215" s="13"/>
    </row>
    <row r="216" spans="1:19" x14ac:dyDescent="0.2">
      <c r="A216" s="2">
        <v>213</v>
      </c>
      <c r="B216" s="8">
        <v>350313037</v>
      </c>
      <c r="C216" s="8" t="s">
        <v>869</v>
      </c>
      <c r="D216" s="8" t="s">
        <v>17</v>
      </c>
      <c r="E216" s="9" t="s">
        <v>728</v>
      </c>
      <c r="F216" s="10" t="s">
        <v>869</v>
      </c>
      <c r="G216" s="10" t="s">
        <v>842</v>
      </c>
      <c r="H216" s="10" t="s">
        <v>735</v>
      </c>
      <c r="I216" s="11" t="s">
        <v>870</v>
      </c>
      <c r="J216" s="11" t="s">
        <v>871</v>
      </c>
      <c r="K216" s="12" t="s">
        <v>17</v>
      </c>
      <c r="L216" s="10" t="s">
        <v>804</v>
      </c>
      <c r="M216" s="10" t="s">
        <v>15</v>
      </c>
      <c r="N216" s="2" t="s">
        <v>17</v>
      </c>
      <c r="O216" s="2" t="s">
        <v>17</v>
      </c>
      <c r="P216" s="2" t="s">
        <v>17</v>
      </c>
      <c r="S216" s="13"/>
    </row>
    <row r="217" spans="1:19" x14ac:dyDescent="0.2">
      <c r="A217" s="2">
        <v>214</v>
      </c>
      <c r="B217" s="8">
        <v>350313038</v>
      </c>
      <c r="C217" s="8" t="s">
        <v>872</v>
      </c>
      <c r="D217" s="8" t="s">
        <v>17</v>
      </c>
      <c r="E217" s="9" t="s">
        <v>728</v>
      </c>
      <c r="F217" s="10" t="s">
        <v>873</v>
      </c>
      <c r="G217" s="10" t="s">
        <v>723</v>
      </c>
      <c r="H217" s="10" t="s">
        <v>735</v>
      </c>
      <c r="I217" s="11" t="s">
        <v>874</v>
      </c>
      <c r="J217" s="11" t="s">
        <v>875</v>
      </c>
      <c r="K217" s="12" t="s">
        <v>17</v>
      </c>
      <c r="L217" s="10" t="s">
        <v>804</v>
      </c>
      <c r="M217" s="10" t="s">
        <v>15</v>
      </c>
      <c r="N217" s="2" t="s">
        <v>17</v>
      </c>
      <c r="O217" s="2" t="s">
        <v>17</v>
      </c>
      <c r="P217" s="2" t="s">
        <v>17</v>
      </c>
      <c r="S217" s="13"/>
    </row>
    <row r="218" spans="1:19" x14ac:dyDescent="0.2">
      <c r="A218" s="2">
        <v>215</v>
      </c>
      <c r="B218" s="8">
        <v>350313039</v>
      </c>
      <c r="C218" s="8" t="s">
        <v>866</v>
      </c>
      <c r="D218" s="8" t="s">
        <v>17</v>
      </c>
      <c r="E218" s="9" t="s">
        <v>728</v>
      </c>
      <c r="F218" s="10" t="s">
        <v>866</v>
      </c>
      <c r="G218" s="10" t="s">
        <v>866</v>
      </c>
      <c r="H218" s="10" t="s">
        <v>735</v>
      </c>
      <c r="I218" s="11" t="s">
        <v>876</v>
      </c>
      <c r="J218" s="11" t="s">
        <v>877</v>
      </c>
      <c r="K218" s="12" t="s">
        <v>17</v>
      </c>
      <c r="L218" s="10" t="s">
        <v>804</v>
      </c>
      <c r="M218" s="10" t="s">
        <v>15</v>
      </c>
      <c r="N218" s="2" t="s">
        <v>17</v>
      </c>
      <c r="O218" s="2" t="s">
        <v>17</v>
      </c>
      <c r="P218" s="2" t="s">
        <v>17</v>
      </c>
      <c r="S218" s="13"/>
    </row>
    <row r="219" spans="1:19" x14ac:dyDescent="0.2">
      <c r="A219" s="2">
        <v>216</v>
      </c>
      <c r="B219" s="8">
        <v>350313040</v>
      </c>
      <c r="C219" s="8" t="s">
        <v>878</v>
      </c>
      <c r="D219" s="8" t="s">
        <v>17</v>
      </c>
      <c r="E219" s="9" t="s">
        <v>728</v>
      </c>
      <c r="F219" s="10" t="s">
        <v>879</v>
      </c>
      <c r="G219" s="10" t="s">
        <v>723</v>
      </c>
      <c r="H219" s="10" t="s">
        <v>735</v>
      </c>
      <c r="I219" s="11" t="s">
        <v>880</v>
      </c>
      <c r="J219" s="11" t="s">
        <v>881</v>
      </c>
      <c r="K219" s="12" t="s">
        <v>17</v>
      </c>
      <c r="L219" s="10" t="s">
        <v>804</v>
      </c>
      <c r="M219" s="10" t="s">
        <v>15</v>
      </c>
      <c r="N219" s="2" t="s">
        <v>17</v>
      </c>
      <c r="O219" s="2" t="s">
        <v>17</v>
      </c>
      <c r="P219" s="2" t="s">
        <v>17</v>
      </c>
      <c r="S219" s="13"/>
    </row>
    <row r="220" spans="1:19" x14ac:dyDescent="0.2">
      <c r="A220" s="2">
        <v>217</v>
      </c>
      <c r="B220" s="8">
        <v>350313041</v>
      </c>
      <c r="C220" s="8" t="s">
        <v>882</v>
      </c>
      <c r="D220" s="8" t="s">
        <v>17</v>
      </c>
      <c r="E220" s="9" t="s">
        <v>728</v>
      </c>
      <c r="F220" s="10" t="s">
        <v>883</v>
      </c>
      <c r="G220" s="10" t="s">
        <v>884</v>
      </c>
      <c r="H220" s="10" t="s">
        <v>735</v>
      </c>
      <c r="I220" s="11" t="s">
        <v>885</v>
      </c>
      <c r="J220" s="11" t="s">
        <v>886</v>
      </c>
      <c r="K220" s="12" t="s">
        <v>17</v>
      </c>
      <c r="L220" s="10" t="s">
        <v>804</v>
      </c>
      <c r="M220" s="10" t="s">
        <v>15</v>
      </c>
      <c r="N220" s="2" t="s">
        <v>17</v>
      </c>
      <c r="O220" s="2" t="s">
        <v>17</v>
      </c>
      <c r="P220" s="2" t="s">
        <v>17</v>
      </c>
      <c r="S220" s="13"/>
    </row>
    <row r="221" spans="1:19" x14ac:dyDescent="0.2">
      <c r="A221" s="2">
        <v>218</v>
      </c>
      <c r="B221" s="8">
        <v>350313042</v>
      </c>
      <c r="C221" s="8" t="s">
        <v>884</v>
      </c>
      <c r="D221" s="8" t="s">
        <v>17</v>
      </c>
      <c r="E221" s="9" t="s">
        <v>728</v>
      </c>
      <c r="F221" s="10" t="s">
        <v>884</v>
      </c>
      <c r="G221" s="10" t="s">
        <v>884</v>
      </c>
      <c r="H221" s="10" t="s">
        <v>735</v>
      </c>
      <c r="I221" s="11" t="s">
        <v>887</v>
      </c>
      <c r="J221" s="11" t="s">
        <v>888</v>
      </c>
      <c r="K221" s="12" t="s">
        <v>17</v>
      </c>
      <c r="L221" s="10" t="s">
        <v>804</v>
      </c>
      <c r="M221" s="10" t="s">
        <v>15</v>
      </c>
      <c r="N221" s="2" t="s">
        <v>17</v>
      </c>
      <c r="O221" s="2" t="s">
        <v>17</v>
      </c>
      <c r="P221" s="2" t="s">
        <v>17</v>
      </c>
      <c r="S221" s="13"/>
    </row>
    <row r="222" spans="1:19" x14ac:dyDescent="0.2">
      <c r="A222" s="2">
        <v>219</v>
      </c>
      <c r="B222" s="8">
        <v>350313043</v>
      </c>
      <c r="C222" s="8" t="s">
        <v>889</v>
      </c>
      <c r="D222" s="8" t="s">
        <v>17</v>
      </c>
      <c r="E222" s="9" t="s">
        <v>728</v>
      </c>
      <c r="F222" s="10" t="s">
        <v>890</v>
      </c>
      <c r="G222" s="10" t="s">
        <v>884</v>
      </c>
      <c r="H222" s="10" t="s">
        <v>735</v>
      </c>
      <c r="I222" s="11" t="s">
        <v>891</v>
      </c>
      <c r="J222" s="11" t="s">
        <v>892</v>
      </c>
      <c r="K222" s="12" t="s">
        <v>17</v>
      </c>
      <c r="L222" s="10" t="s">
        <v>804</v>
      </c>
      <c r="M222" s="10" t="s">
        <v>15</v>
      </c>
      <c r="N222" s="2" t="s">
        <v>17</v>
      </c>
      <c r="O222" s="2" t="s">
        <v>17</v>
      </c>
      <c r="P222" s="2" t="s">
        <v>17</v>
      </c>
      <c r="S222" s="13"/>
    </row>
    <row r="223" spans="1:19" x14ac:dyDescent="0.2">
      <c r="A223" s="2">
        <v>220</v>
      </c>
      <c r="B223" s="8">
        <v>350313044</v>
      </c>
      <c r="C223" s="8" t="s">
        <v>893</v>
      </c>
      <c r="D223" s="8" t="s">
        <v>17</v>
      </c>
      <c r="E223" s="9" t="s">
        <v>728</v>
      </c>
      <c r="F223" s="10" t="s">
        <v>893</v>
      </c>
      <c r="G223" s="10" t="s">
        <v>884</v>
      </c>
      <c r="H223" s="10" t="s">
        <v>735</v>
      </c>
      <c r="I223" s="11" t="s">
        <v>894</v>
      </c>
      <c r="J223" s="11" t="s">
        <v>895</v>
      </c>
      <c r="K223" s="12" t="s">
        <v>17</v>
      </c>
      <c r="L223" s="10" t="s">
        <v>804</v>
      </c>
      <c r="M223" s="10" t="s">
        <v>15</v>
      </c>
      <c r="N223" s="2" t="s">
        <v>17</v>
      </c>
      <c r="O223" s="2" t="s">
        <v>17</v>
      </c>
      <c r="P223" s="2" t="s">
        <v>17</v>
      </c>
      <c r="S223" s="13"/>
    </row>
    <row r="224" spans="1:19" x14ac:dyDescent="0.2">
      <c r="A224" s="2">
        <v>221</v>
      </c>
      <c r="B224" s="8">
        <v>350313045</v>
      </c>
      <c r="C224" s="8" t="s">
        <v>896</v>
      </c>
      <c r="D224" s="8" t="s">
        <v>17</v>
      </c>
      <c r="E224" s="9" t="s">
        <v>728</v>
      </c>
      <c r="F224" s="10" t="s">
        <v>896</v>
      </c>
      <c r="G224" s="10" t="s">
        <v>897</v>
      </c>
      <c r="H224" s="10" t="s">
        <v>735</v>
      </c>
      <c r="I224" s="11" t="s">
        <v>898</v>
      </c>
      <c r="J224" s="11" t="s">
        <v>899</v>
      </c>
      <c r="K224" s="12" t="s">
        <v>17</v>
      </c>
      <c r="L224" s="10" t="s">
        <v>804</v>
      </c>
      <c r="M224" s="10" t="s">
        <v>15</v>
      </c>
      <c r="N224" s="2" t="s">
        <v>17</v>
      </c>
      <c r="O224" s="2" t="s">
        <v>17</v>
      </c>
      <c r="P224" s="2" t="s">
        <v>17</v>
      </c>
      <c r="S224" s="13"/>
    </row>
    <row r="225" spans="1:19" x14ac:dyDescent="0.2">
      <c r="A225" s="2">
        <v>222</v>
      </c>
      <c r="B225" s="8">
        <v>350313046</v>
      </c>
      <c r="C225" s="8" t="s">
        <v>897</v>
      </c>
      <c r="D225" s="8" t="s">
        <v>17</v>
      </c>
      <c r="E225" s="9" t="s">
        <v>728</v>
      </c>
      <c r="F225" s="10" t="s">
        <v>897</v>
      </c>
      <c r="G225" s="10" t="s">
        <v>897</v>
      </c>
      <c r="H225" s="10" t="s">
        <v>735</v>
      </c>
      <c r="I225" s="11" t="s">
        <v>900</v>
      </c>
      <c r="J225" s="11" t="s">
        <v>901</v>
      </c>
      <c r="K225" s="12" t="s">
        <v>17</v>
      </c>
      <c r="L225" s="10" t="s">
        <v>804</v>
      </c>
      <c r="M225" s="10" t="s">
        <v>15</v>
      </c>
      <c r="N225" s="2" t="s">
        <v>17</v>
      </c>
      <c r="O225" s="2" t="s">
        <v>17</v>
      </c>
      <c r="P225" s="2" t="s">
        <v>17</v>
      </c>
      <c r="S225" s="13"/>
    </row>
    <row r="226" spans="1:19" x14ac:dyDescent="0.2">
      <c r="A226" s="2">
        <v>223</v>
      </c>
      <c r="B226" s="8">
        <v>350313047</v>
      </c>
      <c r="C226" s="8" t="s">
        <v>902</v>
      </c>
      <c r="D226" s="8" t="s">
        <v>17</v>
      </c>
      <c r="E226" s="9" t="s">
        <v>728</v>
      </c>
      <c r="F226" s="10" t="s">
        <v>545</v>
      </c>
      <c r="G226" s="10" t="s">
        <v>545</v>
      </c>
      <c r="H226" s="10" t="s">
        <v>735</v>
      </c>
      <c r="I226" s="11" t="s">
        <v>903</v>
      </c>
      <c r="J226" s="11" t="s">
        <v>904</v>
      </c>
      <c r="K226" s="12" t="s">
        <v>17</v>
      </c>
      <c r="L226" s="10" t="s">
        <v>804</v>
      </c>
      <c r="M226" s="10" t="s">
        <v>15</v>
      </c>
      <c r="N226" s="2" t="s">
        <v>17</v>
      </c>
      <c r="O226" s="2" t="s">
        <v>17</v>
      </c>
      <c r="P226" s="2" t="s">
        <v>17</v>
      </c>
      <c r="S226" s="13"/>
    </row>
    <row r="227" spans="1:19" x14ac:dyDescent="0.2">
      <c r="A227" s="2">
        <v>224</v>
      </c>
      <c r="B227" s="8">
        <v>350313048</v>
      </c>
      <c r="C227" s="8" t="s">
        <v>905</v>
      </c>
      <c r="D227" s="8" t="s">
        <v>17</v>
      </c>
      <c r="E227" s="9" t="s">
        <v>728</v>
      </c>
      <c r="F227" s="10" t="s">
        <v>906</v>
      </c>
      <c r="G227" s="10" t="s">
        <v>545</v>
      </c>
      <c r="H227" s="10" t="s">
        <v>735</v>
      </c>
      <c r="I227" s="11" t="s">
        <v>907</v>
      </c>
      <c r="J227" s="11" t="s">
        <v>908</v>
      </c>
      <c r="K227" s="12" t="s">
        <v>17</v>
      </c>
      <c r="L227" s="10" t="s">
        <v>804</v>
      </c>
      <c r="M227" s="10" t="s">
        <v>15</v>
      </c>
      <c r="N227" s="2" t="s">
        <v>17</v>
      </c>
      <c r="O227" s="2" t="s">
        <v>17</v>
      </c>
      <c r="P227" s="2" t="s">
        <v>17</v>
      </c>
      <c r="S227" s="13"/>
    </row>
    <row r="228" spans="1:19" x14ac:dyDescent="0.2">
      <c r="A228" s="2">
        <v>225</v>
      </c>
      <c r="B228" s="8">
        <v>350313049</v>
      </c>
      <c r="C228" s="8" t="s">
        <v>909</v>
      </c>
      <c r="D228" s="8" t="s">
        <v>17</v>
      </c>
      <c r="E228" s="9" t="s">
        <v>728</v>
      </c>
      <c r="F228" s="10" t="s">
        <v>910</v>
      </c>
      <c r="G228" s="10" t="s">
        <v>911</v>
      </c>
      <c r="H228" s="10" t="s">
        <v>735</v>
      </c>
      <c r="I228" s="11" t="s">
        <v>912</v>
      </c>
      <c r="J228" s="11" t="s">
        <v>913</v>
      </c>
      <c r="K228" s="12" t="s">
        <v>17</v>
      </c>
      <c r="L228" s="10" t="s">
        <v>804</v>
      </c>
      <c r="M228" s="10" t="s">
        <v>15</v>
      </c>
      <c r="N228" s="2" t="s">
        <v>17</v>
      </c>
      <c r="O228" s="2" t="s">
        <v>17</v>
      </c>
      <c r="P228" s="2" t="s">
        <v>17</v>
      </c>
      <c r="S228" s="13"/>
    </row>
    <row r="229" spans="1:19" x14ac:dyDescent="0.2">
      <c r="A229" s="2">
        <v>226</v>
      </c>
      <c r="B229" s="8">
        <v>350313050</v>
      </c>
      <c r="C229" s="8" t="s">
        <v>914</v>
      </c>
      <c r="D229" s="8" t="s">
        <v>17</v>
      </c>
      <c r="E229" s="9" t="s">
        <v>728</v>
      </c>
      <c r="F229" s="10" t="s">
        <v>911</v>
      </c>
      <c r="G229" s="10" t="s">
        <v>911</v>
      </c>
      <c r="H229" s="10" t="s">
        <v>735</v>
      </c>
      <c r="I229" s="11" t="s">
        <v>915</v>
      </c>
      <c r="J229" s="11" t="s">
        <v>916</v>
      </c>
      <c r="K229" s="12" t="s">
        <v>17</v>
      </c>
      <c r="L229" s="10" t="s">
        <v>804</v>
      </c>
      <c r="M229" s="10" t="s">
        <v>15</v>
      </c>
      <c r="N229" s="2" t="s">
        <v>17</v>
      </c>
      <c r="O229" s="2" t="s">
        <v>17</v>
      </c>
      <c r="P229" s="2" t="s">
        <v>17</v>
      </c>
      <c r="S229" s="13"/>
    </row>
    <row r="230" spans="1:19" x14ac:dyDescent="0.2">
      <c r="A230" s="2">
        <v>227</v>
      </c>
      <c r="B230" s="8">
        <v>350313051</v>
      </c>
      <c r="C230" s="8" t="s">
        <v>917</v>
      </c>
      <c r="D230" s="8" t="s">
        <v>17</v>
      </c>
      <c r="E230" s="9" t="s">
        <v>728</v>
      </c>
      <c r="F230" s="10" t="s">
        <v>918</v>
      </c>
      <c r="G230" s="10" t="s">
        <v>919</v>
      </c>
      <c r="H230" s="10" t="s">
        <v>735</v>
      </c>
      <c r="I230" s="11" t="s">
        <v>920</v>
      </c>
      <c r="J230" s="11" t="s">
        <v>921</v>
      </c>
      <c r="K230" s="12" t="s">
        <v>17</v>
      </c>
      <c r="L230" s="10" t="s">
        <v>732</v>
      </c>
      <c r="M230" s="10" t="s">
        <v>15</v>
      </c>
      <c r="N230" s="2" t="s">
        <v>17</v>
      </c>
      <c r="O230" s="2" t="s">
        <v>17</v>
      </c>
      <c r="P230" s="2" t="s">
        <v>17</v>
      </c>
      <c r="S230" s="13"/>
    </row>
    <row r="231" spans="1:19" x14ac:dyDescent="0.2">
      <c r="A231" s="2">
        <v>228</v>
      </c>
      <c r="B231" s="8">
        <v>350313052</v>
      </c>
      <c r="C231" s="8" t="s">
        <v>919</v>
      </c>
      <c r="D231" s="8" t="s">
        <v>17</v>
      </c>
      <c r="E231" s="9" t="s">
        <v>728</v>
      </c>
      <c r="F231" s="10" t="s">
        <v>922</v>
      </c>
      <c r="G231" s="10" t="s">
        <v>919</v>
      </c>
      <c r="H231" s="10" t="s">
        <v>735</v>
      </c>
      <c r="I231" s="11" t="s">
        <v>923</v>
      </c>
      <c r="J231" s="11" t="s">
        <v>924</v>
      </c>
      <c r="K231" s="12" t="s">
        <v>17</v>
      </c>
      <c r="L231" s="10" t="s">
        <v>732</v>
      </c>
      <c r="M231" s="10" t="s">
        <v>15</v>
      </c>
      <c r="N231" s="2" t="s">
        <v>17</v>
      </c>
      <c r="O231" s="2" t="s">
        <v>17</v>
      </c>
      <c r="P231" s="2" t="s">
        <v>17</v>
      </c>
      <c r="S231" s="13"/>
    </row>
    <row r="232" spans="1:19" x14ac:dyDescent="0.2">
      <c r="A232" s="2">
        <v>229</v>
      </c>
      <c r="B232" s="8">
        <v>350313053</v>
      </c>
      <c r="C232" s="8" t="s">
        <v>925</v>
      </c>
      <c r="D232" s="8" t="s">
        <v>17</v>
      </c>
      <c r="E232" s="9" t="s">
        <v>728</v>
      </c>
      <c r="F232" s="10" t="s">
        <v>925</v>
      </c>
      <c r="G232" s="10" t="s">
        <v>926</v>
      </c>
      <c r="H232" s="10" t="s">
        <v>735</v>
      </c>
      <c r="I232" s="11" t="s">
        <v>927</v>
      </c>
      <c r="J232" s="11" t="s">
        <v>928</v>
      </c>
      <c r="K232" s="12" t="s">
        <v>17</v>
      </c>
      <c r="L232" s="10" t="s">
        <v>732</v>
      </c>
      <c r="M232" s="10" t="s">
        <v>15</v>
      </c>
      <c r="N232" s="2" t="s">
        <v>17</v>
      </c>
      <c r="O232" s="2" t="s">
        <v>17</v>
      </c>
      <c r="P232" s="2" t="s">
        <v>17</v>
      </c>
      <c r="S232" s="13"/>
    </row>
    <row r="233" spans="1:19" x14ac:dyDescent="0.2">
      <c r="A233" s="2">
        <v>230</v>
      </c>
      <c r="B233" s="8">
        <v>350314001</v>
      </c>
      <c r="C233" s="8" t="s">
        <v>929</v>
      </c>
      <c r="D233" s="8" t="s">
        <v>17</v>
      </c>
      <c r="E233" s="9" t="s">
        <v>728</v>
      </c>
      <c r="F233" s="10" t="s">
        <v>930</v>
      </c>
      <c r="G233" s="10" t="s">
        <v>929</v>
      </c>
      <c r="H233" s="10" t="s">
        <v>931</v>
      </c>
      <c r="I233" s="11" t="s">
        <v>932</v>
      </c>
      <c r="J233" s="11" t="s">
        <v>933</v>
      </c>
      <c r="K233" s="12" t="s">
        <v>17</v>
      </c>
      <c r="L233" s="10" t="s">
        <v>732</v>
      </c>
      <c r="M233" s="10" t="s">
        <v>15</v>
      </c>
      <c r="N233" s="2" t="s">
        <v>17</v>
      </c>
      <c r="O233" s="2" t="s">
        <v>17</v>
      </c>
      <c r="P233" s="2" t="s">
        <v>17</v>
      </c>
      <c r="S233" s="13"/>
    </row>
    <row r="234" spans="1:19" x14ac:dyDescent="0.2">
      <c r="A234" s="2">
        <v>231</v>
      </c>
      <c r="B234" s="8">
        <v>350314002</v>
      </c>
      <c r="C234" s="8" t="s">
        <v>934</v>
      </c>
      <c r="D234" s="8" t="s">
        <v>17</v>
      </c>
      <c r="E234" s="9" t="s">
        <v>728</v>
      </c>
      <c r="F234" s="10" t="s">
        <v>935</v>
      </c>
      <c r="G234" s="10" t="s">
        <v>929</v>
      </c>
      <c r="H234" s="10" t="s">
        <v>931</v>
      </c>
      <c r="I234" s="11" t="s">
        <v>936</v>
      </c>
      <c r="J234" s="11" t="s">
        <v>937</v>
      </c>
      <c r="K234" s="12" t="s">
        <v>17</v>
      </c>
      <c r="L234" s="10" t="s">
        <v>732</v>
      </c>
      <c r="M234" s="10" t="s">
        <v>15</v>
      </c>
      <c r="N234" s="2" t="s">
        <v>17</v>
      </c>
      <c r="O234" s="2" t="s">
        <v>17</v>
      </c>
      <c r="P234" s="2" t="s">
        <v>17</v>
      </c>
      <c r="S234" s="13"/>
    </row>
    <row r="235" spans="1:19" x14ac:dyDescent="0.2">
      <c r="A235" s="2">
        <v>232</v>
      </c>
      <c r="B235" s="8">
        <v>350314003</v>
      </c>
      <c r="C235" s="8" t="s">
        <v>938</v>
      </c>
      <c r="D235" s="8" t="s">
        <v>17</v>
      </c>
      <c r="E235" s="9" t="s">
        <v>728</v>
      </c>
      <c r="F235" s="10" t="s">
        <v>939</v>
      </c>
      <c r="G235" s="10" t="s">
        <v>382</v>
      </c>
      <c r="H235" s="10" t="s">
        <v>931</v>
      </c>
      <c r="I235" s="11" t="s">
        <v>940</v>
      </c>
      <c r="J235" s="11" t="s">
        <v>941</v>
      </c>
      <c r="K235" s="12" t="s">
        <v>17</v>
      </c>
      <c r="L235" s="10" t="s">
        <v>732</v>
      </c>
      <c r="M235" s="10" t="s">
        <v>15</v>
      </c>
      <c r="N235" s="2" t="s">
        <v>17</v>
      </c>
      <c r="O235" s="2" t="s">
        <v>17</v>
      </c>
      <c r="P235" s="2" t="s">
        <v>17</v>
      </c>
      <c r="S235" s="13"/>
    </row>
    <row r="236" spans="1:19" x14ac:dyDescent="0.2">
      <c r="A236" s="2">
        <v>233</v>
      </c>
      <c r="B236" s="8">
        <v>350314004</v>
      </c>
      <c r="C236" s="8" t="s">
        <v>942</v>
      </c>
      <c r="D236" s="8" t="s">
        <v>17</v>
      </c>
      <c r="E236" s="9" t="s">
        <v>728</v>
      </c>
      <c r="F236" s="10" t="s">
        <v>943</v>
      </c>
      <c r="G236" s="10" t="s">
        <v>944</v>
      </c>
      <c r="H236" s="10" t="s">
        <v>931</v>
      </c>
      <c r="I236" s="11" t="s">
        <v>945</v>
      </c>
      <c r="J236" s="11" t="s">
        <v>946</v>
      </c>
      <c r="K236" s="12" t="s">
        <v>17</v>
      </c>
      <c r="L236" s="10" t="s">
        <v>732</v>
      </c>
      <c r="M236" s="10" t="s">
        <v>15</v>
      </c>
      <c r="N236" s="2" t="s">
        <v>17</v>
      </c>
      <c r="O236" s="2" t="s">
        <v>17</v>
      </c>
      <c r="P236" s="2" t="s">
        <v>17</v>
      </c>
      <c r="S236" s="13"/>
    </row>
    <row r="237" spans="1:19" x14ac:dyDescent="0.2">
      <c r="A237" s="2">
        <v>234</v>
      </c>
      <c r="B237" s="8">
        <v>350314005</v>
      </c>
      <c r="C237" s="8" t="s">
        <v>947</v>
      </c>
      <c r="D237" s="8" t="s">
        <v>17</v>
      </c>
      <c r="E237" s="9" t="s">
        <v>728</v>
      </c>
      <c r="F237" s="10" t="s">
        <v>948</v>
      </c>
      <c r="G237" s="10" t="s">
        <v>612</v>
      </c>
      <c r="H237" s="10" t="s">
        <v>931</v>
      </c>
      <c r="I237" s="11" t="s">
        <v>949</v>
      </c>
      <c r="J237" s="11" t="s">
        <v>950</v>
      </c>
      <c r="K237" s="12" t="s">
        <v>17</v>
      </c>
      <c r="L237" s="10" t="s">
        <v>732</v>
      </c>
      <c r="M237" s="10" t="s">
        <v>15</v>
      </c>
      <c r="N237" s="2" t="s">
        <v>17</v>
      </c>
      <c r="O237" s="2" t="s">
        <v>17</v>
      </c>
      <c r="P237" s="2" t="s">
        <v>17</v>
      </c>
      <c r="S237" s="13"/>
    </row>
    <row r="238" spans="1:19" x14ac:dyDescent="0.2">
      <c r="A238" s="2">
        <v>235</v>
      </c>
      <c r="B238" s="8">
        <v>350314006</v>
      </c>
      <c r="C238" s="8" t="s">
        <v>951</v>
      </c>
      <c r="D238" s="8" t="s">
        <v>17</v>
      </c>
      <c r="E238" s="9" t="s">
        <v>728</v>
      </c>
      <c r="F238" s="10" t="s">
        <v>367</v>
      </c>
      <c r="G238" s="10" t="s">
        <v>951</v>
      </c>
      <c r="H238" s="10" t="s">
        <v>931</v>
      </c>
      <c r="I238" s="11" t="s">
        <v>952</v>
      </c>
      <c r="J238" s="11" t="s">
        <v>953</v>
      </c>
      <c r="K238" s="12" t="s">
        <v>17</v>
      </c>
      <c r="L238" s="10" t="s">
        <v>732</v>
      </c>
      <c r="M238" s="10" t="s">
        <v>15</v>
      </c>
      <c r="N238" s="2" t="s">
        <v>17</v>
      </c>
      <c r="O238" s="2" t="s">
        <v>17</v>
      </c>
      <c r="P238" s="2" t="s">
        <v>17</v>
      </c>
      <c r="S238" s="13"/>
    </row>
    <row r="239" spans="1:19" x14ac:dyDescent="0.2">
      <c r="A239" s="2">
        <v>236</v>
      </c>
      <c r="B239" s="8">
        <v>350314007</v>
      </c>
      <c r="C239" s="8" t="s">
        <v>954</v>
      </c>
      <c r="D239" s="8" t="s">
        <v>17</v>
      </c>
      <c r="E239" s="9" t="s">
        <v>728</v>
      </c>
      <c r="F239" s="10" t="s">
        <v>955</v>
      </c>
      <c r="G239" s="10" t="s">
        <v>956</v>
      </c>
      <c r="H239" s="10" t="s">
        <v>957</v>
      </c>
      <c r="I239" s="11" t="s">
        <v>958</v>
      </c>
      <c r="J239" s="11" t="s">
        <v>959</v>
      </c>
      <c r="K239" s="12" t="s">
        <v>17</v>
      </c>
      <c r="L239" s="10" t="s">
        <v>732</v>
      </c>
      <c r="M239" s="10" t="s">
        <v>15</v>
      </c>
      <c r="N239" s="2" t="s">
        <v>17</v>
      </c>
      <c r="O239" s="2" t="s">
        <v>17</v>
      </c>
      <c r="P239" s="2" t="s">
        <v>17</v>
      </c>
      <c r="S239" s="13"/>
    </row>
    <row r="240" spans="1:19" x14ac:dyDescent="0.2">
      <c r="A240" s="2">
        <v>237</v>
      </c>
      <c r="B240" s="8">
        <v>350314008</v>
      </c>
      <c r="C240" s="8" t="s">
        <v>960</v>
      </c>
      <c r="D240" s="8" t="s">
        <v>17</v>
      </c>
      <c r="E240" s="9" t="s">
        <v>728</v>
      </c>
      <c r="F240" s="10" t="s">
        <v>960</v>
      </c>
      <c r="G240" s="10" t="s">
        <v>960</v>
      </c>
      <c r="H240" s="10" t="s">
        <v>931</v>
      </c>
      <c r="I240" s="11" t="s">
        <v>961</v>
      </c>
      <c r="J240" s="11" t="s">
        <v>962</v>
      </c>
      <c r="K240" s="12" t="s">
        <v>17</v>
      </c>
      <c r="L240" s="10" t="s">
        <v>732</v>
      </c>
      <c r="M240" s="10" t="s">
        <v>15</v>
      </c>
      <c r="N240" s="2" t="s">
        <v>17</v>
      </c>
      <c r="O240" s="2" t="s">
        <v>17</v>
      </c>
      <c r="P240" s="2" t="s">
        <v>17</v>
      </c>
      <c r="S240" s="13"/>
    </row>
    <row r="241" spans="1:19" x14ac:dyDescent="0.2">
      <c r="A241" s="2">
        <v>238</v>
      </c>
      <c r="B241" s="8">
        <v>350314009</v>
      </c>
      <c r="C241" s="8" t="s">
        <v>963</v>
      </c>
      <c r="D241" s="8" t="s">
        <v>17</v>
      </c>
      <c r="E241" s="9" t="s">
        <v>728</v>
      </c>
      <c r="F241" s="10" t="s">
        <v>964</v>
      </c>
      <c r="G241" s="10" t="s">
        <v>965</v>
      </c>
      <c r="H241" s="10" t="s">
        <v>931</v>
      </c>
      <c r="I241" s="11" t="s">
        <v>966</v>
      </c>
      <c r="J241" s="11" t="s">
        <v>967</v>
      </c>
      <c r="K241" s="12" t="s">
        <v>17</v>
      </c>
      <c r="L241" s="10" t="s">
        <v>455</v>
      </c>
      <c r="M241" s="10" t="s">
        <v>15</v>
      </c>
      <c r="N241" s="2" t="s">
        <v>17</v>
      </c>
      <c r="O241" s="2" t="s">
        <v>17</v>
      </c>
      <c r="P241" s="2" t="s">
        <v>17</v>
      </c>
      <c r="S241" s="13"/>
    </row>
    <row r="242" spans="1:19" x14ac:dyDescent="0.2">
      <c r="A242" s="2">
        <v>239</v>
      </c>
      <c r="B242" s="8">
        <v>350314010</v>
      </c>
      <c r="C242" s="8" t="s">
        <v>968</v>
      </c>
      <c r="D242" s="8" t="s">
        <v>17</v>
      </c>
      <c r="E242" s="9" t="s">
        <v>728</v>
      </c>
      <c r="F242" s="10" t="s">
        <v>969</v>
      </c>
      <c r="G242" s="10" t="s">
        <v>968</v>
      </c>
      <c r="H242" s="10" t="s">
        <v>931</v>
      </c>
      <c r="I242" s="11" t="s">
        <v>970</v>
      </c>
      <c r="J242" s="11" t="s">
        <v>971</v>
      </c>
      <c r="K242" s="12" t="s">
        <v>17</v>
      </c>
      <c r="L242" s="10" t="s">
        <v>455</v>
      </c>
      <c r="M242" s="10" t="s">
        <v>15</v>
      </c>
      <c r="N242" s="2" t="s">
        <v>17</v>
      </c>
      <c r="O242" s="2" t="s">
        <v>17</v>
      </c>
      <c r="P242" s="2" t="s">
        <v>17</v>
      </c>
      <c r="S242" s="13"/>
    </row>
    <row r="243" spans="1:19" x14ac:dyDescent="0.2">
      <c r="A243" s="2">
        <v>240</v>
      </c>
      <c r="B243" s="8">
        <v>350314011</v>
      </c>
      <c r="C243" s="8" t="s">
        <v>972</v>
      </c>
      <c r="D243" s="8" t="s">
        <v>17</v>
      </c>
      <c r="E243" s="9" t="s">
        <v>728</v>
      </c>
      <c r="F243" s="10" t="s">
        <v>973</v>
      </c>
      <c r="G243" s="10" t="s">
        <v>965</v>
      </c>
      <c r="H243" s="10" t="s">
        <v>931</v>
      </c>
      <c r="I243" s="11" t="s">
        <v>974</v>
      </c>
      <c r="J243" s="11" t="s">
        <v>975</v>
      </c>
      <c r="K243" s="12" t="s">
        <v>17</v>
      </c>
      <c r="L243" s="10" t="s">
        <v>455</v>
      </c>
      <c r="M243" s="10" t="s">
        <v>15</v>
      </c>
      <c r="N243" s="2" t="s">
        <v>17</v>
      </c>
      <c r="O243" s="2" t="s">
        <v>17</v>
      </c>
      <c r="P243" s="2" t="s">
        <v>17</v>
      </c>
      <c r="S243" s="13"/>
    </row>
    <row r="244" spans="1:19" x14ac:dyDescent="0.2">
      <c r="A244" s="2">
        <v>241</v>
      </c>
      <c r="B244" s="8">
        <v>350314012</v>
      </c>
      <c r="C244" s="8" t="s">
        <v>976</v>
      </c>
      <c r="D244" s="8" t="s">
        <v>17</v>
      </c>
      <c r="E244" s="9" t="s">
        <v>728</v>
      </c>
      <c r="F244" s="10" t="s">
        <v>977</v>
      </c>
      <c r="G244" s="10" t="s">
        <v>978</v>
      </c>
      <c r="H244" s="10" t="s">
        <v>931</v>
      </c>
      <c r="I244" s="11" t="s">
        <v>979</v>
      </c>
      <c r="J244" s="11" t="s">
        <v>980</v>
      </c>
      <c r="K244" s="12" t="s">
        <v>17</v>
      </c>
      <c r="L244" s="10" t="s">
        <v>455</v>
      </c>
      <c r="M244" s="10" t="s">
        <v>15</v>
      </c>
      <c r="N244" s="2" t="s">
        <v>17</v>
      </c>
      <c r="O244" s="2" t="s">
        <v>17</v>
      </c>
      <c r="P244" s="2" t="s">
        <v>17</v>
      </c>
      <c r="S244" s="13"/>
    </row>
    <row r="245" spans="1:19" x14ac:dyDescent="0.2">
      <c r="A245" s="2">
        <v>242</v>
      </c>
      <c r="B245" s="8">
        <v>350314013</v>
      </c>
      <c r="C245" s="8" t="s">
        <v>981</v>
      </c>
      <c r="D245" s="8" t="s">
        <v>17</v>
      </c>
      <c r="E245" s="9" t="s">
        <v>728</v>
      </c>
      <c r="F245" s="10" t="s">
        <v>982</v>
      </c>
      <c r="G245" s="10" t="s">
        <v>983</v>
      </c>
      <c r="H245" s="10" t="s">
        <v>931</v>
      </c>
      <c r="I245" s="11" t="s">
        <v>984</v>
      </c>
      <c r="J245" s="11" t="s">
        <v>985</v>
      </c>
      <c r="K245" s="12" t="s">
        <v>17</v>
      </c>
      <c r="L245" s="10" t="s">
        <v>455</v>
      </c>
      <c r="M245" s="10" t="s">
        <v>15</v>
      </c>
      <c r="N245" s="2" t="s">
        <v>17</v>
      </c>
      <c r="O245" s="2" t="s">
        <v>17</v>
      </c>
      <c r="P245" s="2" t="s">
        <v>17</v>
      </c>
      <c r="S245" s="13"/>
    </row>
    <row r="246" spans="1:19" x14ac:dyDescent="0.2">
      <c r="A246" s="2">
        <v>243</v>
      </c>
      <c r="B246" s="8">
        <v>350314014</v>
      </c>
      <c r="C246" s="8" t="s">
        <v>978</v>
      </c>
      <c r="D246" s="8" t="s">
        <v>17</v>
      </c>
      <c r="E246" s="9" t="s">
        <v>728</v>
      </c>
      <c r="F246" s="10" t="s">
        <v>986</v>
      </c>
      <c r="G246" s="10" t="s">
        <v>978</v>
      </c>
      <c r="H246" s="10" t="s">
        <v>931</v>
      </c>
      <c r="I246" s="11" t="s">
        <v>987</v>
      </c>
      <c r="J246" s="11" t="s">
        <v>988</v>
      </c>
      <c r="K246" s="12" t="s">
        <v>17</v>
      </c>
      <c r="L246" s="10" t="s">
        <v>455</v>
      </c>
      <c r="M246" s="10" t="s">
        <v>15</v>
      </c>
      <c r="N246" s="2" t="s">
        <v>17</v>
      </c>
      <c r="O246" s="2" t="s">
        <v>17</v>
      </c>
      <c r="P246" s="2" t="s">
        <v>17</v>
      </c>
      <c r="S246" s="13"/>
    </row>
    <row r="247" spans="1:19" x14ac:dyDescent="0.2">
      <c r="A247" s="2">
        <v>244</v>
      </c>
      <c r="B247" s="8">
        <v>350314015</v>
      </c>
      <c r="C247" s="8" t="s">
        <v>989</v>
      </c>
      <c r="D247" s="8" t="s">
        <v>17</v>
      </c>
      <c r="E247" s="9" t="s">
        <v>728</v>
      </c>
      <c r="F247" s="10" t="s">
        <v>990</v>
      </c>
      <c r="G247" s="10" t="s">
        <v>991</v>
      </c>
      <c r="H247" s="10" t="s">
        <v>931</v>
      </c>
      <c r="I247" s="11" t="s">
        <v>992</v>
      </c>
      <c r="J247" s="11" t="s">
        <v>993</v>
      </c>
      <c r="K247" s="12" t="s">
        <v>17</v>
      </c>
      <c r="L247" s="10" t="s">
        <v>455</v>
      </c>
      <c r="M247" s="10" t="s">
        <v>15</v>
      </c>
      <c r="N247" s="2" t="s">
        <v>17</v>
      </c>
      <c r="O247" s="2" t="s">
        <v>17</v>
      </c>
      <c r="P247" s="2" t="s">
        <v>17</v>
      </c>
      <c r="S247" s="13"/>
    </row>
    <row r="248" spans="1:19" x14ac:dyDescent="0.2">
      <c r="A248" s="2">
        <v>245</v>
      </c>
      <c r="B248" s="8">
        <v>350314016</v>
      </c>
      <c r="C248" s="8" t="s">
        <v>969</v>
      </c>
      <c r="D248" s="8" t="s">
        <v>17</v>
      </c>
      <c r="E248" s="9" t="s">
        <v>728</v>
      </c>
      <c r="F248" s="10" t="s">
        <v>994</v>
      </c>
      <c r="G248" s="10" t="s">
        <v>991</v>
      </c>
      <c r="H248" s="10" t="s">
        <v>931</v>
      </c>
      <c r="I248" s="11" t="s">
        <v>995</v>
      </c>
      <c r="J248" s="11" t="s">
        <v>996</v>
      </c>
      <c r="K248" s="12" t="s">
        <v>17</v>
      </c>
      <c r="L248" s="10" t="s">
        <v>455</v>
      </c>
      <c r="M248" s="10" t="s">
        <v>15</v>
      </c>
      <c r="N248" s="2" t="s">
        <v>17</v>
      </c>
      <c r="O248" s="2" t="s">
        <v>17</v>
      </c>
      <c r="P248" s="2" t="s">
        <v>17</v>
      </c>
      <c r="S248" s="13"/>
    </row>
    <row r="249" spans="1:19" x14ac:dyDescent="0.2">
      <c r="A249" s="2">
        <v>246</v>
      </c>
      <c r="B249" s="8">
        <v>350314017</v>
      </c>
      <c r="C249" s="8" t="s">
        <v>997</v>
      </c>
      <c r="D249" s="8" t="s">
        <v>17</v>
      </c>
      <c r="E249" s="9" t="s">
        <v>728</v>
      </c>
      <c r="F249" s="10" t="s">
        <v>998</v>
      </c>
      <c r="G249" s="10" t="s">
        <v>999</v>
      </c>
      <c r="H249" s="10" t="s">
        <v>931</v>
      </c>
      <c r="I249" s="11" t="s">
        <v>1000</v>
      </c>
      <c r="J249" s="11" t="s">
        <v>1001</v>
      </c>
      <c r="K249" s="12" t="s">
        <v>17</v>
      </c>
      <c r="L249" s="10" t="s">
        <v>455</v>
      </c>
      <c r="M249" s="10" t="s">
        <v>15</v>
      </c>
      <c r="N249" s="2" t="s">
        <v>17</v>
      </c>
      <c r="O249" s="2" t="s">
        <v>17</v>
      </c>
      <c r="P249" s="2" t="s">
        <v>17</v>
      </c>
      <c r="S249" s="13"/>
    </row>
    <row r="250" spans="1:19" x14ac:dyDescent="0.2">
      <c r="A250" s="2">
        <v>247</v>
      </c>
      <c r="B250" s="8">
        <v>350314018</v>
      </c>
      <c r="C250" s="8" t="s">
        <v>999</v>
      </c>
      <c r="D250" s="8" t="s">
        <v>17</v>
      </c>
      <c r="E250" s="9" t="s">
        <v>728</v>
      </c>
      <c r="F250" s="10" t="s">
        <v>999</v>
      </c>
      <c r="G250" s="10" t="s">
        <v>999</v>
      </c>
      <c r="H250" s="10" t="s">
        <v>931</v>
      </c>
      <c r="I250" s="11" t="s">
        <v>1002</v>
      </c>
      <c r="J250" s="11" t="s">
        <v>1003</v>
      </c>
      <c r="K250" s="12" t="s">
        <v>17</v>
      </c>
      <c r="L250" s="10" t="s">
        <v>455</v>
      </c>
      <c r="M250" s="10" t="s">
        <v>15</v>
      </c>
      <c r="N250" s="2" t="s">
        <v>17</v>
      </c>
      <c r="O250" s="2" t="s">
        <v>17</v>
      </c>
      <c r="P250" s="2" t="s">
        <v>17</v>
      </c>
      <c r="S250" s="13"/>
    </row>
    <row r="251" spans="1:19" x14ac:dyDescent="0.2">
      <c r="A251" s="2">
        <v>248</v>
      </c>
      <c r="B251" s="8">
        <v>350314019</v>
      </c>
      <c r="C251" s="8" t="s">
        <v>1004</v>
      </c>
      <c r="D251" s="8" t="s">
        <v>17</v>
      </c>
      <c r="E251" s="9" t="s">
        <v>728</v>
      </c>
      <c r="F251" s="10" t="s">
        <v>1005</v>
      </c>
      <c r="G251" s="10" t="s">
        <v>991</v>
      </c>
      <c r="H251" s="10" t="s">
        <v>931</v>
      </c>
      <c r="I251" s="11" t="s">
        <v>1006</v>
      </c>
      <c r="J251" s="11" t="s">
        <v>1007</v>
      </c>
      <c r="K251" s="12" t="s">
        <v>17</v>
      </c>
      <c r="L251" s="10" t="s">
        <v>455</v>
      </c>
      <c r="M251" s="10" t="s">
        <v>15</v>
      </c>
      <c r="N251" s="2" t="s">
        <v>17</v>
      </c>
      <c r="O251" s="2" t="s">
        <v>17</v>
      </c>
      <c r="P251" s="2" t="s">
        <v>17</v>
      </c>
      <c r="S251" s="13"/>
    </row>
    <row r="252" spans="1:19" x14ac:dyDescent="0.2">
      <c r="A252" s="2">
        <v>249</v>
      </c>
      <c r="B252" s="8">
        <v>350314020</v>
      </c>
      <c r="C252" s="8" t="s">
        <v>1008</v>
      </c>
      <c r="D252" s="8" t="s">
        <v>17</v>
      </c>
      <c r="E252" s="9" t="s">
        <v>728</v>
      </c>
      <c r="F252" s="10" t="s">
        <v>1008</v>
      </c>
      <c r="G252" s="10" t="s">
        <v>968</v>
      </c>
      <c r="H252" s="10" t="s">
        <v>931</v>
      </c>
      <c r="I252" s="11" t="s">
        <v>1009</v>
      </c>
      <c r="J252" s="11" t="s">
        <v>1010</v>
      </c>
      <c r="K252" s="12" t="s">
        <v>17</v>
      </c>
      <c r="L252" s="10" t="s">
        <v>455</v>
      </c>
      <c r="M252" s="10" t="s">
        <v>15</v>
      </c>
      <c r="N252" s="2" t="s">
        <v>17</v>
      </c>
      <c r="O252" s="2" t="s">
        <v>17</v>
      </c>
      <c r="P252" s="2" t="s">
        <v>17</v>
      </c>
      <c r="S252" s="13"/>
    </row>
    <row r="253" spans="1:19" x14ac:dyDescent="0.2">
      <c r="A253" s="2">
        <v>250</v>
      </c>
      <c r="B253" s="8">
        <v>350314021</v>
      </c>
      <c r="C253" s="8" t="s">
        <v>1011</v>
      </c>
      <c r="D253" s="8" t="s">
        <v>17</v>
      </c>
      <c r="E253" s="9" t="s">
        <v>728</v>
      </c>
      <c r="F253" s="10" t="s">
        <v>1012</v>
      </c>
      <c r="G253" s="10" t="s">
        <v>968</v>
      </c>
      <c r="H253" s="10" t="s">
        <v>931</v>
      </c>
      <c r="I253" s="11" t="s">
        <v>1013</v>
      </c>
      <c r="J253" s="11" t="s">
        <v>1014</v>
      </c>
      <c r="K253" s="12" t="s">
        <v>17</v>
      </c>
      <c r="L253" s="10" t="s">
        <v>455</v>
      </c>
      <c r="M253" s="10" t="s">
        <v>15</v>
      </c>
      <c r="N253" s="2" t="s">
        <v>17</v>
      </c>
      <c r="O253" s="2" t="s">
        <v>17</v>
      </c>
      <c r="P253" s="2" t="s">
        <v>17</v>
      </c>
      <c r="S253" s="13"/>
    </row>
    <row r="254" spans="1:19" x14ac:dyDescent="0.2">
      <c r="A254" s="2">
        <v>251</v>
      </c>
      <c r="B254" s="8">
        <v>350314022</v>
      </c>
      <c r="C254" s="8" t="s">
        <v>1015</v>
      </c>
      <c r="D254" s="8" t="s">
        <v>17</v>
      </c>
      <c r="E254" s="9" t="s">
        <v>728</v>
      </c>
      <c r="F254" s="10" t="s">
        <v>1015</v>
      </c>
      <c r="G254" s="10" t="s">
        <v>968</v>
      </c>
      <c r="H254" s="10" t="s">
        <v>931</v>
      </c>
      <c r="I254" s="11" t="s">
        <v>1016</v>
      </c>
      <c r="J254" s="11" t="s">
        <v>1017</v>
      </c>
      <c r="K254" s="12" t="s">
        <v>17</v>
      </c>
      <c r="L254" s="10" t="s">
        <v>455</v>
      </c>
      <c r="M254" s="10" t="s">
        <v>15</v>
      </c>
      <c r="N254" s="2" t="s">
        <v>17</v>
      </c>
      <c r="O254" s="2" t="s">
        <v>17</v>
      </c>
      <c r="P254" s="2" t="s">
        <v>17</v>
      </c>
      <c r="S254" s="13"/>
    </row>
    <row r="255" spans="1:19" x14ac:dyDescent="0.2">
      <c r="A255" s="2">
        <v>252</v>
      </c>
      <c r="B255" s="8">
        <v>350314023</v>
      </c>
      <c r="C255" s="8" t="s">
        <v>1018</v>
      </c>
      <c r="D255" s="8" t="s">
        <v>17</v>
      </c>
      <c r="E255" s="9" t="s">
        <v>728</v>
      </c>
      <c r="F255" s="10" t="s">
        <v>1019</v>
      </c>
      <c r="G255" s="10" t="s">
        <v>382</v>
      </c>
      <c r="H255" s="10" t="s">
        <v>931</v>
      </c>
      <c r="I255" s="11" t="s">
        <v>1020</v>
      </c>
      <c r="J255" s="11" t="s">
        <v>1021</v>
      </c>
      <c r="K255" s="12" t="s">
        <v>17</v>
      </c>
      <c r="L255" s="10" t="s">
        <v>455</v>
      </c>
      <c r="M255" s="10" t="s">
        <v>15</v>
      </c>
      <c r="N255" s="2" t="s">
        <v>17</v>
      </c>
      <c r="O255" s="2" t="s">
        <v>17</v>
      </c>
      <c r="P255" s="2" t="s">
        <v>17</v>
      </c>
      <c r="S255" s="13"/>
    </row>
    <row r="256" spans="1:19" x14ac:dyDescent="0.2">
      <c r="A256" s="2">
        <v>253</v>
      </c>
      <c r="B256" s="8">
        <v>350314024</v>
      </c>
      <c r="C256" s="8" t="s">
        <v>1022</v>
      </c>
      <c r="D256" s="8" t="s">
        <v>17</v>
      </c>
      <c r="E256" s="9" t="s">
        <v>728</v>
      </c>
      <c r="F256" s="10" t="s">
        <v>1023</v>
      </c>
      <c r="G256" s="10" t="s">
        <v>1022</v>
      </c>
      <c r="H256" s="10" t="s">
        <v>931</v>
      </c>
      <c r="I256" s="11" t="s">
        <v>1024</v>
      </c>
      <c r="J256" s="11" t="s">
        <v>1025</v>
      </c>
      <c r="K256" s="12" t="s">
        <v>17</v>
      </c>
      <c r="L256" s="10" t="s">
        <v>732</v>
      </c>
      <c r="M256" s="10" t="s">
        <v>15</v>
      </c>
      <c r="N256" s="2" t="s">
        <v>17</v>
      </c>
      <c r="O256" s="2" t="s">
        <v>17</v>
      </c>
      <c r="P256" s="2" t="s">
        <v>17</v>
      </c>
      <c r="S256" s="13"/>
    </row>
    <row r="257" spans="1:19" x14ac:dyDescent="0.2">
      <c r="A257" s="2">
        <v>254</v>
      </c>
      <c r="B257" s="8">
        <v>350314025</v>
      </c>
      <c r="C257" s="8" t="s">
        <v>1026</v>
      </c>
      <c r="D257" s="8" t="s">
        <v>17</v>
      </c>
      <c r="E257" s="9" t="s">
        <v>728</v>
      </c>
      <c r="F257" s="10" t="s">
        <v>1027</v>
      </c>
      <c r="G257" s="10" t="s">
        <v>1028</v>
      </c>
      <c r="H257" s="10" t="s">
        <v>931</v>
      </c>
      <c r="I257" s="11" t="s">
        <v>1029</v>
      </c>
      <c r="J257" s="11" t="s">
        <v>1030</v>
      </c>
      <c r="K257" s="12" t="s">
        <v>17</v>
      </c>
      <c r="L257" s="10" t="s">
        <v>732</v>
      </c>
      <c r="M257" s="10" t="s">
        <v>15</v>
      </c>
      <c r="N257" s="2" t="s">
        <v>17</v>
      </c>
      <c r="O257" s="2" t="s">
        <v>17</v>
      </c>
      <c r="P257" s="2" t="s">
        <v>17</v>
      </c>
      <c r="S257" s="13"/>
    </row>
    <row r="258" spans="1:19" x14ac:dyDescent="0.2">
      <c r="A258" s="2">
        <v>255</v>
      </c>
      <c r="B258" s="8">
        <v>350314026</v>
      </c>
      <c r="C258" s="8" t="s">
        <v>1031</v>
      </c>
      <c r="D258" s="8" t="s">
        <v>17</v>
      </c>
      <c r="E258" s="9" t="s">
        <v>728</v>
      </c>
      <c r="F258" s="10" t="s">
        <v>1031</v>
      </c>
      <c r="G258" s="10" t="s">
        <v>734</v>
      </c>
      <c r="H258" s="10" t="s">
        <v>931</v>
      </c>
      <c r="I258" s="11" t="s">
        <v>1032</v>
      </c>
      <c r="J258" s="11" t="s">
        <v>1033</v>
      </c>
      <c r="K258" s="12" t="s">
        <v>17</v>
      </c>
      <c r="L258" s="10" t="s">
        <v>732</v>
      </c>
      <c r="M258" s="10" t="s">
        <v>15</v>
      </c>
      <c r="N258" s="2" t="s">
        <v>17</v>
      </c>
      <c r="O258" s="2" t="s">
        <v>17</v>
      </c>
      <c r="P258" s="2" t="s">
        <v>17</v>
      </c>
      <c r="S258" s="13"/>
    </row>
    <row r="259" spans="1:19" x14ac:dyDescent="0.2">
      <c r="A259" s="2">
        <v>256</v>
      </c>
      <c r="B259" s="8">
        <v>350314027</v>
      </c>
      <c r="C259" s="8" t="s">
        <v>734</v>
      </c>
      <c r="D259" s="8" t="s">
        <v>17</v>
      </c>
      <c r="E259" s="9" t="s">
        <v>728</v>
      </c>
      <c r="F259" s="10" t="s">
        <v>1034</v>
      </c>
      <c r="G259" s="10" t="s">
        <v>734</v>
      </c>
      <c r="H259" s="10" t="s">
        <v>931</v>
      </c>
      <c r="I259" s="11" t="s">
        <v>1035</v>
      </c>
      <c r="J259" s="11" t="s">
        <v>1036</v>
      </c>
      <c r="K259" s="12" t="s">
        <v>17</v>
      </c>
      <c r="L259" s="10" t="s">
        <v>732</v>
      </c>
      <c r="M259" s="10" t="s">
        <v>15</v>
      </c>
      <c r="N259" s="2" t="s">
        <v>17</v>
      </c>
      <c r="O259" s="2" t="s">
        <v>17</v>
      </c>
      <c r="P259" s="2" t="s">
        <v>17</v>
      </c>
      <c r="S259" s="13"/>
    </row>
    <row r="260" spans="1:19" x14ac:dyDescent="0.2">
      <c r="A260" s="2">
        <v>257</v>
      </c>
      <c r="B260" s="8">
        <v>350314028</v>
      </c>
      <c r="C260" s="8" t="s">
        <v>786</v>
      </c>
      <c r="D260" s="8" t="s">
        <v>17</v>
      </c>
      <c r="E260" s="9" t="s">
        <v>728</v>
      </c>
      <c r="F260" s="10" t="s">
        <v>1037</v>
      </c>
      <c r="G260" s="10" t="s">
        <v>1028</v>
      </c>
      <c r="H260" s="10" t="s">
        <v>931</v>
      </c>
      <c r="I260" s="11" t="s">
        <v>1038</v>
      </c>
      <c r="J260" s="11" t="s">
        <v>1039</v>
      </c>
      <c r="K260" s="12" t="s">
        <v>17</v>
      </c>
      <c r="L260" s="10" t="s">
        <v>732</v>
      </c>
      <c r="M260" s="10" t="s">
        <v>15</v>
      </c>
      <c r="N260" s="2" t="s">
        <v>17</v>
      </c>
      <c r="O260" s="2" t="s">
        <v>17</v>
      </c>
      <c r="P260" s="2" t="s">
        <v>17</v>
      </c>
      <c r="S260" s="13"/>
    </row>
    <row r="261" spans="1:19" x14ac:dyDescent="0.2">
      <c r="A261" s="2">
        <v>258</v>
      </c>
      <c r="B261" s="8">
        <v>350314029</v>
      </c>
      <c r="C261" s="8" t="s">
        <v>1040</v>
      </c>
      <c r="D261" s="8" t="s">
        <v>17</v>
      </c>
      <c r="E261" s="9" t="s">
        <v>728</v>
      </c>
      <c r="F261" s="10" t="s">
        <v>1041</v>
      </c>
      <c r="G261" s="10" t="s">
        <v>1040</v>
      </c>
      <c r="H261" s="10" t="s">
        <v>931</v>
      </c>
      <c r="I261" s="11" t="s">
        <v>1042</v>
      </c>
      <c r="J261" s="11" t="s">
        <v>1043</v>
      </c>
      <c r="K261" s="12" t="s">
        <v>17</v>
      </c>
      <c r="L261" s="10" t="s">
        <v>732</v>
      </c>
      <c r="M261" s="10" t="s">
        <v>15</v>
      </c>
      <c r="N261" s="2" t="s">
        <v>17</v>
      </c>
      <c r="O261" s="2" t="s">
        <v>17</v>
      </c>
      <c r="P261" s="2" t="s">
        <v>17</v>
      </c>
      <c r="S261" s="13"/>
    </row>
    <row r="262" spans="1:19" x14ac:dyDescent="0.2">
      <c r="A262" s="2">
        <v>259</v>
      </c>
      <c r="B262" s="8">
        <v>350314030</v>
      </c>
      <c r="C262" s="8" t="s">
        <v>723</v>
      </c>
      <c r="D262" s="8" t="s">
        <v>17</v>
      </c>
      <c r="E262" s="9" t="s">
        <v>728</v>
      </c>
      <c r="F262" s="10" t="s">
        <v>723</v>
      </c>
      <c r="G262" s="10" t="s">
        <v>1044</v>
      </c>
      <c r="H262" s="10" t="s">
        <v>931</v>
      </c>
      <c r="I262" s="11" t="s">
        <v>1045</v>
      </c>
      <c r="J262" s="11" t="s">
        <v>1046</v>
      </c>
      <c r="K262" s="12" t="s">
        <v>17</v>
      </c>
      <c r="L262" s="10" t="s">
        <v>732</v>
      </c>
      <c r="M262" s="10" t="s">
        <v>15</v>
      </c>
      <c r="N262" s="2" t="s">
        <v>17</v>
      </c>
      <c r="O262" s="2" t="s">
        <v>17</v>
      </c>
      <c r="P262" s="2" t="s">
        <v>17</v>
      </c>
      <c r="S262" s="13"/>
    </row>
    <row r="263" spans="1:19" x14ac:dyDescent="0.2">
      <c r="A263" s="2">
        <v>260</v>
      </c>
      <c r="B263" s="8">
        <v>350314031</v>
      </c>
      <c r="C263" s="8" t="s">
        <v>1047</v>
      </c>
      <c r="D263" s="8" t="s">
        <v>17</v>
      </c>
      <c r="E263" s="9" t="s">
        <v>728</v>
      </c>
      <c r="F263" s="10" t="s">
        <v>1047</v>
      </c>
      <c r="G263" s="10" t="s">
        <v>1044</v>
      </c>
      <c r="H263" s="10" t="s">
        <v>931</v>
      </c>
      <c r="I263" s="11" t="s">
        <v>1048</v>
      </c>
      <c r="J263" s="11" t="s">
        <v>1049</v>
      </c>
      <c r="K263" s="12" t="s">
        <v>17</v>
      </c>
      <c r="L263" s="10" t="s">
        <v>732</v>
      </c>
      <c r="M263" s="10" t="s">
        <v>15</v>
      </c>
      <c r="N263" s="2" t="s">
        <v>17</v>
      </c>
      <c r="O263" s="2" t="s">
        <v>17</v>
      </c>
      <c r="P263" s="2" t="s">
        <v>17</v>
      </c>
      <c r="S263" s="13"/>
    </row>
    <row r="264" spans="1:19" x14ac:dyDescent="0.2">
      <c r="A264" s="2">
        <v>261</v>
      </c>
      <c r="B264" s="8">
        <v>350314032</v>
      </c>
      <c r="C264" s="8" t="s">
        <v>1044</v>
      </c>
      <c r="D264" s="8" t="s">
        <v>17</v>
      </c>
      <c r="E264" s="9" t="s">
        <v>728</v>
      </c>
      <c r="F264" s="10" t="s">
        <v>1044</v>
      </c>
      <c r="G264" s="10" t="s">
        <v>1044</v>
      </c>
      <c r="H264" s="10" t="s">
        <v>931</v>
      </c>
      <c r="I264" s="11" t="s">
        <v>1050</v>
      </c>
      <c r="J264" s="11" t="s">
        <v>1051</v>
      </c>
      <c r="K264" s="12" t="s">
        <v>17</v>
      </c>
      <c r="L264" s="10" t="s">
        <v>732</v>
      </c>
      <c r="M264" s="10" t="s">
        <v>15</v>
      </c>
      <c r="N264" s="2" t="s">
        <v>17</v>
      </c>
      <c r="O264" s="2" t="s">
        <v>17</v>
      </c>
      <c r="P264" s="2" t="s">
        <v>17</v>
      </c>
      <c r="S264" s="13"/>
    </row>
    <row r="265" spans="1:19" x14ac:dyDescent="0.2">
      <c r="A265" s="2">
        <v>262</v>
      </c>
      <c r="B265" s="8">
        <v>350314033</v>
      </c>
      <c r="C265" s="8" t="s">
        <v>1052</v>
      </c>
      <c r="D265" s="8" t="s">
        <v>17</v>
      </c>
      <c r="E265" s="9" t="s">
        <v>728</v>
      </c>
      <c r="F265" s="10" t="s">
        <v>1053</v>
      </c>
      <c r="G265" s="10" t="s">
        <v>1054</v>
      </c>
      <c r="H265" s="10" t="s">
        <v>931</v>
      </c>
      <c r="I265" s="11" t="s">
        <v>1055</v>
      </c>
      <c r="J265" s="11" t="s">
        <v>1056</v>
      </c>
      <c r="K265" s="12" t="s">
        <v>17</v>
      </c>
      <c r="L265" s="10" t="s">
        <v>732</v>
      </c>
      <c r="M265" s="10" t="s">
        <v>15</v>
      </c>
      <c r="N265" s="2" t="s">
        <v>17</v>
      </c>
      <c r="O265" s="2" t="s">
        <v>17</v>
      </c>
      <c r="P265" s="2" t="s">
        <v>17</v>
      </c>
      <c r="S265" s="13"/>
    </row>
    <row r="266" spans="1:19" x14ac:dyDescent="0.2">
      <c r="A266" s="2">
        <v>263</v>
      </c>
      <c r="B266" s="8">
        <v>350314034</v>
      </c>
      <c r="C266" s="8" t="s">
        <v>1057</v>
      </c>
      <c r="D266" s="8" t="s">
        <v>17</v>
      </c>
      <c r="E266" s="9" t="s">
        <v>728</v>
      </c>
      <c r="F266" s="10" t="s">
        <v>1027</v>
      </c>
      <c r="G266" s="10" t="s">
        <v>1028</v>
      </c>
      <c r="H266" s="10" t="s">
        <v>931</v>
      </c>
      <c r="I266" s="11" t="s">
        <v>1058</v>
      </c>
      <c r="J266" s="11" t="s">
        <v>1059</v>
      </c>
      <c r="K266" s="12" t="s">
        <v>17</v>
      </c>
      <c r="L266" s="10" t="s">
        <v>732</v>
      </c>
      <c r="M266" s="10" t="s">
        <v>15</v>
      </c>
      <c r="N266" s="2" t="s">
        <v>17</v>
      </c>
      <c r="O266" s="2" t="s">
        <v>17</v>
      </c>
      <c r="P266" s="2" t="s">
        <v>17</v>
      </c>
      <c r="S266" s="13"/>
    </row>
    <row r="267" spans="1:19" x14ac:dyDescent="0.2">
      <c r="A267" s="2">
        <v>264</v>
      </c>
      <c r="B267" s="8">
        <v>350374001</v>
      </c>
      <c r="C267" s="8" t="s">
        <v>1060</v>
      </c>
      <c r="D267" s="8" t="s">
        <v>17</v>
      </c>
      <c r="E267" s="9" t="s">
        <v>728</v>
      </c>
      <c r="F267" s="10" t="s">
        <v>1060</v>
      </c>
      <c r="G267" s="10" t="s">
        <v>1061</v>
      </c>
      <c r="H267" s="10" t="s">
        <v>1062</v>
      </c>
      <c r="I267" s="11" t="s">
        <v>1063</v>
      </c>
      <c r="J267" s="11" t="s">
        <v>1064</v>
      </c>
      <c r="K267" s="12" t="s">
        <v>17</v>
      </c>
      <c r="L267" s="10" t="s">
        <v>732</v>
      </c>
      <c r="M267" s="10" t="s">
        <v>15</v>
      </c>
      <c r="N267" s="2" t="s">
        <v>17</v>
      </c>
      <c r="O267" s="2" t="s">
        <v>17</v>
      </c>
      <c r="P267" s="2" t="s">
        <v>17</v>
      </c>
      <c r="S267" s="13"/>
    </row>
    <row r="268" spans="1:19" x14ac:dyDescent="0.2">
      <c r="A268" s="2">
        <v>265</v>
      </c>
      <c r="B268" s="8">
        <v>350374002</v>
      </c>
      <c r="C268" s="8" t="s">
        <v>1065</v>
      </c>
      <c r="D268" s="8" t="s">
        <v>17</v>
      </c>
      <c r="E268" s="9" t="s">
        <v>728</v>
      </c>
      <c r="F268" s="10" t="s">
        <v>1065</v>
      </c>
      <c r="G268" s="10" t="s">
        <v>1065</v>
      </c>
      <c r="H268" s="10" t="s">
        <v>1062</v>
      </c>
      <c r="I268" s="11" t="s">
        <v>1066</v>
      </c>
      <c r="J268" s="11" t="s">
        <v>1067</v>
      </c>
      <c r="K268" s="12" t="s">
        <v>17</v>
      </c>
      <c r="L268" s="10" t="s">
        <v>732</v>
      </c>
      <c r="M268" s="10" t="s">
        <v>15</v>
      </c>
      <c r="N268" s="2" t="s">
        <v>17</v>
      </c>
      <c r="O268" s="2" t="s">
        <v>17</v>
      </c>
      <c r="P268" s="2" t="s">
        <v>17</v>
      </c>
      <c r="S268" s="13"/>
    </row>
    <row r="269" spans="1:19" x14ac:dyDescent="0.2">
      <c r="A269" s="2">
        <v>266</v>
      </c>
      <c r="B269" s="8">
        <v>350374003</v>
      </c>
      <c r="C269" s="8" t="s">
        <v>1068</v>
      </c>
      <c r="D269" s="8" t="s">
        <v>17</v>
      </c>
      <c r="E269" s="9" t="s">
        <v>728</v>
      </c>
      <c r="F269" s="10" t="s">
        <v>1068</v>
      </c>
      <c r="G269" s="10" t="s">
        <v>1065</v>
      </c>
      <c r="H269" s="10" t="s">
        <v>1062</v>
      </c>
      <c r="I269" s="11" t="s">
        <v>1069</v>
      </c>
      <c r="J269" s="11" t="s">
        <v>1070</v>
      </c>
      <c r="K269" s="12" t="s">
        <v>17</v>
      </c>
      <c r="L269" s="10" t="s">
        <v>732</v>
      </c>
      <c r="M269" s="10" t="s">
        <v>15</v>
      </c>
      <c r="N269" s="2" t="s">
        <v>17</v>
      </c>
      <c r="O269" s="2" t="s">
        <v>17</v>
      </c>
      <c r="P269" s="2" t="s">
        <v>17</v>
      </c>
      <c r="S269" s="13"/>
    </row>
    <row r="270" spans="1:19" x14ac:dyDescent="0.2">
      <c r="A270" s="2">
        <v>267</v>
      </c>
      <c r="B270" s="8">
        <v>350374004</v>
      </c>
      <c r="C270" s="8" t="s">
        <v>1071</v>
      </c>
      <c r="D270" s="8" t="s">
        <v>17</v>
      </c>
      <c r="E270" s="9" t="s">
        <v>728</v>
      </c>
      <c r="F270" s="10" t="s">
        <v>1072</v>
      </c>
      <c r="G270" s="10" t="s">
        <v>1073</v>
      </c>
      <c r="H270" s="10" t="s">
        <v>1062</v>
      </c>
      <c r="I270" s="11" t="s">
        <v>1074</v>
      </c>
      <c r="J270" s="11" t="s">
        <v>1075</v>
      </c>
      <c r="K270" s="12" t="s">
        <v>17</v>
      </c>
      <c r="L270" s="10" t="s">
        <v>732</v>
      </c>
      <c r="M270" s="10" t="s">
        <v>15</v>
      </c>
      <c r="N270" s="2" t="s">
        <v>17</v>
      </c>
      <c r="O270" s="2" t="s">
        <v>17</v>
      </c>
      <c r="P270" s="2" t="s">
        <v>17</v>
      </c>
      <c r="S270" s="13"/>
    </row>
    <row r="271" spans="1:19" x14ac:dyDescent="0.2">
      <c r="A271" s="2">
        <v>268</v>
      </c>
      <c r="B271" s="8">
        <v>350404001</v>
      </c>
      <c r="C271" s="8" t="s">
        <v>1076</v>
      </c>
      <c r="D271" s="8" t="s">
        <v>17</v>
      </c>
      <c r="E271" s="9" t="s">
        <v>1077</v>
      </c>
      <c r="F271" s="10" t="s">
        <v>1078</v>
      </c>
      <c r="G271" s="10" t="s">
        <v>1079</v>
      </c>
      <c r="H271" s="10" t="s">
        <v>1079</v>
      </c>
      <c r="I271" s="11" t="s">
        <v>1080</v>
      </c>
      <c r="J271" s="11" t="s">
        <v>1081</v>
      </c>
      <c r="K271" s="12" t="s">
        <v>17</v>
      </c>
      <c r="L271" s="10" t="s">
        <v>455</v>
      </c>
      <c r="M271" s="10" t="s">
        <v>15</v>
      </c>
      <c r="N271" s="2" t="s">
        <v>17</v>
      </c>
      <c r="O271" s="2" t="s">
        <v>17</v>
      </c>
      <c r="P271" s="2" t="s">
        <v>17</v>
      </c>
      <c r="S271" s="13"/>
    </row>
    <row r="272" spans="1:19" x14ac:dyDescent="0.2">
      <c r="A272" s="2">
        <v>269</v>
      </c>
      <c r="B272" s="8">
        <v>350404002</v>
      </c>
      <c r="C272" s="8" t="s">
        <v>1082</v>
      </c>
      <c r="D272" s="8" t="s">
        <v>17</v>
      </c>
      <c r="E272" s="9" t="s">
        <v>1077</v>
      </c>
      <c r="F272" s="10" t="s">
        <v>1082</v>
      </c>
      <c r="G272" s="10" t="s">
        <v>1082</v>
      </c>
      <c r="H272" s="10" t="s">
        <v>1079</v>
      </c>
      <c r="I272" s="11" t="s">
        <v>1083</v>
      </c>
      <c r="J272" s="11" t="s">
        <v>1084</v>
      </c>
      <c r="K272" s="12" t="s">
        <v>17</v>
      </c>
      <c r="L272" s="10" t="s">
        <v>455</v>
      </c>
      <c r="M272" s="10" t="s">
        <v>15</v>
      </c>
      <c r="N272" s="2" t="s">
        <v>17</v>
      </c>
      <c r="O272" s="2" t="s">
        <v>17</v>
      </c>
      <c r="P272" s="2" t="s">
        <v>17</v>
      </c>
      <c r="S272" s="13"/>
    </row>
    <row r="273" spans="1:19" x14ac:dyDescent="0.2">
      <c r="A273" s="2">
        <v>270</v>
      </c>
      <c r="B273" s="8">
        <v>350404003</v>
      </c>
      <c r="C273" s="8" t="s">
        <v>1085</v>
      </c>
      <c r="D273" s="8" t="s">
        <v>17</v>
      </c>
      <c r="E273" s="9" t="s">
        <v>1077</v>
      </c>
      <c r="F273" s="10" t="s">
        <v>1085</v>
      </c>
      <c r="G273" s="10" t="s">
        <v>1085</v>
      </c>
      <c r="H273" s="10" t="s">
        <v>1079</v>
      </c>
      <c r="I273" s="11" t="s">
        <v>1086</v>
      </c>
      <c r="J273" s="11" t="s">
        <v>1087</v>
      </c>
      <c r="K273" s="12" t="s">
        <v>17</v>
      </c>
      <c r="L273" s="10" t="s">
        <v>455</v>
      </c>
      <c r="M273" s="10" t="s">
        <v>15</v>
      </c>
      <c r="N273" s="2" t="s">
        <v>17</v>
      </c>
      <c r="O273" s="2" t="s">
        <v>17</v>
      </c>
      <c r="P273" s="2" t="s">
        <v>17</v>
      </c>
      <c r="S273" s="13"/>
    </row>
    <row r="274" spans="1:19" x14ac:dyDescent="0.2">
      <c r="A274" s="2">
        <v>271</v>
      </c>
      <c r="B274" s="8">
        <v>350404004</v>
      </c>
      <c r="C274" s="8" t="s">
        <v>1088</v>
      </c>
      <c r="D274" s="8" t="s">
        <v>17</v>
      </c>
      <c r="E274" s="9" t="s">
        <v>1077</v>
      </c>
      <c r="F274" s="10" t="s">
        <v>1088</v>
      </c>
      <c r="G274" s="10" t="s">
        <v>1088</v>
      </c>
      <c r="H274" s="10" t="s">
        <v>1079</v>
      </c>
      <c r="I274" s="11" t="s">
        <v>1089</v>
      </c>
      <c r="J274" s="11" t="s">
        <v>1090</v>
      </c>
      <c r="K274" s="12" t="s">
        <v>17</v>
      </c>
      <c r="L274" s="10" t="s">
        <v>455</v>
      </c>
      <c r="M274" s="10" t="s">
        <v>15</v>
      </c>
      <c r="N274" s="2" t="s">
        <v>17</v>
      </c>
      <c r="O274" s="2" t="s">
        <v>17</v>
      </c>
      <c r="P274" s="2" t="s">
        <v>17</v>
      </c>
      <c r="S274" s="13"/>
    </row>
    <row r="275" spans="1:19" x14ac:dyDescent="0.2">
      <c r="A275" s="2">
        <v>272</v>
      </c>
      <c r="B275" s="8">
        <v>350404005</v>
      </c>
      <c r="C275" s="8" t="s">
        <v>1091</v>
      </c>
      <c r="D275" s="8" t="s">
        <v>17</v>
      </c>
      <c r="E275" s="9" t="s">
        <v>1077</v>
      </c>
      <c r="F275" s="10" t="s">
        <v>1092</v>
      </c>
      <c r="G275" s="10" t="s">
        <v>1093</v>
      </c>
      <c r="H275" s="10" t="s">
        <v>1079</v>
      </c>
      <c r="I275" s="11" t="s">
        <v>1086</v>
      </c>
      <c r="J275" s="11" t="s">
        <v>1087</v>
      </c>
      <c r="K275" s="12" t="s">
        <v>17</v>
      </c>
      <c r="L275" s="10" t="s">
        <v>455</v>
      </c>
      <c r="M275" s="10" t="s">
        <v>15</v>
      </c>
      <c r="N275" s="2" t="s">
        <v>17</v>
      </c>
      <c r="O275" s="2" t="s">
        <v>17</v>
      </c>
      <c r="P275" s="2" t="s">
        <v>17</v>
      </c>
      <c r="S275" s="13"/>
    </row>
    <row r="276" spans="1:19" x14ac:dyDescent="0.2">
      <c r="A276" s="2">
        <v>273</v>
      </c>
      <c r="B276" s="8">
        <v>350404006</v>
      </c>
      <c r="C276" s="8" t="s">
        <v>1094</v>
      </c>
      <c r="D276" s="8" t="s">
        <v>17</v>
      </c>
      <c r="E276" s="9" t="s">
        <v>1077</v>
      </c>
      <c r="F276" s="10" t="s">
        <v>1095</v>
      </c>
      <c r="G276" s="10" t="s">
        <v>1094</v>
      </c>
      <c r="H276" s="10" t="s">
        <v>1079</v>
      </c>
      <c r="I276" s="11" t="s">
        <v>1096</v>
      </c>
      <c r="J276" s="11" t="s">
        <v>1097</v>
      </c>
      <c r="K276" s="12" t="s">
        <v>17</v>
      </c>
      <c r="L276" s="10" t="s">
        <v>455</v>
      </c>
      <c r="M276" s="10" t="s">
        <v>15</v>
      </c>
      <c r="N276" s="2" t="s">
        <v>17</v>
      </c>
      <c r="O276" s="2" t="s">
        <v>17</v>
      </c>
      <c r="P276" s="2" t="s">
        <v>17</v>
      </c>
      <c r="S276" s="13"/>
    </row>
    <row r="277" spans="1:19" x14ac:dyDescent="0.2">
      <c r="A277" s="2">
        <v>274</v>
      </c>
      <c r="B277" s="8">
        <v>350404007</v>
      </c>
      <c r="C277" s="8" t="s">
        <v>1098</v>
      </c>
      <c r="D277" s="8" t="s">
        <v>17</v>
      </c>
      <c r="E277" s="9" t="s">
        <v>1077</v>
      </c>
      <c r="F277" s="10" t="s">
        <v>1098</v>
      </c>
      <c r="G277" s="10" t="s">
        <v>1098</v>
      </c>
      <c r="H277" s="10" t="s">
        <v>1079</v>
      </c>
      <c r="I277" s="11" t="s">
        <v>1099</v>
      </c>
      <c r="J277" s="11" t="s">
        <v>1100</v>
      </c>
      <c r="K277" s="12" t="s">
        <v>17</v>
      </c>
      <c r="L277" s="10" t="s">
        <v>455</v>
      </c>
      <c r="M277" s="10" t="s">
        <v>15</v>
      </c>
      <c r="N277" s="2" t="s">
        <v>17</v>
      </c>
      <c r="O277" s="2" t="s">
        <v>17</v>
      </c>
      <c r="P277" s="2" t="s">
        <v>17</v>
      </c>
      <c r="S277" s="13"/>
    </row>
    <row r="278" spans="1:19" x14ac:dyDescent="0.2">
      <c r="A278" s="2">
        <v>275</v>
      </c>
      <c r="B278" s="8">
        <v>350404008</v>
      </c>
      <c r="C278" s="8" t="s">
        <v>1101</v>
      </c>
      <c r="D278" s="8" t="s">
        <v>17</v>
      </c>
      <c r="E278" s="9" t="s">
        <v>1077</v>
      </c>
      <c r="F278" s="10" t="s">
        <v>1101</v>
      </c>
      <c r="G278" s="10" t="s">
        <v>1101</v>
      </c>
      <c r="H278" s="10" t="s">
        <v>1079</v>
      </c>
      <c r="I278" s="11" t="s">
        <v>1102</v>
      </c>
      <c r="J278" s="11" t="s">
        <v>1103</v>
      </c>
      <c r="K278" s="12" t="s">
        <v>17</v>
      </c>
      <c r="L278" s="10" t="s">
        <v>455</v>
      </c>
      <c r="M278" s="10" t="s">
        <v>15</v>
      </c>
      <c r="N278" s="2" t="s">
        <v>17</v>
      </c>
      <c r="O278" s="2" t="s">
        <v>17</v>
      </c>
      <c r="P278" s="2" t="s">
        <v>17</v>
      </c>
      <c r="S278" s="13"/>
    </row>
    <row r="279" spans="1:19" x14ac:dyDescent="0.2">
      <c r="A279" s="2">
        <v>276</v>
      </c>
      <c r="B279" s="8">
        <v>350404009</v>
      </c>
      <c r="C279" s="8" t="s">
        <v>1104</v>
      </c>
      <c r="D279" s="8" t="s">
        <v>17</v>
      </c>
      <c r="E279" s="9" t="s">
        <v>1077</v>
      </c>
      <c r="F279" s="10" t="s">
        <v>1105</v>
      </c>
      <c r="G279" s="10" t="s">
        <v>1104</v>
      </c>
      <c r="H279" s="10" t="s">
        <v>1079</v>
      </c>
      <c r="I279" s="11" t="s">
        <v>1106</v>
      </c>
      <c r="J279" s="11" t="s">
        <v>1107</v>
      </c>
      <c r="K279" s="12" t="s">
        <v>17</v>
      </c>
      <c r="L279" s="10" t="s">
        <v>455</v>
      </c>
      <c r="M279" s="10" t="s">
        <v>15</v>
      </c>
      <c r="N279" s="2" t="s">
        <v>17</v>
      </c>
      <c r="O279" s="2" t="s">
        <v>17</v>
      </c>
      <c r="P279" s="2" t="s">
        <v>17</v>
      </c>
      <c r="S279" s="13"/>
    </row>
    <row r="280" spans="1:19" x14ac:dyDescent="0.2">
      <c r="A280" s="2">
        <v>277</v>
      </c>
      <c r="B280" s="8">
        <v>350404010</v>
      </c>
      <c r="C280" s="8" t="s">
        <v>1108</v>
      </c>
      <c r="D280" s="8" t="s">
        <v>17</v>
      </c>
      <c r="E280" s="9" t="s">
        <v>1077</v>
      </c>
      <c r="F280" s="10" t="s">
        <v>1109</v>
      </c>
      <c r="G280" s="10" t="s">
        <v>1108</v>
      </c>
      <c r="H280" s="10" t="s">
        <v>1079</v>
      </c>
      <c r="I280" s="11" t="s">
        <v>1110</v>
      </c>
      <c r="J280" s="11" t="s">
        <v>1111</v>
      </c>
      <c r="K280" s="12" t="s">
        <v>17</v>
      </c>
      <c r="L280" s="10" t="s">
        <v>455</v>
      </c>
      <c r="M280" s="10" t="s">
        <v>15</v>
      </c>
      <c r="N280" s="2" t="s">
        <v>17</v>
      </c>
      <c r="O280" s="2" t="s">
        <v>17</v>
      </c>
      <c r="P280" s="2" t="s">
        <v>17</v>
      </c>
      <c r="S280" s="13"/>
    </row>
    <row r="281" spans="1:19" x14ac:dyDescent="0.2">
      <c r="A281" s="2">
        <v>278</v>
      </c>
      <c r="B281" s="8">
        <v>350404011</v>
      </c>
      <c r="C281" s="8" t="s">
        <v>1112</v>
      </c>
      <c r="D281" s="8" t="s">
        <v>17</v>
      </c>
      <c r="E281" s="9" t="s">
        <v>1077</v>
      </c>
      <c r="F281" s="10" t="s">
        <v>1112</v>
      </c>
      <c r="G281" s="10" t="s">
        <v>1113</v>
      </c>
      <c r="H281" s="10" t="s">
        <v>1079</v>
      </c>
      <c r="I281" s="11" t="s">
        <v>1114</v>
      </c>
      <c r="J281" s="11" t="s">
        <v>1084</v>
      </c>
      <c r="K281" s="12" t="s">
        <v>17</v>
      </c>
      <c r="L281" s="10" t="s">
        <v>455</v>
      </c>
      <c r="M281" s="10" t="s">
        <v>15</v>
      </c>
      <c r="N281" s="2" t="s">
        <v>17</v>
      </c>
      <c r="O281" s="2" t="s">
        <v>17</v>
      </c>
      <c r="P281" s="2" t="s">
        <v>17</v>
      </c>
      <c r="S281" s="13"/>
    </row>
    <row r="282" spans="1:19" x14ac:dyDescent="0.2">
      <c r="A282" s="2">
        <v>279</v>
      </c>
      <c r="B282" s="8">
        <v>350404012</v>
      </c>
      <c r="C282" s="8" t="s">
        <v>1115</v>
      </c>
      <c r="D282" s="8" t="s">
        <v>17</v>
      </c>
      <c r="E282" s="9" t="s">
        <v>1077</v>
      </c>
      <c r="F282" s="10" t="s">
        <v>956</v>
      </c>
      <c r="G282" s="10" t="s">
        <v>1113</v>
      </c>
      <c r="H282" s="10" t="s">
        <v>1079</v>
      </c>
      <c r="I282" s="11" t="s">
        <v>1116</v>
      </c>
      <c r="J282" s="11" t="s">
        <v>1117</v>
      </c>
      <c r="K282" s="12" t="s">
        <v>17</v>
      </c>
      <c r="L282" s="10" t="s">
        <v>455</v>
      </c>
      <c r="M282" s="10" t="s">
        <v>15</v>
      </c>
      <c r="N282" s="2" t="s">
        <v>17</v>
      </c>
      <c r="O282" s="2" t="s">
        <v>17</v>
      </c>
      <c r="P282" s="2" t="s">
        <v>17</v>
      </c>
      <c r="S282" s="13"/>
    </row>
    <row r="283" spans="1:19" x14ac:dyDescent="0.2">
      <c r="A283" s="2">
        <v>280</v>
      </c>
      <c r="B283" s="8">
        <v>350404013</v>
      </c>
      <c r="C283" s="8" t="s">
        <v>1118</v>
      </c>
      <c r="D283" s="8" t="s">
        <v>17</v>
      </c>
      <c r="E283" s="9" t="s">
        <v>1077</v>
      </c>
      <c r="F283" s="10" t="s">
        <v>1118</v>
      </c>
      <c r="G283" s="10" t="s">
        <v>1118</v>
      </c>
      <c r="H283" s="10" t="s">
        <v>1079</v>
      </c>
      <c r="I283" s="11" t="s">
        <v>1119</v>
      </c>
      <c r="J283" s="11" t="s">
        <v>1120</v>
      </c>
      <c r="K283" s="12" t="s">
        <v>17</v>
      </c>
      <c r="L283" s="10" t="s">
        <v>455</v>
      </c>
      <c r="M283" s="10" t="s">
        <v>15</v>
      </c>
      <c r="N283" s="2" t="s">
        <v>17</v>
      </c>
      <c r="O283" s="2" t="s">
        <v>17</v>
      </c>
      <c r="P283" s="2" t="s">
        <v>17</v>
      </c>
      <c r="S283" s="13"/>
    </row>
    <row r="284" spans="1:19" x14ac:dyDescent="0.2">
      <c r="A284" s="2">
        <v>281</v>
      </c>
      <c r="B284" s="8">
        <v>350404014</v>
      </c>
      <c r="C284" s="8" t="s">
        <v>1121</v>
      </c>
      <c r="D284" s="8" t="s">
        <v>17</v>
      </c>
      <c r="E284" s="9" t="s">
        <v>1077</v>
      </c>
      <c r="F284" s="10" t="s">
        <v>1122</v>
      </c>
      <c r="G284" s="10" t="s">
        <v>1123</v>
      </c>
      <c r="H284" s="10" t="s">
        <v>1079</v>
      </c>
      <c r="I284" s="11" t="s">
        <v>1124</v>
      </c>
      <c r="J284" s="11" t="s">
        <v>1125</v>
      </c>
      <c r="K284" s="12" t="s">
        <v>17</v>
      </c>
      <c r="L284" s="10" t="s">
        <v>455</v>
      </c>
      <c r="M284" s="10" t="s">
        <v>15</v>
      </c>
      <c r="N284" s="2" t="s">
        <v>17</v>
      </c>
      <c r="O284" s="2" t="s">
        <v>17</v>
      </c>
      <c r="P284" s="2" t="s">
        <v>17</v>
      </c>
      <c r="S284" s="13"/>
    </row>
    <row r="285" spans="1:19" x14ac:dyDescent="0.2">
      <c r="A285" s="2">
        <v>282</v>
      </c>
      <c r="B285" s="8">
        <v>350404015</v>
      </c>
      <c r="C285" s="8" t="s">
        <v>1126</v>
      </c>
      <c r="D285" s="8" t="s">
        <v>17</v>
      </c>
      <c r="E285" s="9" t="s">
        <v>1077</v>
      </c>
      <c r="F285" s="10" t="s">
        <v>1127</v>
      </c>
      <c r="G285" s="10" t="s">
        <v>1123</v>
      </c>
      <c r="H285" s="10" t="s">
        <v>1079</v>
      </c>
      <c r="I285" s="11" t="s">
        <v>1128</v>
      </c>
      <c r="J285" s="11" t="s">
        <v>1129</v>
      </c>
      <c r="K285" s="12" t="s">
        <v>17</v>
      </c>
      <c r="L285" s="10" t="s">
        <v>455</v>
      </c>
      <c r="M285" s="10" t="s">
        <v>15</v>
      </c>
      <c r="N285" s="2" t="s">
        <v>17</v>
      </c>
      <c r="O285" s="2" t="s">
        <v>17</v>
      </c>
      <c r="P285" s="2" t="s">
        <v>17</v>
      </c>
      <c r="S285" s="13"/>
    </row>
    <row r="286" spans="1:19" x14ac:dyDescent="0.2">
      <c r="A286" s="2">
        <v>283</v>
      </c>
      <c r="B286" s="8">
        <v>350404016</v>
      </c>
      <c r="C286" s="8" t="s">
        <v>1130</v>
      </c>
      <c r="D286" s="8" t="s">
        <v>17</v>
      </c>
      <c r="E286" s="9" t="s">
        <v>1077</v>
      </c>
      <c r="F286" s="10" t="s">
        <v>1131</v>
      </c>
      <c r="G286" s="10" t="s">
        <v>1123</v>
      </c>
      <c r="H286" s="10" t="s">
        <v>1079</v>
      </c>
      <c r="I286" s="11" t="s">
        <v>1132</v>
      </c>
      <c r="J286" s="11" t="s">
        <v>1133</v>
      </c>
      <c r="K286" s="12" t="s">
        <v>17</v>
      </c>
      <c r="L286" s="10" t="s">
        <v>455</v>
      </c>
      <c r="M286" s="10" t="s">
        <v>15</v>
      </c>
      <c r="N286" s="2" t="s">
        <v>17</v>
      </c>
      <c r="O286" s="2" t="s">
        <v>17</v>
      </c>
      <c r="P286" s="2" t="s">
        <v>17</v>
      </c>
      <c r="S286" s="13"/>
    </row>
    <row r="287" spans="1:19" x14ac:dyDescent="0.2">
      <c r="A287" s="2">
        <v>284</v>
      </c>
      <c r="B287" s="8">
        <v>350404017</v>
      </c>
      <c r="C287" s="8" t="s">
        <v>1123</v>
      </c>
      <c r="D287" s="8" t="s">
        <v>17</v>
      </c>
      <c r="E287" s="9" t="s">
        <v>1077</v>
      </c>
      <c r="F287" s="10" t="s">
        <v>1123</v>
      </c>
      <c r="G287" s="10" t="s">
        <v>1123</v>
      </c>
      <c r="H287" s="10" t="s">
        <v>1079</v>
      </c>
      <c r="I287" s="11" t="s">
        <v>1134</v>
      </c>
      <c r="J287" s="11" t="s">
        <v>1135</v>
      </c>
      <c r="K287" s="12" t="s">
        <v>17</v>
      </c>
      <c r="L287" s="10" t="s">
        <v>455</v>
      </c>
      <c r="M287" s="10" t="s">
        <v>15</v>
      </c>
      <c r="N287" s="2" t="s">
        <v>17</v>
      </c>
      <c r="O287" s="2" t="s">
        <v>17</v>
      </c>
      <c r="P287" s="2" t="s">
        <v>17</v>
      </c>
      <c r="S287" s="13"/>
    </row>
    <row r="288" spans="1:19" x14ac:dyDescent="0.2">
      <c r="A288" s="2">
        <v>285</v>
      </c>
      <c r="B288" s="8">
        <v>350404018</v>
      </c>
      <c r="C288" s="8" t="s">
        <v>1136</v>
      </c>
      <c r="D288" s="8" t="s">
        <v>17</v>
      </c>
      <c r="E288" s="9" t="s">
        <v>1077</v>
      </c>
      <c r="F288" s="10" t="s">
        <v>1137</v>
      </c>
      <c r="G288" s="10" t="s">
        <v>1136</v>
      </c>
      <c r="H288" s="10" t="s">
        <v>1079</v>
      </c>
      <c r="I288" s="11" t="s">
        <v>1138</v>
      </c>
      <c r="J288" s="11" t="s">
        <v>1139</v>
      </c>
      <c r="K288" s="12" t="s">
        <v>17</v>
      </c>
      <c r="L288" s="10" t="s">
        <v>455</v>
      </c>
      <c r="M288" s="10" t="s">
        <v>15</v>
      </c>
      <c r="N288" s="2" t="s">
        <v>17</v>
      </c>
      <c r="O288" s="2" t="s">
        <v>17</v>
      </c>
      <c r="P288" s="2" t="s">
        <v>17</v>
      </c>
      <c r="S288" s="13"/>
    </row>
    <row r="289" spans="1:19" x14ac:dyDescent="0.2">
      <c r="A289" s="2">
        <v>286</v>
      </c>
      <c r="B289" s="8">
        <v>350404019</v>
      </c>
      <c r="C289" s="8" t="s">
        <v>1140</v>
      </c>
      <c r="D289" s="8" t="s">
        <v>17</v>
      </c>
      <c r="E289" s="9" t="s">
        <v>1077</v>
      </c>
      <c r="F289" s="10" t="s">
        <v>1141</v>
      </c>
      <c r="G289" s="10" t="s">
        <v>68</v>
      </c>
      <c r="H289" s="10" t="s">
        <v>1079</v>
      </c>
      <c r="I289" s="11" t="s">
        <v>1142</v>
      </c>
      <c r="J289" s="11" t="s">
        <v>1143</v>
      </c>
      <c r="K289" s="12" t="s">
        <v>17</v>
      </c>
      <c r="L289" s="10" t="s">
        <v>455</v>
      </c>
      <c r="M289" s="10" t="s">
        <v>15</v>
      </c>
      <c r="N289" s="2" t="s">
        <v>17</v>
      </c>
      <c r="O289" s="2" t="s">
        <v>17</v>
      </c>
      <c r="P289" s="2" t="s">
        <v>17</v>
      </c>
      <c r="S289" s="13"/>
    </row>
    <row r="290" spans="1:19" x14ac:dyDescent="0.2">
      <c r="A290" s="2">
        <v>287</v>
      </c>
      <c r="B290" s="8">
        <v>350404020</v>
      </c>
      <c r="C290" s="8" t="s">
        <v>1144</v>
      </c>
      <c r="D290" s="8" t="s">
        <v>17</v>
      </c>
      <c r="E290" s="9" t="s">
        <v>1077</v>
      </c>
      <c r="F290" s="10" t="s">
        <v>1145</v>
      </c>
      <c r="G290" s="10" t="s">
        <v>1144</v>
      </c>
      <c r="H290" s="10" t="s">
        <v>1079</v>
      </c>
      <c r="I290" s="11" t="s">
        <v>1146</v>
      </c>
      <c r="J290" s="11" t="s">
        <v>1147</v>
      </c>
      <c r="K290" s="12" t="s">
        <v>17</v>
      </c>
      <c r="L290" s="10" t="s">
        <v>455</v>
      </c>
      <c r="M290" s="10" t="s">
        <v>15</v>
      </c>
      <c r="N290" s="2" t="s">
        <v>17</v>
      </c>
      <c r="O290" s="2" t="s">
        <v>17</v>
      </c>
      <c r="P290" s="2" t="s">
        <v>17</v>
      </c>
      <c r="S290" s="13"/>
    </row>
    <row r="291" spans="1:19" x14ac:dyDescent="0.2">
      <c r="A291" s="2">
        <v>288</v>
      </c>
      <c r="B291" s="8">
        <v>350404021</v>
      </c>
      <c r="C291" s="8" t="s">
        <v>1148</v>
      </c>
      <c r="D291" s="8" t="s">
        <v>17</v>
      </c>
      <c r="E291" s="9" t="s">
        <v>1077</v>
      </c>
      <c r="F291" s="10" t="s">
        <v>1149</v>
      </c>
      <c r="G291" s="10" t="s">
        <v>1101</v>
      </c>
      <c r="H291" s="10" t="s">
        <v>1079</v>
      </c>
      <c r="I291" s="11" t="s">
        <v>1150</v>
      </c>
      <c r="J291" s="11" t="s">
        <v>1151</v>
      </c>
      <c r="K291" s="12" t="s">
        <v>17</v>
      </c>
      <c r="L291" s="10" t="s">
        <v>455</v>
      </c>
      <c r="M291" s="10" t="s">
        <v>15</v>
      </c>
      <c r="N291" s="2" t="s">
        <v>17</v>
      </c>
      <c r="O291" s="2" t="s">
        <v>17</v>
      </c>
      <c r="P291" s="2" t="s">
        <v>17</v>
      </c>
      <c r="S291" s="13"/>
    </row>
    <row r="292" spans="1:19" x14ac:dyDescent="0.2">
      <c r="A292" s="2">
        <v>289</v>
      </c>
      <c r="B292" s="8">
        <v>350405001</v>
      </c>
      <c r="C292" s="8" t="s">
        <v>1152</v>
      </c>
      <c r="D292" s="8" t="s">
        <v>17</v>
      </c>
      <c r="E292" s="9" t="s">
        <v>1077</v>
      </c>
      <c r="F292" s="10" t="s">
        <v>1152</v>
      </c>
      <c r="G292" s="10" t="s">
        <v>1153</v>
      </c>
      <c r="H292" s="10" t="s">
        <v>1154</v>
      </c>
      <c r="I292" s="11" t="s">
        <v>1155</v>
      </c>
      <c r="J292" s="11" t="s">
        <v>1156</v>
      </c>
      <c r="K292" s="12" t="s">
        <v>17</v>
      </c>
      <c r="L292" s="10" t="s">
        <v>455</v>
      </c>
      <c r="M292" s="10" t="s">
        <v>15</v>
      </c>
      <c r="N292" s="2" t="s">
        <v>17</v>
      </c>
      <c r="O292" s="2" t="s">
        <v>17</v>
      </c>
      <c r="P292" s="2" t="s">
        <v>17</v>
      </c>
      <c r="S292" s="13"/>
    </row>
    <row r="293" spans="1:19" x14ac:dyDescent="0.2">
      <c r="A293" s="2">
        <v>290</v>
      </c>
      <c r="B293" s="8">
        <v>350405002</v>
      </c>
      <c r="C293" s="8" t="s">
        <v>1157</v>
      </c>
      <c r="D293" s="8" t="s">
        <v>17</v>
      </c>
      <c r="E293" s="9" t="s">
        <v>1077</v>
      </c>
      <c r="F293" s="10" t="s">
        <v>1158</v>
      </c>
      <c r="G293" s="10" t="s">
        <v>1159</v>
      </c>
      <c r="H293" s="10" t="s">
        <v>1154</v>
      </c>
      <c r="I293" s="11" t="s">
        <v>1160</v>
      </c>
      <c r="J293" s="11" t="s">
        <v>1161</v>
      </c>
      <c r="K293" s="12" t="s">
        <v>17</v>
      </c>
      <c r="L293" s="10" t="s">
        <v>455</v>
      </c>
      <c r="M293" s="10" t="s">
        <v>15</v>
      </c>
      <c r="N293" s="2" t="s">
        <v>17</v>
      </c>
      <c r="O293" s="2" t="s">
        <v>17</v>
      </c>
      <c r="P293" s="2" t="s">
        <v>17</v>
      </c>
      <c r="S293" s="13"/>
    </row>
    <row r="294" spans="1:19" x14ac:dyDescent="0.2">
      <c r="A294" s="2">
        <v>291</v>
      </c>
      <c r="B294" s="8">
        <v>350405003</v>
      </c>
      <c r="C294" s="8" t="s">
        <v>1162</v>
      </c>
      <c r="D294" s="8" t="s">
        <v>17</v>
      </c>
      <c r="E294" s="9" t="s">
        <v>1077</v>
      </c>
      <c r="F294" s="10" t="s">
        <v>1162</v>
      </c>
      <c r="G294" s="10" t="s">
        <v>1162</v>
      </c>
      <c r="H294" s="10" t="s">
        <v>1154</v>
      </c>
      <c r="I294" s="11" t="s">
        <v>1163</v>
      </c>
      <c r="J294" s="11" t="s">
        <v>1164</v>
      </c>
      <c r="K294" s="12" t="s">
        <v>17</v>
      </c>
      <c r="L294" s="10" t="s">
        <v>455</v>
      </c>
      <c r="M294" s="10" t="s">
        <v>15</v>
      </c>
      <c r="N294" s="2" t="s">
        <v>17</v>
      </c>
      <c r="O294" s="2" t="s">
        <v>17</v>
      </c>
      <c r="P294" s="2" t="s">
        <v>17</v>
      </c>
      <c r="S294" s="13"/>
    </row>
    <row r="295" spans="1:19" x14ac:dyDescent="0.2">
      <c r="A295" s="2">
        <v>292</v>
      </c>
      <c r="B295" s="8">
        <v>350405004</v>
      </c>
      <c r="C295" s="8" t="s">
        <v>1165</v>
      </c>
      <c r="D295" s="8" t="s">
        <v>17</v>
      </c>
      <c r="E295" s="9" t="s">
        <v>1077</v>
      </c>
      <c r="F295" s="10" t="s">
        <v>1166</v>
      </c>
      <c r="G295" s="10" t="s">
        <v>1165</v>
      </c>
      <c r="H295" s="10" t="s">
        <v>1154</v>
      </c>
      <c r="I295" s="11" t="s">
        <v>1167</v>
      </c>
      <c r="J295" s="11" t="s">
        <v>1168</v>
      </c>
      <c r="K295" s="12" t="s">
        <v>17</v>
      </c>
      <c r="L295" s="10" t="s">
        <v>455</v>
      </c>
      <c r="M295" s="10" t="s">
        <v>15</v>
      </c>
      <c r="N295" s="2" t="s">
        <v>17</v>
      </c>
      <c r="O295" s="2" t="s">
        <v>17</v>
      </c>
      <c r="P295" s="2" t="s">
        <v>17</v>
      </c>
      <c r="S295" s="13"/>
    </row>
    <row r="296" spans="1:19" x14ac:dyDescent="0.2">
      <c r="A296" s="2">
        <v>293</v>
      </c>
      <c r="B296" s="8">
        <v>350405005</v>
      </c>
      <c r="C296" s="8" t="s">
        <v>1169</v>
      </c>
      <c r="D296" s="8" t="s">
        <v>17</v>
      </c>
      <c r="E296" s="9" t="s">
        <v>1077</v>
      </c>
      <c r="F296" s="10" t="s">
        <v>1169</v>
      </c>
      <c r="G296" s="10" t="s">
        <v>1170</v>
      </c>
      <c r="H296" s="10" t="s">
        <v>1154</v>
      </c>
      <c r="I296" s="11" t="s">
        <v>1171</v>
      </c>
      <c r="J296" s="11" t="s">
        <v>1172</v>
      </c>
      <c r="K296" s="12" t="s">
        <v>17</v>
      </c>
      <c r="L296" s="10" t="s">
        <v>455</v>
      </c>
      <c r="M296" s="10" t="s">
        <v>15</v>
      </c>
      <c r="N296" s="2" t="s">
        <v>17</v>
      </c>
      <c r="O296" s="2" t="s">
        <v>17</v>
      </c>
      <c r="P296" s="2" t="s">
        <v>17</v>
      </c>
      <c r="S296" s="13"/>
    </row>
    <row r="297" spans="1:19" x14ac:dyDescent="0.2">
      <c r="A297" s="2">
        <v>294</v>
      </c>
      <c r="B297" s="8">
        <v>350405006</v>
      </c>
      <c r="C297" s="8" t="s">
        <v>1173</v>
      </c>
      <c r="D297" s="8" t="s">
        <v>17</v>
      </c>
      <c r="E297" s="9" t="s">
        <v>1077</v>
      </c>
      <c r="F297" s="10" t="s">
        <v>1173</v>
      </c>
      <c r="G297" s="10" t="s">
        <v>1174</v>
      </c>
      <c r="H297" s="10" t="s">
        <v>1154</v>
      </c>
      <c r="I297" s="11" t="s">
        <v>1175</v>
      </c>
      <c r="J297" s="11" t="s">
        <v>1176</v>
      </c>
      <c r="K297" s="12" t="s">
        <v>17</v>
      </c>
      <c r="L297" s="10" t="s">
        <v>455</v>
      </c>
      <c r="M297" s="10" t="s">
        <v>15</v>
      </c>
      <c r="N297" s="2" t="s">
        <v>17</v>
      </c>
      <c r="O297" s="2" t="s">
        <v>17</v>
      </c>
      <c r="P297" s="2" t="s">
        <v>17</v>
      </c>
      <c r="S297" s="13"/>
    </row>
    <row r="298" spans="1:19" x14ac:dyDescent="0.2">
      <c r="A298" s="2">
        <v>295</v>
      </c>
      <c r="B298" s="8">
        <v>350405007</v>
      </c>
      <c r="C298" s="8" t="s">
        <v>1177</v>
      </c>
      <c r="D298" s="8" t="s">
        <v>17</v>
      </c>
      <c r="E298" s="9" t="s">
        <v>1077</v>
      </c>
      <c r="F298" s="10" t="s">
        <v>1177</v>
      </c>
      <c r="G298" s="10" t="s">
        <v>1178</v>
      </c>
      <c r="H298" s="10" t="s">
        <v>1154</v>
      </c>
      <c r="I298" s="11" t="s">
        <v>1179</v>
      </c>
      <c r="J298" s="11" t="s">
        <v>1180</v>
      </c>
      <c r="K298" s="12" t="s">
        <v>17</v>
      </c>
      <c r="L298" s="10" t="s">
        <v>455</v>
      </c>
      <c r="M298" s="10" t="s">
        <v>15</v>
      </c>
      <c r="N298" s="2" t="s">
        <v>17</v>
      </c>
      <c r="O298" s="2" t="s">
        <v>17</v>
      </c>
      <c r="P298" s="2" t="s">
        <v>17</v>
      </c>
      <c r="S298" s="13"/>
    </row>
    <row r="299" spans="1:19" x14ac:dyDescent="0.2">
      <c r="A299" s="2">
        <v>296</v>
      </c>
      <c r="B299" s="8">
        <v>350405008</v>
      </c>
      <c r="C299" s="8" t="s">
        <v>1181</v>
      </c>
      <c r="D299" s="8" t="s">
        <v>17</v>
      </c>
      <c r="E299" s="9" t="s">
        <v>1077</v>
      </c>
      <c r="F299" s="10" t="s">
        <v>1181</v>
      </c>
      <c r="G299" s="10" t="s">
        <v>1178</v>
      </c>
      <c r="H299" s="10" t="s">
        <v>1154</v>
      </c>
      <c r="I299" s="11" t="s">
        <v>1182</v>
      </c>
      <c r="J299" s="11" t="s">
        <v>1183</v>
      </c>
      <c r="K299" s="12" t="s">
        <v>17</v>
      </c>
      <c r="L299" s="10" t="s">
        <v>455</v>
      </c>
      <c r="M299" s="10" t="s">
        <v>15</v>
      </c>
      <c r="N299" s="2" t="s">
        <v>17</v>
      </c>
      <c r="O299" s="2" t="s">
        <v>17</v>
      </c>
      <c r="P299" s="2" t="s">
        <v>17</v>
      </c>
      <c r="S299" s="13"/>
    </row>
    <row r="300" spans="1:19" x14ac:dyDescent="0.2">
      <c r="A300" s="2">
        <v>297</v>
      </c>
      <c r="B300" s="8">
        <v>350405009</v>
      </c>
      <c r="C300" s="8" t="s">
        <v>1184</v>
      </c>
      <c r="D300" s="8" t="s">
        <v>17</v>
      </c>
      <c r="E300" s="9" t="s">
        <v>1077</v>
      </c>
      <c r="F300" s="10" t="s">
        <v>1184</v>
      </c>
      <c r="G300" s="10" t="s">
        <v>1184</v>
      </c>
      <c r="H300" s="10" t="s">
        <v>1154</v>
      </c>
      <c r="I300" s="11" t="s">
        <v>1185</v>
      </c>
      <c r="J300" s="11" t="s">
        <v>1186</v>
      </c>
      <c r="K300" s="12" t="s">
        <v>17</v>
      </c>
      <c r="L300" s="10" t="s">
        <v>455</v>
      </c>
      <c r="M300" s="10" t="s">
        <v>15</v>
      </c>
      <c r="N300" s="2" t="s">
        <v>17</v>
      </c>
      <c r="O300" s="2" t="s">
        <v>17</v>
      </c>
      <c r="P300" s="2" t="s">
        <v>17</v>
      </c>
      <c r="S300" s="13"/>
    </row>
    <row r="301" spans="1:19" x14ac:dyDescent="0.2">
      <c r="A301" s="2">
        <v>298</v>
      </c>
      <c r="B301" s="8">
        <v>350405010</v>
      </c>
      <c r="C301" s="8" t="s">
        <v>1174</v>
      </c>
      <c r="D301" s="8" t="s">
        <v>17</v>
      </c>
      <c r="E301" s="9" t="s">
        <v>1077</v>
      </c>
      <c r="F301" s="10" t="s">
        <v>1187</v>
      </c>
      <c r="G301" s="10" t="s">
        <v>1174</v>
      </c>
      <c r="H301" s="10" t="s">
        <v>1154</v>
      </c>
      <c r="I301" s="11" t="s">
        <v>1188</v>
      </c>
      <c r="J301" s="11" t="s">
        <v>1189</v>
      </c>
      <c r="K301" s="12" t="s">
        <v>17</v>
      </c>
      <c r="L301" s="10" t="s">
        <v>455</v>
      </c>
      <c r="M301" s="10" t="s">
        <v>15</v>
      </c>
      <c r="N301" s="2" t="s">
        <v>17</v>
      </c>
      <c r="O301" s="2" t="s">
        <v>17</v>
      </c>
      <c r="P301" s="2" t="s">
        <v>17</v>
      </c>
      <c r="S301" s="13"/>
    </row>
    <row r="302" spans="1:19" x14ac:dyDescent="0.2">
      <c r="A302" s="2">
        <v>299</v>
      </c>
      <c r="B302" s="8">
        <v>350405011</v>
      </c>
      <c r="C302" s="8" t="s">
        <v>1190</v>
      </c>
      <c r="D302" s="8" t="s">
        <v>17</v>
      </c>
      <c r="E302" s="9" t="s">
        <v>1077</v>
      </c>
      <c r="F302" s="10" t="s">
        <v>1191</v>
      </c>
      <c r="G302" s="10" t="s">
        <v>1184</v>
      </c>
      <c r="H302" s="10" t="s">
        <v>1154</v>
      </c>
      <c r="I302" s="11" t="s">
        <v>1192</v>
      </c>
      <c r="J302" s="11" t="s">
        <v>1193</v>
      </c>
      <c r="K302" s="12" t="s">
        <v>17</v>
      </c>
      <c r="L302" s="10" t="s">
        <v>455</v>
      </c>
      <c r="M302" s="10" t="s">
        <v>15</v>
      </c>
      <c r="N302" s="2" t="s">
        <v>17</v>
      </c>
      <c r="O302" s="2" t="s">
        <v>17</v>
      </c>
      <c r="P302" s="2" t="s">
        <v>17</v>
      </c>
      <c r="S302" s="13"/>
    </row>
    <row r="303" spans="1:19" x14ac:dyDescent="0.2">
      <c r="A303" s="2">
        <v>300</v>
      </c>
      <c r="B303" s="8">
        <v>350405012</v>
      </c>
      <c r="C303" s="8" t="s">
        <v>1194</v>
      </c>
      <c r="D303" s="8" t="s">
        <v>17</v>
      </c>
      <c r="E303" s="9" t="s">
        <v>1077</v>
      </c>
      <c r="F303" s="10" t="s">
        <v>1195</v>
      </c>
      <c r="G303" s="10" t="s">
        <v>1196</v>
      </c>
      <c r="H303" s="10" t="s">
        <v>1154</v>
      </c>
      <c r="I303" s="11" t="s">
        <v>1197</v>
      </c>
      <c r="J303" s="11" t="s">
        <v>1198</v>
      </c>
      <c r="K303" s="12" t="s">
        <v>17</v>
      </c>
      <c r="L303" s="10" t="s">
        <v>455</v>
      </c>
      <c r="M303" s="10" t="s">
        <v>15</v>
      </c>
      <c r="N303" s="2" t="s">
        <v>17</v>
      </c>
      <c r="O303" s="2" t="s">
        <v>17</v>
      </c>
      <c r="P303" s="2" t="s">
        <v>17</v>
      </c>
      <c r="S303" s="13"/>
    </row>
    <row r="304" spans="1:19" x14ac:dyDescent="0.2">
      <c r="A304" s="2">
        <v>301</v>
      </c>
      <c r="B304" s="8">
        <v>350405013</v>
      </c>
      <c r="C304" s="8" t="s">
        <v>1199</v>
      </c>
      <c r="D304" s="8" t="s">
        <v>17</v>
      </c>
      <c r="E304" s="9" t="s">
        <v>1077</v>
      </c>
      <c r="F304" s="10" t="s">
        <v>1195</v>
      </c>
      <c r="G304" s="10" t="s">
        <v>1196</v>
      </c>
      <c r="H304" s="10" t="s">
        <v>1154</v>
      </c>
      <c r="I304" s="11" t="s">
        <v>1200</v>
      </c>
      <c r="J304" s="11" t="s">
        <v>1201</v>
      </c>
      <c r="K304" s="12" t="s">
        <v>17</v>
      </c>
      <c r="L304" s="10" t="s">
        <v>455</v>
      </c>
      <c r="M304" s="10" t="s">
        <v>15</v>
      </c>
      <c r="N304" s="2" t="s">
        <v>17</v>
      </c>
      <c r="O304" s="2" t="s">
        <v>17</v>
      </c>
      <c r="P304" s="2" t="s">
        <v>17</v>
      </c>
      <c r="S304" s="13"/>
    </row>
    <row r="305" spans="1:19" x14ac:dyDescent="0.2">
      <c r="A305" s="2">
        <v>302</v>
      </c>
      <c r="B305" s="8">
        <v>350405014</v>
      </c>
      <c r="C305" s="8" t="s">
        <v>82</v>
      </c>
      <c r="D305" s="8" t="s">
        <v>17</v>
      </c>
      <c r="E305" s="9" t="s">
        <v>1077</v>
      </c>
      <c r="F305" s="10" t="s">
        <v>1202</v>
      </c>
      <c r="G305" s="10" t="s">
        <v>1196</v>
      </c>
      <c r="H305" s="10" t="s">
        <v>1154</v>
      </c>
      <c r="I305" s="11" t="s">
        <v>1203</v>
      </c>
      <c r="J305" s="11" t="s">
        <v>1204</v>
      </c>
      <c r="K305" s="12" t="s">
        <v>17</v>
      </c>
      <c r="L305" s="10" t="s">
        <v>455</v>
      </c>
      <c r="M305" s="10" t="s">
        <v>15</v>
      </c>
      <c r="N305" s="2" t="s">
        <v>17</v>
      </c>
      <c r="O305" s="2" t="s">
        <v>17</v>
      </c>
      <c r="P305" s="2" t="s">
        <v>17</v>
      </c>
      <c r="S305" s="13"/>
    </row>
    <row r="306" spans="1:19" x14ac:dyDescent="0.2">
      <c r="A306" s="2">
        <v>303</v>
      </c>
      <c r="B306" s="8">
        <v>350405015</v>
      </c>
      <c r="C306" s="8" t="s">
        <v>1205</v>
      </c>
      <c r="D306" s="8" t="s">
        <v>17</v>
      </c>
      <c r="E306" s="9" t="s">
        <v>1077</v>
      </c>
      <c r="F306" s="10" t="s">
        <v>1206</v>
      </c>
      <c r="G306" s="10" t="s">
        <v>1207</v>
      </c>
      <c r="H306" s="10" t="s">
        <v>1154</v>
      </c>
      <c r="I306" s="11" t="s">
        <v>1208</v>
      </c>
      <c r="J306" s="11" t="s">
        <v>1209</v>
      </c>
      <c r="K306" s="12" t="s">
        <v>17</v>
      </c>
      <c r="L306" s="10" t="s">
        <v>455</v>
      </c>
      <c r="M306" s="10" t="s">
        <v>15</v>
      </c>
      <c r="N306" s="2" t="s">
        <v>17</v>
      </c>
      <c r="O306" s="2" t="s">
        <v>17</v>
      </c>
      <c r="P306" s="2" t="s">
        <v>17</v>
      </c>
      <c r="S306" s="13"/>
    </row>
    <row r="307" spans="1:19" x14ac:dyDescent="0.2">
      <c r="A307" s="2">
        <v>304</v>
      </c>
      <c r="B307" s="8">
        <v>350405016</v>
      </c>
      <c r="C307" s="8" t="s">
        <v>1210</v>
      </c>
      <c r="D307" s="8" t="s">
        <v>17</v>
      </c>
      <c r="E307" s="9" t="s">
        <v>1077</v>
      </c>
      <c r="F307" s="10" t="s">
        <v>1211</v>
      </c>
      <c r="G307" s="10" t="s">
        <v>1212</v>
      </c>
      <c r="H307" s="10" t="s">
        <v>1154</v>
      </c>
      <c r="I307" s="11" t="s">
        <v>1213</v>
      </c>
      <c r="J307" s="11" t="s">
        <v>1214</v>
      </c>
      <c r="K307" s="12" t="s">
        <v>17</v>
      </c>
      <c r="L307" s="10" t="s">
        <v>455</v>
      </c>
      <c r="M307" s="10" t="s">
        <v>15</v>
      </c>
      <c r="N307" s="2" t="s">
        <v>17</v>
      </c>
      <c r="O307" s="2" t="s">
        <v>17</v>
      </c>
      <c r="P307" s="2" t="s">
        <v>17</v>
      </c>
      <c r="S307" s="13"/>
    </row>
    <row r="308" spans="1:19" x14ac:dyDescent="0.2">
      <c r="A308" s="2">
        <v>305</v>
      </c>
      <c r="B308" s="8">
        <v>350405017</v>
      </c>
      <c r="C308" s="8" t="s">
        <v>1207</v>
      </c>
      <c r="D308" s="8" t="s">
        <v>17</v>
      </c>
      <c r="E308" s="9" t="s">
        <v>1077</v>
      </c>
      <c r="F308" s="10" t="s">
        <v>1215</v>
      </c>
      <c r="G308" s="10" t="s">
        <v>1207</v>
      </c>
      <c r="H308" s="10" t="s">
        <v>1154</v>
      </c>
      <c r="I308" s="11" t="s">
        <v>1216</v>
      </c>
      <c r="J308" s="11" t="s">
        <v>1217</v>
      </c>
      <c r="K308" s="12" t="s">
        <v>17</v>
      </c>
      <c r="L308" s="10" t="s">
        <v>455</v>
      </c>
      <c r="M308" s="10" t="s">
        <v>15</v>
      </c>
      <c r="N308" s="2" t="s">
        <v>17</v>
      </c>
      <c r="O308" s="2" t="s">
        <v>17</v>
      </c>
      <c r="P308" s="2" t="s">
        <v>17</v>
      </c>
      <c r="S308" s="13"/>
    </row>
    <row r="309" spans="1:19" x14ac:dyDescent="0.2">
      <c r="A309" s="2">
        <v>306</v>
      </c>
      <c r="B309" s="8">
        <v>350405018</v>
      </c>
      <c r="C309" s="8" t="s">
        <v>1218</v>
      </c>
      <c r="D309" s="8" t="s">
        <v>17</v>
      </c>
      <c r="E309" s="9" t="s">
        <v>1077</v>
      </c>
      <c r="F309" s="10" t="s">
        <v>1219</v>
      </c>
      <c r="G309" s="10" t="s">
        <v>1218</v>
      </c>
      <c r="H309" s="10" t="s">
        <v>1154</v>
      </c>
      <c r="I309" s="11" t="s">
        <v>1220</v>
      </c>
      <c r="J309" s="11" t="s">
        <v>1221</v>
      </c>
      <c r="K309" s="12" t="s">
        <v>17</v>
      </c>
      <c r="L309" s="10" t="s">
        <v>455</v>
      </c>
      <c r="M309" s="10" t="s">
        <v>15</v>
      </c>
      <c r="N309" s="2" t="s">
        <v>17</v>
      </c>
      <c r="O309" s="2" t="s">
        <v>17</v>
      </c>
      <c r="P309" s="2" t="s">
        <v>17</v>
      </c>
      <c r="S309" s="13"/>
    </row>
    <row r="310" spans="1:19" x14ac:dyDescent="0.2">
      <c r="A310" s="2">
        <v>307</v>
      </c>
      <c r="B310" s="8">
        <v>350405019</v>
      </c>
      <c r="C310" s="8" t="s">
        <v>1109</v>
      </c>
      <c r="D310" s="8" t="s">
        <v>17</v>
      </c>
      <c r="E310" s="9" t="s">
        <v>1077</v>
      </c>
      <c r="F310" s="10" t="s">
        <v>1109</v>
      </c>
      <c r="G310" s="10" t="s">
        <v>1207</v>
      </c>
      <c r="H310" s="10" t="s">
        <v>1154</v>
      </c>
      <c r="I310" s="11" t="s">
        <v>1222</v>
      </c>
      <c r="J310" s="11" t="s">
        <v>1223</v>
      </c>
      <c r="K310" s="12" t="s">
        <v>17</v>
      </c>
      <c r="L310" s="10" t="s">
        <v>455</v>
      </c>
      <c r="M310" s="10" t="s">
        <v>15</v>
      </c>
      <c r="N310" s="2" t="s">
        <v>17</v>
      </c>
      <c r="O310" s="2" t="s">
        <v>17</v>
      </c>
      <c r="P310" s="2" t="s">
        <v>17</v>
      </c>
      <c r="S310" s="13"/>
    </row>
    <row r="311" spans="1:19" x14ac:dyDescent="0.2">
      <c r="A311" s="2">
        <v>308</v>
      </c>
      <c r="B311" s="8">
        <v>350405020</v>
      </c>
      <c r="C311" s="8" t="s">
        <v>1224</v>
      </c>
      <c r="D311" s="8" t="s">
        <v>17</v>
      </c>
      <c r="E311" s="9" t="s">
        <v>1077</v>
      </c>
      <c r="F311" s="10" t="s">
        <v>1195</v>
      </c>
      <c r="G311" s="10" t="s">
        <v>1196</v>
      </c>
      <c r="H311" s="10" t="s">
        <v>1154</v>
      </c>
      <c r="I311" s="11" t="s">
        <v>1225</v>
      </c>
      <c r="J311" s="11" t="s">
        <v>1226</v>
      </c>
      <c r="K311" s="12" t="s">
        <v>17</v>
      </c>
      <c r="L311" s="10" t="s">
        <v>455</v>
      </c>
      <c r="M311" s="10" t="s">
        <v>15</v>
      </c>
      <c r="N311" s="2" t="s">
        <v>17</v>
      </c>
      <c r="O311" s="2" t="s">
        <v>17</v>
      </c>
      <c r="P311" s="2" t="s">
        <v>17</v>
      </c>
      <c r="S311" s="13"/>
    </row>
    <row r="312" spans="1:19" x14ac:dyDescent="0.2">
      <c r="A312" s="2">
        <v>309</v>
      </c>
      <c r="B312" s="8">
        <v>350405021</v>
      </c>
      <c r="C312" s="8" t="s">
        <v>1227</v>
      </c>
      <c r="D312" s="8" t="s">
        <v>17</v>
      </c>
      <c r="E312" s="9" t="s">
        <v>1077</v>
      </c>
      <c r="F312" s="10" t="s">
        <v>1228</v>
      </c>
      <c r="G312" s="10" t="s">
        <v>1228</v>
      </c>
      <c r="H312" s="10" t="s">
        <v>1154</v>
      </c>
      <c r="I312" s="11" t="s">
        <v>1229</v>
      </c>
      <c r="J312" s="11" t="s">
        <v>1230</v>
      </c>
      <c r="K312" s="12" t="s">
        <v>17</v>
      </c>
      <c r="L312" s="10" t="s">
        <v>455</v>
      </c>
      <c r="M312" s="10" t="s">
        <v>15</v>
      </c>
      <c r="N312" s="2" t="s">
        <v>17</v>
      </c>
      <c r="O312" s="2" t="s">
        <v>17</v>
      </c>
      <c r="P312" s="2" t="s">
        <v>17</v>
      </c>
      <c r="S312" s="13"/>
    </row>
    <row r="313" spans="1:19" x14ac:dyDescent="0.2">
      <c r="A313" s="2">
        <v>310</v>
      </c>
      <c r="B313" s="8">
        <v>350405022</v>
      </c>
      <c r="C313" s="8" t="s">
        <v>1231</v>
      </c>
      <c r="D313" s="8" t="s">
        <v>17</v>
      </c>
      <c r="E313" s="9" t="s">
        <v>1077</v>
      </c>
      <c r="F313" s="10" t="s">
        <v>1231</v>
      </c>
      <c r="G313" s="10" t="s">
        <v>1212</v>
      </c>
      <c r="H313" s="10" t="s">
        <v>1154</v>
      </c>
      <c r="I313" s="11" t="s">
        <v>1232</v>
      </c>
      <c r="J313" s="11" t="s">
        <v>1233</v>
      </c>
      <c r="K313" s="12" t="s">
        <v>17</v>
      </c>
      <c r="L313" s="10" t="s">
        <v>455</v>
      </c>
      <c r="M313" s="10" t="s">
        <v>15</v>
      </c>
      <c r="N313" s="2" t="s">
        <v>17</v>
      </c>
      <c r="O313" s="2" t="s">
        <v>17</v>
      </c>
      <c r="P313" s="2" t="s">
        <v>17</v>
      </c>
      <c r="S313" s="13"/>
    </row>
    <row r="314" spans="1:19" x14ac:dyDescent="0.2">
      <c r="A314" s="2">
        <v>311</v>
      </c>
      <c r="B314" s="8">
        <v>350405023</v>
      </c>
      <c r="C314" s="8" t="s">
        <v>1234</v>
      </c>
      <c r="D314" s="8" t="s">
        <v>17</v>
      </c>
      <c r="E314" s="9" t="s">
        <v>1077</v>
      </c>
      <c r="F314" s="10" t="s">
        <v>1235</v>
      </c>
      <c r="G314" s="10" t="s">
        <v>1234</v>
      </c>
      <c r="H314" s="10" t="s">
        <v>1154</v>
      </c>
      <c r="I314" s="11" t="s">
        <v>1236</v>
      </c>
      <c r="J314" s="11" t="s">
        <v>1237</v>
      </c>
      <c r="K314" s="12" t="s">
        <v>17</v>
      </c>
      <c r="L314" s="10" t="s">
        <v>455</v>
      </c>
      <c r="M314" s="10" t="s">
        <v>15</v>
      </c>
      <c r="N314" s="2" t="s">
        <v>17</v>
      </c>
      <c r="O314" s="2" t="s">
        <v>17</v>
      </c>
      <c r="P314" s="2" t="s">
        <v>17</v>
      </c>
      <c r="S314" s="13"/>
    </row>
    <row r="315" spans="1:19" x14ac:dyDescent="0.2">
      <c r="A315" s="2">
        <v>312</v>
      </c>
      <c r="B315" s="8">
        <v>350405024</v>
      </c>
      <c r="C315" s="8" t="s">
        <v>771</v>
      </c>
      <c r="D315" s="8" t="s">
        <v>17</v>
      </c>
      <c r="E315" s="9" t="s">
        <v>1077</v>
      </c>
      <c r="F315" s="10" t="s">
        <v>1238</v>
      </c>
      <c r="G315" s="10" t="s">
        <v>1234</v>
      </c>
      <c r="H315" s="10" t="s">
        <v>1154</v>
      </c>
      <c r="I315" s="11" t="s">
        <v>1239</v>
      </c>
      <c r="J315" s="11" t="s">
        <v>1240</v>
      </c>
      <c r="K315" s="12" t="s">
        <v>17</v>
      </c>
      <c r="L315" s="10" t="s">
        <v>455</v>
      </c>
      <c r="M315" s="10" t="s">
        <v>15</v>
      </c>
      <c r="N315" s="2" t="s">
        <v>17</v>
      </c>
      <c r="O315" s="2" t="s">
        <v>17</v>
      </c>
      <c r="P315" s="2" t="s">
        <v>17</v>
      </c>
      <c r="S315" s="13"/>
    </row>
    <row r="316" spans="1:19" x14ac:dyDescent="0.2">
      <c r="A316" s="2">
        <v>313</v>
      </c>
      <c r="B316" s="8">
        <v>350405025</v>
      </c>
      <c r="C316" s="8" t="s">
        <v>1241</v>
      </c>
      <c r="D316" s="8" t="s">
        <v>17</v>
      </c>
      <c r="E316" s="9" t="s">
        <v>1077</v>
      </c>
      <c r="F316" s="10" t="s">
        <v>1241</v>
      </c>
      <c r="G316" s="10" t="s">
        <v>1234</v>
      </c>
      <c r="H316" s="10" t="s">
        <v>1154</v>
      </c>
      <c r="I316" s="11" t="s">
        <v>1242</v>
      </c>
      <c r="J316" s="11" t="s">
        <v>1243</v>
      </c>
      <c r="K316" s="12" t="s">
        <v>17</v>
      </c>
      <c r="L316" s="10" t="s">
        <v>455</v>
      </c>
      <c r="M316" s="10" t="s">
        <v>15</v>
      </c>
      <c r="N316" s="2" t="s">
        <v>17</v>
      </c>
      <c r="O316" s="2" t="s">
        <v>17</v>
      </c>
      <c r="P316" s="2" t="s">
        <v>17</v>
      </c>
      <c r="S316" s="13"/>
    </row>
    <row r="317" spans="1:19" x14ac:dyDescent="0.2">
      <c r="A317" s="2">
        <v>314</v>
      </c>
      <c r="B317" s="8">
        <v>350405026</v>
      </c>
      <c r="C317" s="8" t="s">
        <v>1244</v>
      </c>
      <c r="D317" s="8" t="s">
        <v>17</v>
      </c>
      <c r="E317" s="9" t="s">
        <v>1077</v>
      </c>
      <c r="F317" s="10" t="s">
        <v>1245</v>
      </c>
      <c r="G317" s="10" t="s">
        <v>1244</v>
      </c>
      <c r="H317" s="10" t="s">
        <v>1154</v>
      </c>
      <c r="I317" s="11" t="s">
        <v>1246</v>
      </c>
      <c r="J317" s="11" t="s">
        <v>1247</v>
      </c>
      <c r="K317" s="12" t="s">
        <v>17</v>
      </c>
      <c r="L317" s="10" t="s">
        <v>455</v>
      </c>
      <c r="M317" s="10" t="s">
        <v>15</v>
      </c>
      <c r="N317" s="2" t="s">
        <v>17</v>
      </c>
      <c r="O317" s="2" t="s">
        <v>17</v>
      </c>
      <c r="P317" s="2" t="s">
        <v>17</v>
      </c>
      <c r="S317" s="13"/>
    </row>
    <row r="318" spans="1:19" x14ac:dyDescent="0.2">
      <c r="A318" s="2">
        <v>315</v>
      </c>
      <c r="B318" s="8">
        <v>350405027</v>
      </c>
      <c r="C318" s="8" t="s">
        <v>1248</v>
      </c>
      <c r="D318" s="8" t="s">
        <v>17</v>
      </c>
      <c r="E318" s="9" t="s">
        <v>1077</v>
      </c>
      <c r="F318" s="10" t="s">
        <v>1249</v>
      </c>
      <c r="G318" s="10" t="s">
        <v>1212</v>
      </c>
      <c r="H318" s="10" t="s">
        <v>1154</v>
      </c>
      <c r="I318" s="11" t="s">
        <v>1250</v>
      </c>
      <c r="J318" s="11" t="s">
        <v>1251</v>
      </c>
      <c r="K318" s="12" t="s">
        <v>17</v>
      </c>
      <c r="L318" s="10" t="s">
        <v>455</v>
      </c>
      <c r="M318" s="10" t="s">
        <v>15</v>
      </c>
      <c r="N318" s="2" t="s">
        <v>17</v>
      </c>
      <c r="O318" s="2" t="s">
        <v>17</v>
      </c>
      <c r="P318" s="2" t="s">
        <v>17</v>
      </c>
      <c r="S318" s="13"/>
    </row>
    <row r="319" spans="1:19" x14ac:dyDescent="0.2">
      <c r="A319" s="2">
        <v>316</v>
      </c>
      <c r="B319" s="8">
        <v>350405028</v>
      </c>
      <c r="C319" s="8" t="s">
        <v>1252</v>
      </c>
      <c r="D319" s="8" t="s">
        <v>17</v>
      </c>
      <c r="E319" s="9" t="s">
        <v>1077</v>
      </c>
      <c r="F319" s="10" t="s">
        <v>1253</v>
      </c>
      <c r="G319" s="10" t="s">
        <v>1234</v>
      </c>
      <c r="H319" s="10" t="s">
        <v>1154</v>
      </c>
      <c r="I319" s="11" t="s">
        <v>1254</v>
      </c>
      <c r="J319" s="11" t="s">
        <v>1255</v>
      </c>
      <c r="K319" s="12" t="s">
        <v>17</v>
      </c>
      <c r="L319" s="10" t="s">
        <v>455</v>
      </c>
      <c r="M319" s="10" t="s">
        <v>15</v>
      </c>
      <c r="N319" s="2" t="s">
        <v>17</v>
      </c>
      <c r="O319" s="2" t="s">
        <v>17</v>
      </c>
      <c r="P319" s="2" t="s">
        <v>17</v>
      </c>
      <c r="S319" s="13"/>
    </row>
    <row r="320" spans="1:19" x14ac:dyDescent="0.2">
      <c r="A320" s="2">
        <v>317</v>
      </c>
      <c r="B320" s="8">
        <v>350405029</v>
      </c>
      <c r="C320" s="8" t="s">
        <v>1256</v>
      </c>
      <c r="D320" s="8" t="s">
        <v>17</v>
      </c>
      <c r="E320" s="9" t="s">
        <v>1077</v>
      </c>
      <c r="F320" s="10" t="s">
        <v>1256</v>
      </c>
      <c r="G320" s="10" t="s">
        <v>1165</v>
      </c>
      <c r="H320" s="10" t="s">
        <v>1154</v>
      </c>
      <c r="I320" s="11" t="s">
        <v>1257</v>
      </c>
      <c r="J320" s="11" t="s">
        <v>1258</v>
      </c>
      <c r="K320" s="12" t="s">
        <v>17</v>
      </c>
      <c r="L320" s="10" t="s">
        <v>455</v>
      </c>
      <c r="M320" s="10" t="s">
        <v>15</v>
      </c>
      <c r="N320" s="2" t="s">
        <v>17</v>
      </c>
      <c r="O320" s="2" t="s">
        <v>17</v>
      </c>
      <c r="P320" s="2" t="s">
        <v>17</v>
      </c>
      <c r="S320" s="13"/>
    </row>
    <row r="321" spans="1:19" x14ac:dyDescent="0.2">
      <c r="A321" s="2">
        <v>318</v>
      </c>
      <c r="B321" s="8">
        <v>350405030</v>
      </c>
      <c r="C321" s="8" t="s">
        <v>1259</v>
      </c>
      <c r="D321" s="8" t="s">
        <v>17</v>
      </c>
      <c r="E321" s="9" t="s">
        <v>1077</v>
      </c>
      <c r="F321" s="10" t="s">
        <v>44</v>
      </c>
      <c r="G321" s="10" t="s">
        <v>956</v>
      </c>
      <c r="H321" s="10" t="s">
        <v>1154</v>
      </c>
      <c r="I321" s="11" t="s">
        <v>1260</v>
      </c>
      <c r="J321" s="11" t="s">
        <v>1261</v>
      </c>
      <c r="K321" s="12" t="s">
        <v>17</v>
      </c>
      <c r="L321" s="10" t="s">
        <v>455</v>
      </c>
      <c r="M321" s="10" t="s">
        <v>15</v>
      </c>
      <c r="N321" s="2" t="s">
        <v>17</v>
      </c>
      <c r="O321" s="2" t="s">
        <v>17</v>
      </c>
      <c r="P321" s="2" t="s">
        <v>17</v>
      </c>
      <c r="S321" s="13"/>
    </row>
    <row r="322" spans="1:19" x14ac:dyDescent="0.2">
      <c r="A322" s="2">
        <v>319</v>
      </c>
      <c r="B322" s="8">
        <v>350405031</v>
      </c>
      <c r="C322" s="8" t="s">
        <v>1262</v>
      </c>
      <c r="D322" s="8" t="s">
        <v>17</v>
      </c>
      <c r="E322" s="9" t="s">
        <v>1077</v>
      </c>
      <c r="F322" s="10" t="s">
        <v>1263</v>
      </c>
      <c r="G322" s="10" t="s">
        <v>1065</v>
      </c>
      <c r="H322" s="10" t="s">
        <v>1154</v>
      </c>
      <c r="I322" s="11" t="s">
        <v>1264</v>
      </c>
      <c r="J322" s="11" t="s">
        <v>1265</v>
      </c>
      <c r="K322" s="12" t="s">
        <v>17</v>
      </c>
      <c r="L322" s="10" t="s">
        <v>455</v>
      </c>
      <c r="M322" s="10" t="s">
        <v>15</v>
      </c>
      <c r="N322" s="2" t="s">
        <v>17</v>
      </c>
      <c r="O322" s="2" t="s">
        <v>17</v>
      </c>
      <c r="P322" s="2" t="s">
        <v>17</v>
      </c>
      <c r="S322" s="13"/>
    </row>
    <row r="323" spans="1:19" x14ac:dyDescent="0.2">
      <c r="A323" s="2">
        <v>320</v>
      </c>
      <c r="B323" s="8">
        <v>350405032</v>
      </c>
      <c r="C323" s="8" t="s">
        <v>1266</v>
      </c>
      <c r="D323" s="8" t="s">
        <v>17</v>
      </c>
      <c r="E323" s="9" t="s">
        <v>1077</v>
      </c>
      <c r="F323" s="10" t="s">
        <v>1267</v>
      </c>
      <c r="G323" s="10" t="s">
        <v>1065</v>
      </c>
      <c r="H323" s="10" t="s">
        <v>1154</v>
      </c>
      <c r="I323" s="11" t="s">
        <v>1268</v>
      </c>
      <c r="J323" s="11" t="s">
        <v>1269</v>
      </c>
      <c r="K323" s="12" t="s">
        <v>17</v>
      </c>
      <c r="L323" s="10" t="s">
        <v>455</v>
      </c>
      <c r="M323" s="10" t="s">
        <v>15</v>
      </c>
      <c r="N323" s="2" t="s">
        <v>17</v>
      </c>
      <c r="O323" s="2" t="s">
        <v>17</v>
      </c>
      <c r="P323" s="2" t="s">
        <v>17</v>
      </c>
      <c r="S323" s="13"/>
    </row>
    <row r="324" spans="1:19" x14ac:dyDescent="0.2">
      <c r="A324" s="2">
        <v>321</v>
      </c>
      <c r="B324" s="8">
        <v>350405033</v>
      </c>
      <c r="C324" s="8" t="s">
        <v>1270</v>
      </c>
      <c r="D324" s="8" t="s">
        <v>17</v>
      </c>
      <c r="E324" s="9" t="s">
        <v>1077</v>
      </c>
      <c r="F324" s="10" t="s">
        <v>1270</v>
      </c>
      <c r="G324" s="10" t="s">
        <v>1271</v>
      </c>
      <c r="H324" s="10" t="s">
        <v>1154</v>
      </c>
      <c r="I324" s="11" t="s">
        <v>1272</v>
      </c>
      <c r="J324" s="11" t="s">
        <v>1273</v>
      </c>
      <c r="K324" s="12" t="s">
        <v>17</v>
      </c>
      <c r="L324" s="10" t="s">
        <v>455</v>
      </c>
      <c r="M324" s="10" t="s">
        <v>15</v>
      </c>
      <c r="N324" s="2" t="s">
        <v>17</v>
      </c>
      <c r="O324" s="2" t="s">
        <v>17</v>
      </c>
      <c r="P324" s="2" t="s">
        <v>17</v>
      </c>
      <c r="S324" s="13"/>
    </row>
    <row r="325" spans="1:19" x14ac:dyDescent="0.2">
      <c r="A325" s="2">
        <v>322</v>
      </c>
      <c r="B325" s="8">
        <v>350405034</v>
      </c>
      <c r="C325" s="8" t="s">
        <v>1274</v>
      </c>
      <c r="D325" s="8" t="s">
        <v>17</v>
      </c>
      <c r="E325" s="9" t="s">
        <v>1077</v>
      </c>
      <c r="F325" s="10" t="s">
        <v>1206</v>
      </c>
      <c r="G325" s="10" t="s">
        <v>1274</v>
      </c>
      <c r="H325" s="10" t="s">
        <v>1154</v>
      </c>
      <c r="I325" s="11" t="s">
        <v>1275</v>
      </c>
      <c r="J325" s="11" t="s">
        <v>1276</v>
      </c>
      <c r="K325" s="12" t="s">
        <v>17</v>
      </c>
      <c r="L325" s="10" t="s">
        <v>455</v>
      </c>
      <c r="M325" s="10" t="s">
        <v>15</v>
      </c>
      <c r="N325" s="2" t="s">
        <v>17</v>
      </c>
      <c r="O325" s="2" t="s">
        <v>17</v>
      </c>
      <c r="P325" s="2" t="s">
        <v>17</v>
      </c>
      <c r="S325" s="13"/>
    </row>
    <row r="326" spans="1:19" x14ac:dyDescent="0.2">
      <c r="A326" s="2">
        <v>323</v>
      </c>
      <c r="B326" s="8">
        <v>350405035</v>
      </c>
      <c r="C326" s="8" t="s">
        <v>1277</v>
      </c>
      <c r="D326" s="8" t="s">
        <v>17</v>
      </c>
      <c r="E326" s="9" t="s">
        <v>1077</v>
      </c>
      <c r="F326" s="10" t="s">
        <v>1278</v>
      </c>
      <c r="G326" s="10" t="s">
        <v>1279</v>
      </c>
      <c r="H326" s="10" t="s">
        <v>1154</v>
      </c>
      <c r="I326" s="11" t="s">
        <v>1280</v>
      </c>
      <c r="J326" s="11" t="s">
        <v>1281</v>
      </c>
      <c r="K326" s="12" t="s">
        <v>17</v>
      </c>
      <c r="L326" s="10" t="s">
        <v>455</v>
      </c>
      <c r="M326" s="10" t="s">
        <v>15</v>
      </c>
      <c r="N326" s="2" t="s">
        <v>17</v>
      </c>
      <c r="O326" s="2" t="s">
        <v>17</v>
      </c>
      <c r="P326" s="2" t="s">
        <v>17</v>
      </c>
      <c r="S326" s="13"/>
    </row>
    <row r="327" spans="1:19" x14ac:dyDescent="0.2">
      <c r="A327" s="2">
        <v>324</v>
      </c>
      <c r="B327" s="8">
        <v>350405036</v>
      </c>
      <c r="C327" s="8" t="s">
        <v>1279</v>
      </c>
      <c r="D327" s="8" t="s">
        <v>17</v>
      </c>
      <c r="E327" s="9" t="s">
        <v>1077</v>
      </c>
      <c r="F327" s="10" t="s">
        <v>1279</v>
      </c>
      <c r="G327" s="10" t="s">
        <v>1279</v>
      </c>
      <c r="H327" s="10" t="s">
        <v>1154</v>
      </c>
      <c r="I327" s="11" t="s">
        <v>1282</v>
      </c>
      <c r="J327" s="11" t="s">
        <v>1283</v>
      </c>
      <c r="K327" s="12" t="s">
        <v>17</v>
      </c>
      <c r="L327" s="10" t="s">
        <v>455</v>
      </c>
      <c r="M327" s="10" t="s">
        <v>15</v>
      </c>
      <c r="N327" s="2" t="s">
        <v>17</v>
      </c>
      <c r="O327" s="2" t="s">
        <v>17</v>
      </c>
      <c r="P327" s="2" t="s">
        <v>17</v>
      </c>
      <c r="S327" s="13"/>
    </row>
    <row r="328" spans="1:19" x14ac:dyDescent="0.2">
      <c r="A328" s="2">
        <v>325</v>
      </c>
      <c r="B328" s="8">
        <v>350405037</v>
      </c>
      <c r="C328" s="8" t="s">
        <v>1141</v>
      </c>
      <c r="D328" s="8" t="s">
        <v>17</v>
      </c>
      <c r="E328" s="9" t="s">
        <v>1077</v>
      </c>
      <c r="F328" s="10" t="s">
        <v>1141</v>
      </c>
      <c r="G328" s="10" t="s">
        <v>1153</v>
      </c>
      <c r="H328" s="10" t="s">
        <v>1154</v>
      </c>
      <c r="I328" s="11" t="s">
        <v>1284</v>
      </c>
      <c r="J328" s="11" t="s">
        <v>1285</v>
      </c>
      <c r="K328" s="12" t="s">
        <v>17</v>
      </c>
      <c r="L328" s="10" t="s">
        <v>455</v>
      </c>
      <c r="M328" s="10" t="s">
        <v>15</v>
      </c>
      <c r="N328" s="2" t="s">
        <v>17</v>
      </c>
      <c r="O328" s="2" t="s">
        <v>17</v>
      </c>
      <c r="P328" s="2" t="s">
        <v>17</v>
      </c>
      <c r="S328" s="13"/>
    </row>
    <row r="329" spans="1:19" x14ac:dyDescent="0.2">
      <c r="A329" s="2">
        <v>326</v>
      </c>
      <c r="B329" s="8">
        <v>350405038</v>
      </c>
      <c r="C329" s="8" t="s">
        <v>1286</v>
      </c>
      <c r="D329" s="8" t="s">
        <v>17</v>
      </c>
      <c r="E329" s="9" t="s">
        <v>1077</v>
      </c>
      <c r="F329" s="10" t="s">
        <v>1286</v>
      </c>
      <c r="G329" s="10" t="s">
        <v>1244</v>
      </c>
      <c r="H329" s="10" t="s">
        <v>1154</v>
      </c>
      <c r="I329" s="11" t="s">
        <v>1287</v>
      </c>
      <c r="J329" s="11" t="s">
        <v>1288</v>
      </c>
      <c r="K329" s="12" t="s">
        <v>17</v>
      </c>
      <c r="L329" s="10" t="s">
        <v>455</v>
      </c>
      <c r="M329" s="10" t="s">
        <v>15</v>
      </c>
      <c r="N329" s="2" t="s">
        <v>17</v>
      </c>
      <c r="O329" s="2" t="s">
        <v>17</v>
      </c>
      <c r="P329" s="2" t="s">
        <v>17</v>
      </c>
      <c r="S329" s="13"/>
    </row>
    <row r="330" spans="1:19" x14ac:dyDescent="0.2">
      <c r="A330" s="2">
        <v>327</v>
      </c>
      <c r="B330" s="8">
        <v>350407001</v>
      </c>
      <c r="C330" s="8" t="s">
        <v>1289</v>
      </c>
      <c r="D330" s="8" t="s">
        <v>17</v>
      </c>
      <c r="E330" s="9" t="s">
        <v>1077</v>
      </c>
      <c r="F330" s="10" t="s">
        <v>1289</v>
      </c>
      <c r="G330" s="10" t="s">
        <v>1290</v>
      </c>
      <c r="H330" s="10" t="s">
        <v>729</v>
      </c>
      <c r="I330" s="11" t="s">
        <v>1291</v>
      </c>
      <c r="J330" s="11" t="s">
        <v>1292</v>
      </c>
      <c r="K330" s="12" t="s">
        <v>17</v>
      </c>
      <c r="L330" s="10" t="s">
        <v>455</v>
      </c>
      <c r="M330" s="10" t="s">
        <v>15</v>
      </c>
      <c r="N330" s="2" t="s">
        <v>17</v>
      </c>
      <c r="O330" s="2" t="s">
        <v>17</v>
      </c>
      <c r="P330" s="2" t="s">
        <v>17</v>
      </c>
      <c r="S330" s="13"/>
    </row>
    <row r="331" spans="1:19" x14ac:dyDescent="0.2">
      <c r="A331" s="2">
        <v>328</v>
      </c>
      <c r="B331" s="8">
        <v>350407002</v>
      </c>
      <c r="C331" s="8" t="s">
        <v>1290</v>
      </c>
      <c r="D331" s="8" t="s">
        <v>17</v>
      </c>
      <c r="E331" s="9" t="s">
        <v>1077</v>
      </c>
      <c r="F331" s="10" t="s">
        <v>1293</v>
      </c>
      <c r="G331" s="10" t="s">
        <v>1290</v>
      </c>
      <c r="H331" s="10" t="s">
        <v>729</v>
      </c>
      <c r="I331" s="11" t="s">
        <v>1294</v>
      </c>
      <c r="J331" s="11" t="s">
        <v>1295</v>
      </c>
      <c r="K331" s="12" t="s">
        <v>17</v>
      </c>
      <c r="L331" s="10" t="s">
        <v>455</v>
      </c>
      <c r="M331" s="10" t="s">
        <v>15</v>
      </c>
      <c r="N331" s="2" t="s">
        <v>17</v>
      </c>
      <c r="O331" s="2" t="s">
        <v>17</v>
      </c>
      <c r="P331" s="2" t="s">
        <v>17</v>
      </c>
      <c r="S331" s="13"/>
    </row>
    <row r="332" spans="1:19" x14ac:dyDescent="0.2">
      <c r="A332" s="2">
        <v>329</v>
      </c>
      <c r="B332" s="8">
        <v>350407003</v>
      </c>
      <c r="C332" s="8" t="s">
        <v>1296</v>
      </c>
      <c r="D332" s="8" t="s">
        <v>17</v>
      </c>
      <c r="E332" s="9" t="s">
        <v>1077</v>
      </c>
      <c r="F332" s="10" t="s">
        <v>353</v>
      </c>
      <c r="G332" s="10" t="s">
        <v>1297</v>
      </c>
      <c r="H332" s="10" t="s">
        <v>729</v>
      </c>
      <c r="I332" s="11" t="s">
        <v>1298</v>
      </c>
      <c r="J332" s="11" t="s">
        <v>1299</v>
      </c>
      <c r="K332" s="12" t="s">
        <v>17</v>
      </c>
      <c r="L332" s="10" t="s">
        <v>455</v>
      </c>
      <c r="M332" s="10" t="s">
        <v>15</v>
      </c>
      <c r="N332" s="2" t="s">
        <v>17</v>
      </c>
      <c r="O332" s="2" t="s">
        <v>17</v>
      </c>
      <c r="P332" s="2" t="s">
        <v>17</v>
      </c>
      <c r="S332" s="13"/>
    </row>
    <row r="333" spans="1:19" x14ac:dyDescent="0.2">
      <c r="A333" s="2">
        <v>330</v>
      </c>
      <c r="B333" s="8">
        <v>350407004</v>
      </c>
      <c r="C333" s="8" t="s">
        <v>1297</v>
      </c>
      <c r="D333" s="8" t="s">
        <v>17</v>
      </c>
      <c r="E333" s="9" t="s">
        <v>1077</v>
      </c>
      <c r="F333" s="10" t="s">
        <v>1300</v>
      </c>
      <c r="G333" s="10" t="s">
        <v>1297</v>
      </c>
      <c r="H333" s="10" t="s">
        <v>729</v>
      </c>
      <c r="I333" s="11" t="s">
        <v>1301</v>
      </c>
      <c r="J333" s="11" t="s">
        <v>1302</v>
      </c>
      <c r="K333" s="12" t="s">
        <v>17</v>
      </c>
      <c r="L333" s="10" t="s">
        <v>455</v>
      </c>
      <c r="M333" s="10" t="s">
        <v>15</v>
      </c>
      <c r="N333" s="2" t="s">
        <v>17</v>
      </c>
      <c r="O333" s="2" t="s">
        <v>17</v>
      </c>
      <c r="P333" s="2" t="s">
        <v>17</v>
      </c>
      <c r="S333" s="13"/>
    </row>
    <row r="334" spans="1:19" x14ac:dyDescent="0.2">
      <c r="A334" s="2">
        <v>331</v>
      </c>
      <c r="B334" s="8">
        <v>350407005</v>
      </c>
      <c r="C334" s="8" t="s">
        <v>108</v>
      </c>
      <c r="D334" s="8" t="s">
        <v>17</v>
      </c>
      <c r="E334" s="9" t="s">
        <v>1077</v>
      </c>
      <c r="F334" s="10" t="s">
        <v>1082</v>
      </c>
      <c r="G334" s="10" t="s">
        <v>1290</v>
      </c>
      <c r="H334" s="10" t="s">
        <v>729</v>
      </c>
      <c r="I334" s="11" t="s">
        <v>1303</v>
      </c>
      <c r="J334" s="11" t="s">
        <v>1304</v>
      </c>
      <c r="K334" s="12" t="s">
        <v>17</v>
      </c>
      <c r="L334" s="10" t="s">
        <v>455</v>
      </c>
      <c r="M334" s="10" t="s">
        <v>15</v>
      </c>
      <c r="N334" s="2" t="s">
        <v>17</v>
      </c>
      <c r="O334" s="2" t="s">
        <v>17</v>
      </c>
      <c r="P334" s="2" t="s">
        <v>17</v>
      </c>
      <c r="S334" s="13"/>
    </row>
    <row r="335" spans="1:19" x14ac:dyDescent="0.2">
      <c r="A335" s="2">
        <v>332</v>
      </c>
      <c r="B335" s="8">
        <v>350407006</v>
      </c>
      <c r="C335" s="8" t="s">
        <v>1305</v>
      </c>
      <c r="D335" s="8" t="s">
        <v>17</v>
      </c>
      <c r="E335" s="9" t="s">
        <v>1077</v>
      </c>
      <c r="F335" s="10" t="s">
        <v>1305</v>
      </c>
      <c r="G335" s="10" t="s">
        <v>1305</v>
      </c>
      <c r="H335" s="10" t="s">
        <v>729</v>
      </c>
      <c r="I335" s="11" t="s">
        <v>1306</v>
      </c>
      <c r="J335" s="11" t="s">
        <v>1307</v>
      </c>
      <c r="K335" s="12" t="s">
        <v>17</v>
      </c>
      <c r="L335" s="10" t="s">
        <v>455</v>
      </c>
      <c r="M335" s="10" t="s">
        <v>15</v>
      </c>
      <c r="N335" s="2" t="s">
        <v>17</v>
      </c>
      <c r="O335" s="2" t="s">
        <v>17</v>
      </c>
      <c r="P335" s="2" t="s">
        <v>17</v>
      </c>
      <c r="S335" s="13"/>
    </row>
    <row r="336" spans="1:19" x14ac:dyDescent="0.2">
      <c r="A336" s="2">
        <v>333</v>
      </c>
      <c r="B336" s="8">
        <v>350407007</v>
      </c>
      <c r="C336" s="8" t="s">
        <v>1308</v>
      </c>
      <c r="D336" s="8" t="s">
        <v>17</v>
      </c>
      <c r="E336" s="9" t="s">
        <v>1077</v>
      </c>
      <c r="F336" s="10" t="s">
        <v>684</v>
      </c>
      <c r="G336" s="10" t="s">
        <v>1308</v>
      </c>
      <c r="H336" s="10" t="s">
        <v>729</v>
      </c>
      <c r="I336" s="11" t="s">
        <v>1309</v>
      </c>
      <c r="J336" s="11" t="s">
        <v>1310</v>
      </c>
      <c r="K336" s="12" t="s">
        <v>17</v>
      </c>
      <c r="L336" s="10" t="s">
        <v>455</v>
      </c>
      <c r="M336" s="10" t="s">
        <v>15</v>
      </c>
      <c r="N336" s="2" t="s">
        <v>17</v>
      </c>
      <c r="O336" s="2" t="s">
        <v>17</v>
      </c>
      <c r="P336" s="2" t="s">
        <v>17</v>
      </c>
      <c r="S336" s="13"/>
    </row>
    <row r="337" spans="1:19" x14ac:dyDescent="0.2">
      <c r="A337" s="2">
        <v>334</v>
      </c>
      <c r="B337" s="8">
        <v>350407008</v>
      </c>
      <c r="C337" s="8" t="s">
        <v>1311</v>
      </c>
      <c r="D337" s="8" t="s">
        <v>17</v>
      </c>
      <c r="E337" s="9" t="s">
        <v>1077</v>
      </c>
      <c r="F337" s="10" t="s">
        <v>1311</v>
      </c>
      <c r="G337" s="10" t="s">
        <v>1311</v>
      </c>
      <c r="H337" s="10" t="s">
        <v>729</v>
      </c>
      <c r="I337" s="11" t="s">
        <v>1312</v>
      </c>
      <c r="J337" s="11" t="s">
        <v>1313</v>
      </c>
      <c r="K337" s="12" t="s">
        <v>17</v>
      </c>
      <c r="L337" s="10" t="s">
        <v>455</v>
      </c>
      <c r="M337" s="10" t="s">
        <v>15</v>
      </c>
      <c r="N337" s="2" t="s">
        <v>17</v>
      </c>
      <c r="O337" s="2" t="s">
        <v>17</v>
      </c>
      <c r="P337" s="2" t="s">
        <v>17</v>
      </c>
      <c r="S337" s="13"/>
    </row>
    <row r="338" spans="1:19" x14ac:dyDescent="0.2">
      <c r="A338" s="2">
        <v>335</v>
      </c>
      <c r="B338" s="8">
        <v>350407009</v>
      </c>
      <c r="C338" s="8" t="s">
        <v>1314</v>
      </c>
      <c r="D338" s="8" t="s">
        <v>17</v>
      </c>
      <c r="E338" s="9" t="s">
        <v>1077</v>
      </c>
      <c r="F338" s="10" t="s">
        <v>1314</v>
      </c>
      <c r="G338" s="10" t="s">
        <v>1314</v>
      </c>
      <c r="H338" s="10" t="s">
        <v>729</v>
      </c>
      <c r="I338" s="11" t="s">
        <v>1315</v>
      </c>
      <c r="J338" s="11" t="s">
        <v>1316</v>
      </c>
      <c r="K338" s="12" t="s">
        <v>17</v>
      </c>
      <c r="L338" s="10" t="s">
        <v>455</v>
      </c>
      <c r="M338" s="10" t="s">
        <v>15</v>
      </c>
      <c r="N338" s="2" t="s">
        <v>17</v>
      </c>
      <c r="O338" s="2" t="s">
        <v>17</v>
      </c>
      <c r="P338" s="2" t="s">
        <v>17</v>
      </c>
      <c r="S338" s="13"/>
    </row>
    <row r="339" spans="1:19" x14ac:dyDescent="0.2">
      <c r="A339" s="2">
        <v>336</v>
      </c>
      <c r="B339" s="8">
        <v>350407010</v>
      </c>
      <c r="C339" s="8" t="s">
        <v>1317</v>
      </c>
      <c r="D339" s="8" t="s">
        <v>17</v>
      </c>
      <c r="E339" s="9" t="s">
        <v>1077</v>
      </c>
      <c r="F339" s="10" t="s">
        <v>1317</v>
      </c>
      <c r="G339" s="10" t="s">
        <v>1318</v>
      </c>
      <c r="H339" s="10" t="s">
        <v>729</v>
      </c>
      <c r="I339" s="11" t="s">
        <v>1319</v>
      </c>
      <c r="J339" s="11" t="s">
        <v>1320</v>
      </c>
      <c r="K339" s="12" t="s">
        <v>17</v>
      </c>
      <c r="L339" s="10" t="s">
        <v>455</v>
      </c>
      <c r="M339" s="10" t="s">
        <v>15</v>
      </c>
      <c r="N339" s="2" t="s">
        <v>17</v>
      </c>
      <c r="O339" s="2" t="s">
        <v>17</v>
      </c>
      <c r="P339" s="2" t="s">
        <v>17</v>
      </c>
      <c r="S339" s="13"/>
    </row>
    <row r="340" spans="1:19" x14ac:dyDescent="0.2">
      <c r="A340" s="2">
        <v>337</v>
      </c>
      <c r="B340" s="8">
        <v>350407011</v>
      </c>
      <c r="C340" s="8" t="s">
        <v>1321</v>
      </c>
      <c r="D340" s="8" t="s">
        <v>17</v>
      </c>
      <c r="E340" s="9" t="s">
        <v>1077</v>
      </c>
      <c r="F340" s="10" t="s">
        <v>1321</v>
      </c>
      <c r="G340" s="10" t="s">
        <v>1321</v>
      </c>
      <c r="H340" s="10" t="s">
        <v>729</v>
      </c>
      <c r="I340" s="11" t="s">
        <v>1322</v>
      </c>
      <c r="J340" s="11" t="s">
        <v>1323</v>
      </c>
      <c r="K340" s="12" t="s">
        <v>17</v>
      </c>
      <c r="L340" s="10" t="s">
        <v>455</v>
      </c>
      <c r="M340" s="10" t="s">
        <v>15</v>
      </c>
      <c r="N340" s="2" t="s">
        <v>17</v>
      </c>
      <c r="O340" s="2" t="s">
        <v>17</v>
      </c>
      <c r="P340" s="2" t="s">
        <v>17</v>
      </c>
      <c r="S340" s="13"/>
    </row>
    <row r="341" spans="1:19" x14ac:dyDescent="0.2">
      <c r="A341" s="2">
        <v>338</v>
      </c>
      <c r="B341" s="8">
        <v>350407012</v>
      </c>
      <c r="C341" s="8" t="s">
        <v>333</v>
      </c>
      <c r="D341" s="8" t="s">
        <v>17</v>
      </c>
      <c r="E341" s="9" t="s">
        <v>1077</v>
      </c>
      <c r="F341" s="10" t="s">
        <v>1324</v>
      </c>
      <c r="G341" s="10" t="s">
        <v>333</v>
      </c>
      <c r="H341" s="10" t="s">
        <v>729</v>
      </c>
      <c r="I341" s="11" t="s">
        <v>1325</v>
      </c>
      <c r="J341" s="11" t="s">
        <v>1326</v>
      </c>
      <c r="K341" s="12" t="s">
        <v>17</v>
      </c>
      <c r="L341" s="10" t="s">
        <v>455</v>
      </c>
      <c r="M341" s="10" t="s">
        <v>15</v>
      </c>
      <c r="N341" s="2" t="s">
        <v>17</v>
      </c>
      <c r="O341" s="2" t="s">
        <v>17</v>
      </c>
      <c r="P341" s="2" t="s">
        <v>17</v>
      </c>
      <c r="S341" s="13"/>
    </row>
    <row r="342" spans="1:19" x14ac:dyDescent="0.2">
      <c r="A342" s="2">
        <v>339</v>
      </c>
      <c r="B342" s="8">
        <v>350407013</v>
      </c>
      <c r="C342" s="8" t="s">
        <v>1327</v>
      </c>
      <c r="D342" s="8" t="s">
        <v>17</v>
      </c>
      <c r="E342" s="9" t="s">
        <v>1077</v>
      </c>
      <c r="F342" s="10" t="s">
        <v>1327</v>
      </c>
      <c r="G342" s="10" t="s">
        <v>1327</v>
      </c>
      <c r="H342" s="10" t="s">
        <v>729</v>
      </c>
      <c r="I342" s="11" t="s">
        <v>1328</v>
      </c>
      <c r="J342" s="11" t="s">
        <v>1329</v>
      </c>
      <c r="K342" s="12" t="s">
        <v>17</v>
      </c>
      <c r="L342" s="10" t="s">
        <v>455</v>
      </c>
      <c r="M342" s="10" t="s">
        <v>15</v>
      </c>
      <c r="N342" s="2" t="s">
        <v>17</v>
      </c>
      <c r="O342" s="2" t="s">
        <v>17</v>
      </c>
      <c r="P342" s="2" t="s">
        <v>17</v>
      </c>
      <c r="S342" s="13"/>
    </row>
    <row r="343" spans="1:19" x14ac:dyDescent="0.2">
      <c r="A343" s="2">
        <v>340</v>
      </c>
      <c r="B343" s="8">
        <v>350407014</v>
      </c>
      <c r="C343" s="8" t="s">
        <v>1330</v>
      </c>
      <c r="D343" s="8" t="s">
        <v>17</v>
      </c>
      <c r="E343" s="9" t="s">
        <v>1077</v>
      </c>
      <c r="F343" s="10" t="s">
        <v>1330</v>
      </c>
      <c r="G343" s="10" t="s">
        <v>1330</v>
      </c>
      <c r="H343" s="10" t="s">
        <v>729</v>
      </c>
      <c r="I343" s="11" t="s">
        <v>1331</v>
      </c>
      <c r="J343" s="11" t="s">
        <v>1332</v>
      </c>
      <c r="K343" s="12" t="s">
        <v>17</v>
      </c>
      <c r="L343" s="10" t="s">
        <v>455</v>
      </c>
      <c r="M343" s="10" t="s">
        <v>15</v>
      </c>
      <c r="N343" s="2" t="s">
        <v>17</v>
      </c>
      <c r="O343" s="2" t="s">
        <v>17</v>
      </c>
      <c r="P343" s="2" t="s">
        <v>17</v>
      </c>
      <c r="S343" s="13"/>
    </row>
    <row r="344" spans="1:19" x14ac:dyDescent="0.2">
      <c r="A344" s="2">
        <v>341</v>
      </c>
      <c r="B344" s="8">
        <v>350407015</v>
      </c>
      <c r="C344" s="8" t="s">
        <v>1333</v>
      </c>
      <c r="D344" s="8" t="s">
        <v>17</v>
      </c>
      <c r="E344" s="9" t="s">
        <v>1077</v>
      </c>
      <c r="F344" s="10" t="s">
        <v>723</v>
      </c>
      <c r="G344" s="10" t="s">
        <v>1311</v>
      </c>
      <c r="H344" s="10" t="s">
        <v>729</v>
      </c>
      <c r="I344" s="11" t="s">
        <v>1334</v>
      </c>
      <c r="J344" s="11" t="s">
        <v>1335</v>
      </c>
      <c r="K344" s="12" t="s">
        <v>17</v>
      </c>
      <c r="L344" s="10" t="s">
        <v>455</v>
      </c>
      <c r="M344" s="10" t="s">
        <v>15</v>
      </c>
      <c r="N344" s="2" t="s">
        <v>17</v>
      </c>
      <c r="O344" s="2" t="s">
        <v>17</v>
      </c>
      <c r="P344" s="2" t="s">
        <v>17</v>
      </c>
      <c r="S344" s="13"/>
    </row>
    <row r="345" spans="1:19" x14ac:dyDescent="0.2">
      <c r="A345" s="2">
        <v>342</v>
      </c>
      <c r="B345" s="8">
        <v>350407016</v>
      </c>
      <c r="C345" s="8" t="s">
        <v>1336</v>
      </c>
      <c r="D345" s="8" t="s">
        <v>17</v>
      </c>
      <c r="E345" s="9" t="s">
        <v>1077</v>
      </c>
      <c r="F345" s="10" t="s">
        <v>1337</v>
      </c>
      <c r="G345" s="10" t="s">
        <v>1338</v>
      </c>
      <c r="H345" s="10" t="s">
        <v>729</v>
      </c>
      <c r="I345" s="11" t="s">
        <v>1339</v>
      </c>
      <c r="J345" s="11" t="s">
        <v>1340</v>
      </c>
      <c r="K345" s="12" t="s">
        <v>17</v>
      </c>
      <c r="L345" s="10" t="s">
        <v>455</v>
      </c>
      <c r="M345" s="10" t="s">
        <v>15</v>
      </c>
      <c r="N345" s="2" t="s">
        <v>17</v>
      </c>
      <c r="O345" s="2" t="s">
        <v>17</v>
      </c>
      <c r="P345" s="2" t="s">
        <v>17</v>
      </c>
      <c r="S345" s="13"/>
    </row>
    <row r="346" spans="1:19" x14ac:dyDescent="0.2">
      <c r="A346" s="2">
        <v>343</v>
      </c>
      <c r="B346" s="8">
        <v>350407017</v>
      </c>
      <c r="C346" s="8" t="s">
        <v>1341</v>
      </c>
      <c r="D346" s="8" t="s">
        <v>17</v>
      </c>
      <c r="E346" s="9" t="s">
        <v>1077</v>
      </c>
      <c r="F346" s="10" t="s">
        <v>1341</v>
      </c>
      <c r="G346" s="10" t="s">
        <v>1338</v>
      </c>
      <c r="H346" s="10" t="s">
        <v>729</v>
      </c>
      <c r="I346" s="11" t="s">
        <v>1342</v>
      </c>
      <c r="J346" s="11" t="s">
        <v>1343</v>
      </c>
      <c r="K346" s="12" t="s">
        <v>17</v>
      </c>
      <c r="L346" s="10" t="s">
        <v>455</v>
      </c>
      <c r="M346" s="10" t="s">
        <v>15</v>
      </c>
      <c r="N346" s="2" t="s">
        <v>17</v>
      </c>
      <c r="O346" s="2" t="s">
        <v>17</v>
      </c>
      <c r="P346" s="2" t="s">
        <v>17</v>
      </c>
      <c r="S346" s="13"/>
    </row>
    <row r="347" spans="1:19" x14ac:dyDescent="0.2">
      <c r="A347" s="2">
        <v>344</v>
      </c>
      <c r="B347" s="8">
        <v>350407018</v>
      </c>
      <c r="C347" s="8" t="s">
        <v>1344</v>
      </c>
      <c r="D347" s="8" t="s">
        <v>17</v>
      </c>
      <c r="E347" s="9" t="s">
        <v>1077</v>
      </c>
      <c r="F347" s="10" t="s">
        <v>1345</v>
      </c>
      <c r="G347" s="10" t="s">
        <v>1346</v>
      </c>
      <c r="H347" s="10" t="s">
        <v>729</v>
      </c>
      <c r="I347" s="11" t="s">
        <v>1347</v>
      </c>
      <c r="J347" s="11" t="s">
        <v>1348</v>
      </c>
      <c r="K347" s="12" t="s">
        <v>17</v>
      </c>
      <c r="L347" s="10" t="s">
        <v>455</v>
      </c>
      <c r="M347" s="10" t="s">
        <v>15</v>
      </c>
      <c r="N347" s="2" t="s">
        <v>17</v>
      </c>
      <c r="O347" s="2" t="s">
        <v>17</v>
      </c>
      <c r="P347" s="2" t="s">
        <v>17</v>
      </c>
      <c r="S347" s="13"/>
    </row>
    <row r="348" spans="1:19" x14ac:dyDescent="0.2">
      <c r="A348" s="2">
        <v>345</v>
      </c>
      <c r="B348" s="8">
        <v>350407019</v>
      </c>
      <c r="C348" s="8" t="s">
        <v>1349</v>
      </c>
      <c r="D348" s="8" t="s">
        <v>17</v>
      </c>
      <c r="E348" s="9" t="s">
        <v>1077</v>
      </c>
      <c r="F348" s="10" t="s">
        <v>1349</v>
      </c>
      <c r="G348" s="10" t="s">
        <v>1346</v>
      </c>
      <c r="H348" s="10" t="s">
        <v>729</v>
      </c>
      <c r="I348" s="11" t="s">
        <v>1350</v>
      </c>
      <c r="J348" s="11" t="s">
        <v>1351</v>
      </c>
      <c r="K348" s="12" t="s">
        <v>17</v>
      </c>
      <c r="L348" s="10" t="s">
        <v>455</v>
      </c>
      <c r="M348" s="10" t="s">
        <v>15</v>
      </c>
      <c r="N348" s="2" t="s">
        <v>17</v>
      </c>
      <c r="O348" s="2" t="s">
        <v>17</v>
      </c>
      <c r="P348" s="2" t="s">
        <v>17</v>
      </c>
      <c r="S348" s="13"/>
    </row>
    <row r="349" spans="1:19" x14ac:dyDescent="0.2">
      <c r="A349" s="2">
        <v>346</v>
      </c>
      <c r="B349" s="8">
        <v>350407020</v>
      </c>
      <c r="C349" s="8" t="s">
        <v>1346</v>
      </c>
      <c r="D349" s="8" t="s">
        <v>17</v>
      </c>
      <c r="E349" s="9" t="s">
        <v>1077</v>
      </c>
      <c r="F349" s="10" t="s">
        <v>1346</v>
      </c>
      <c r="G349" s="10" t="s">
        <v>1346</v>
      </c>
      <c r="H349" s="10" t="s">
        <v>729</v>
      </c>
      <c r="I349" s="11" t="s">
        <v>1352</v>
      </c>
      <c r="J349" s="11" t="s">
        <v>1353</v>
      </c>
      <c r="K349" s="12" t="s">
        <v>17</v>
      </c>
      <c r="L349" s="10" t="s">
        <v>455</v>
      </c>
      <c r="M349" s="10" t="s">
        <v>15</v>
      </c>
      <c r="N349" s="2" t="s">
        <v>17</v>
      </c>
      <c r="O349" s="2" t="s">
        <v>17</v>
      </c>
      <c r="P349" s="2" t="s">
        <v>17</v>
      </c>
      <c r="S349" s="13"/>
    </row>
    <row r="350" spans="1:19" x14ac:dyDescent="0.2">
      <c r="A350" s="2">
        <v>347</v>
      </c>
      <c r="B350" s="8">
        <v>350407021</v>
      </c>
      <c r="C350" s="8" t="s">
        <v>1354</v>
      </c>
      <c r="D350" s="8" t="s">
        <v>17</v>
      </c>
      <c r="E350" s="9" t="s">
        <v>1077</v>
      </c>
      <c r="F350" s="10" t="s">
        <v>1354</v>
      </c>
      <c r="G350" s="10" t="s">
        <v>1354</v>
      </c>
      <c r="H350" s="10" t="s">
        <v>729</v>
      </c>
      <c r="I350" s="11" t="s">
        <v>1355</v>
      </c>
      <c r="J350" s="11" t="s">
        <v>1356</v>
      </c>
      <c r="K350" s="12" t="s">
        <v>17</v>
      </c>
      <c r="L350" s="10" t="s">
        <v>455</v>
      </c>
      <c r="M350" s="10" t="s">
        <v>15</v>
      </c>
      <c r="N350" s="2" t="s">
        <v>17</v>
      </c>
      <c r="O350" s="2" t="s">
        <v>17</v>
      </c>
      <c r="P350" s="2" t="s">
        <v>17</v>
      </c>
      <c r="S350" s="13"/>
    </row>
    <row r="351" spans="1:19" x14ac:dyDescent="0.2">
      <c r="A351" s="2">
        <v>348</v>
      </c>
      <c r="B351" s="8">
        <v>350407022</v>
      </c>
      <c r="C351" s="8" t="s">
        <v>1357</v>
      </c>
      <c r="D351" s="8" t="s">
        <v>17</v>
      </c>
      <c r="E351" s="9" t="s">
        <v>1077</v>
      </c>
      <c r="F351" s="10" t="s">
        <v>1357</v>
      </c>
      <c r="G351" s="10" t="s">
        <v>1358</v>
      </c>
      <c r="H351" s="10" t="s">
        <v>729</v>
      </c>
      <c r="I351" s="11" t="s">
        <v>1359</v>
      </c>
      <c r="J351" s="11" t="s">
        <v>1360</v>
      </c>
      <c r="K351" s="12" t="s">
        <v>17</v>
      </c>
      <c r="L351" s="10" t="s">
        <v>455</v>
      </c>
      <c r="M351" s="10" t="s">
        <v>15</v>
      </c>
      <c r="N351" s="2" t="s">
        <v>17</v>
      </c>
      <c r="O351" s="2" t="s">
        <v>17</v>
      </c>
      <c r="P351" s="2" t="s">
        <v>17</v>
      </c>
      <c r="S351" s="13"/>
    </row>
    <row r="352" spans="1:19" x14ac:dyDescent="0.2">
      <c r="A352" s="2">
        <v>349</v>
      </c>
      <c r="B352" s="8">
        <v>350407023</v>
      </c>
      <c r="C352" s="8" t="s">
        <v>1361</v>
      </c>
      <c r="D352" s="8" t="s">
        <v>17</v>
      </c>
      <c r="E352" s="9" t="s">
        <v>1077</v>
      </c>
      <c r="F352" s="10" t="s">
        <v>1362</v>
      </c>
      <c r="G352" s="10" t="s">
        <v>1361</v>
      </c>
      <c r="H352" s="10" t="s">
        <v>729</v>
      </c>
      <c r="I352" s="11" t="s">
        <v>1363</v>
      </c>
      <c r="J352" s="11" t="s">
        <v>1364</v>
      </c>
      <c r="K352" s="12" t="s">
        <v>17</v>
      </c>
      <c r="L352" s="10" t="s">
        <v>455</v>
      </c>
      <c r="M352" s="10" t="s">
        <v>15</v>
      </c>
      <c r="N352" s="2" t="s">
        <v>17</v>
      </c>
      <c r="O352" s="2" t="s">
        <v>17</v>
      </c>
      <c r="P352" s="2" t="s">
        <v>17</v>
      </c>
      <c r="S352" s="13"/>
    </row>
    <row r="353" spans="1:19" x14ac:dyDescent="0.2">
      <c r="A353" s="2">
        <v>350</v>
      </c>
      <c r="B353" s="8">
        <v>350407024</v>
      </c>
      <c r="C353" s="8" t="s">
        <v>1365</v>
      </c>
      <c r="D353" s="8" t="s">
        <v>17</v>
      </c>
      <c r="E353" s="9" t="s">
        <v>1077</v>
      </c>
      <c r="F353" s="10" t="s">
        <v>1365</v>
      </c>
      <c r="G353" s="10" t="s">
        <v>1365</v>
      </c>
      <c r="H353" s="10" t="s">
        <v>729</v>
      </c>
      <c r="I353" s="11" t="s">
        <v>1366</v>
      </c>
      <c r="J353" s="11" t="s">
        <v>1367</v>
      </c>
      <c r="K353" s="12" t="s">
        <v>17</v>
      </c>
      <c r="L353" s="10" t="s">
        <v>455</v>
      </c>
      <c r="M353" s="10" t="s">
        <v>15</v>
      </c>
      <c r="N353" s="2" t="s">
        <v>17</v>
      </c>
      <c r="O353" s="2" t="s">
        <v>17</v>
      </c>
      <c r="P353" s="2" t="s">
        <v>17</v>
      </c>
      <c r="S353" s="13"/>
    </row>
    <row r="354" spans="1:19" x14ac:dyDescent="0.2">
      <c r="A354" s="2">
        <v>351</v>
      </c>
      <c r="B354" s="8">
        <v>350407025</v>
      </c>
      <c r="C354" s="8" t="s">
        <v>1368</v>
      </c>
      <c r="D354" s="8" t="s">
        <v>17</v>
      </c>
      <c r="E354" s="9" t="s">
        <v>1077</v>
      </c>
      <c r="F354" s="10" t="s">
        <v>1368</v>
      </c>
      <c r="G354" s="10" t="s">
        <v>1368</v>
      </c>
      <c r="H354" s="10" t="s">
        <v>729</v>
      </c>
      <c r="I354" s="11" t="s">
        <v>1369</v>
      </c>
      <c r="J354" s="11" t="s">
        <v>1370</v>
      </c>
      <c r="K354" s="12" t="s">
        <v>17</v>
      </c>
      <c r="L354" s="10" t="s">
        <v>455</v>
      </c>
      <c r="M354" s="10" t="s">
        <v>15</v>
      </c>
      <c r="N354" s="2" t="s">
        <v>17</v>
      </c>
      <c r="O354" s="2" t="s">
        <v>17</v>
      </c>
      <c r="P354" s="2" t="s">
        <v>17</v>
      </c>
      <c r="S354" s="13"/>
    </row>
    <row r="355" spans="1:19" x14ac:dyDescent="0.2">
      <c r="A355" s="2">
        <v>352</v>
      </c>
      <c r="B355" s="8">
        <v>350407026</v>
      </c>
      <c r="C355" s="8" t="s">
        <v>1371</v>
      </c>
      <c r="D355" s="8" t="s">
        <v>17</v>
      </c>
      <c r="E355" s="9" t="s">
        <v>1077</v>
      </c>
      <c r="F355" s="10" t="s">
        <v>1357</v>
      </c>
      <c r="G355" s="10" t="s">
        <v>1358</v>
      </c>
      <c r="H355" s="10" t="s">
        <v>729</v>
      </c>
      <c r="I355" s="11" t="s">
        <v>1372</v>
      </c>
      <c r="J355" s="11" t="s">
        <v>1373</v>
      </c>
      <c r="K355" s="12" t="s">
        <v>17</v>
      </c>
      <c r="L355" s="10" t="s">
        <v>455</v>
      </c>
      <c r="M355" s="10" t="s">
        <v>15</v>
      </c>
      <c r="N355" s="2" t="s">
        <v>17</v>
      </c>
      <c r="O355" s="2" t="s">
        <v>17</v>
      </c>
      <c r="P355" s="2" t="s">
        <v>17</v>
      </c>
      <c r="S355" s="13"/>
    </row>
    <row r="356" spans="1:19" x14ac:dyDescent="0.2">
      <c r="A356" s="2">
        <v>353</v>
      </c>
      <c r="B356" s="8">
        <v>350407027</v>
      </c>
      <c r="C356" s="8" t="s">
        <v>1374</v>
      </c>
      <c r="D356" s="8" t="s">
        <v>17</v>
      </c>
      <c r="E356" s="9" t="s">
        <v>1077</v>
      </c>
      <c r="F356" s="10" t="s">
        <v>1375</v>
      </c>
      <c r="G356" s="10" t="s">
        <v>1376</v>
      </c>
      <c r="H356" s="10" t="s">
        <v>729</v>
      </c>
      <c r="I356" s="11" t="s">
        <v>1377</v>
      </c>
      <c r="J356" s="11" t="s">
        <v>1378</v>
      </c>
      <c r="K356" s="12" t="s">
        <v>17</v>
      </c>
      <c r="L356" s="10" t="s">
        <v>455</v>
      </c>
      <c r="M356" s="10" t="s">
        <v>15</v>
      </c>
      <c r="N356" s="2" t="s">
        <v>17</v>
      </c>
      <c r="O356" s="2" t="s">
        <v>17</v>
      </c>
      <c r="P356" s="2" t="s">
        <v>17</v>
      </c>
      <c r="S356" s="13"/>
    </row>
    <row r="357" spans="1:19" x14ac:dyDescent="0.2">
      <c r="A357" s="2">
        <v>354</v>
      </c>
      <c r="B357" s="8">
        <v>350407028</v>
      </c>
      <c r="C357" s="8" t="s">
        <v>1379</v>
      </c>
      <c r="D357" s="8" t="s">
        <v>17</v>
      </c>
      <c r="E357" s="9" t="s">
        <v>1077</v>
      </c>
      <c r="F357" s="10" t="s">
        <v>1262</v>
      </c>
      <c r="G357" s="10" t="s">
        <v>1379</v>
      </c>
      <c r="H357" s="10" t="s">
        <v>729</v>
      </c>
      <c r="I357" s="11" t="s">
        <v>1380</v>
      </c>
      <c r="J357" s="11" t="s">
        <v>1381</v>
      </c>
      <c r="K357" s="12" t="s">
        <v>17</v>
      </c>
      <c r="L357" s="10" t="s">
        <v>455</v>
      </c>
      <c r="M357" s="10" t="s">
        <v>15</v>
      </c>
      <c r="N357" s="2" t="s">
        <v>17</v>
      </c>
      <c r="O357" s="2" t="s">
        <v>17</v>
      </c>
      <c r="P357" s="2" t="s">
        <v>17</v>
      </c>
      <c r="S357" s="13"/>
    </row>
    <row r="358" spans="1:19" x14ac:dyDescent="0.2">
      <c r="A358" s="2">
        <v>355</v>
      </c>
      <c r="B358" s="8">
        <v>350407029</v>
      </c>
      <c r="C358" s="8" t="s">
        <v>1382</v>
      </c>
      <c r="D358" s="8" t="s">
        <v>17</v>
      </c>
      <c r="E358" s="9" t="s">
        <v>1077</v>
      </c>
      <c r="F358" s="10" t="s">
        <v>1383</v>
      </c>
      <c r="G358" s="10" t="s">
        <v>1384</v>
      </c>
      <c r="H358" s="10" t="s">
        <v>729</v>
      </c>
      <c r="I358" s="11" t="s">
        <v>1385</v>
      </c>
      <c r="J358" s="11" t="s">
        <v>1386</v>
      </c>
      <c r="K358" s="12" t="s">
        <v>17</v>
      </c>
      <c r="L358" s="10" t="s">
        <v>455</v>
      </c>
      <c r="M358" s="10" t="s">
        <v>15</v>
      </c>
      <c r="N358" s="2" t="s">
        <v>17</v>
      </c>
      <c r="O358" s="2" t="s">
        <v>17</v>
      </c>
      <c r="P358" s="2" t="s">
        <v>17</v>
      </c>
      <c r="S358" s="13"/>
    </row>
    <row r="359" spans="1:19" x14ac:dyDescent="0.2">
      <c r="A359" s="2">
        <v>356</v>
      </c>
      <c r="B359" s="8">
        <v>350407030</v>
      </c>
      <c r="C359" s="8" t="s">
        <v>1387</v>
      </c>
      <c r="D359" s="8" t="s">
        <v>17</v>
      </c>
      <c r="E359" s="9" t="s">
        <v>1077</v>
      </c>
      <c r="F359" s="10" t="s">
        <v>1388</v>
      </c>
      <c r="G359" s="10" t="s">
        <v>1387</v>
      </c>
      <c r="H359" s="10" t="s">
        <v>729</v>
      </c>
      <c r="I359" s="11" t="s">
        <v>1389</v>
      </c>
      <c r="J359" s="11" t="s">
        <v>1390</v>
      </c>
      <c r="K359" s="12" t="s">
        <v>17</v>
      </c>
      <c r="L359" s="10" t="s">
        <v>455</v>
      </c>
      <c r="M359" s="10" t="s">
        <v>15</v>
      </c>
      <c r="N359" s="2" t="s">
        <v>17</v>
      </c>
      <c r="O359" s="2" t="s">
        <v>17</v>
      </c>
      <c r="P359" s="2" t="s">
        <v>17</v>
      </c>
      <c r="S359" s="13"/>
    </row>
    <row r="360" spans="1:19" x14ac:dyDescent="0.2">
      <c r="A360" s="2">
        <v>357</v>
      </c>
      <c r="B360" s="8">
        <v>350407031</v>
      </c>
      <c r="C360" s="8" t="s">
        <v>1391</v>
      </c>
      <c r="D360" s="8" t="s">
        <v>17</v>
      </c>
      <c r="E360" s="9" t="s">
        <v>1077</v>
      </c>
      <c r="F360" s="10" t="s">
        <v>1391</v>
      </c>
      <c r="G360" s="10" t="s">
        <v>1392</v>
      </c>
      <c r="H360" s="10" t="s">
        <v>729</v>
      </c>
      <c r="I360" s="11" t="s">
        <v>1393</v>
      </c>
      <c r="J360" s="11" t="s">
        <v>1394</v>
      </c>
      <c r="K360" s="12" t="s">
        <v>17</v>
      </c>
      <c r="L360" s="10" t="s">
        <v>455</v>
      </c>
      <c r="M360" s="10" t="s">
        <v>15</v>
      </c>
      <c r="N360" s="2" t="s">
        <v>17</v>
      </c>
      <c r="O360" s="2" t="s">
        <v>17</v>
      </c>
      <c r="P360" s="2" t="s">
        <v>17</v>
      </c>
      <c r="S360" s="13"/>
    </row>
    <row r="361" spans="1:19" x14ac:dyDescent="0.2">
      <c r="A361" s="2">
        <v>358</v>
      </c>
      <c r="B361" s="8">
        <v>350407032</v>
      </c>
      <c r="C361" s="8" t="s">
        <v>1395</v>
      </c>
      <c r="D361" s="8" t="s">
        <v>17</v>
      </c>
      <c r="E361" s="9" t="s">
        <v>1077</v>
      </c>
      <c r="F361" s="10" t="s">
        <v>1396</v>
      </c>
      <c r="G361" s="10" t="s">
        <v>1395</v>
      </c>
      <c r="H361" s="10" t="s">
        <v>729</v>
      </c>
      <c r="I361" s="11" t="s">
        <v>1397</v>
      </c>
      <c r="J361" s="11" t="s">
        <v>1398</v>
      </c>
      <c r="K361" s="12" t="s">
        <v>17</v>
      </c>
      <c r="L361" s="10" t="s">
        <v>455</v>
      </c>
      <c r="M361" s="10" t="s">
        <v>15</v>
      </c>
      <c r="N361" s="2" t="s">
        <v>17</v>
      </c>
      <c r="O361" s="2" t="s">
        <v>17</v>
      </c>
      <c r="P361" s="2" t="s">
        <v>17</v>
      </c>
      <c r="S361" s="13"/>
    </row>
    <row r="362" spans="1:19" x14ac:dyDescent="0.2">
      <c r="A362" s="2">
        <v>359</v>
      </c>
      <c r="B362" s="8">
        <v>350407033</v>
      </c>
      <c r="C362" s="8" t="s">
        <v>1399</v>
      </c>
      <c r="D362" s="8" t="s">
        <v>17</v>
      </c>
      <c r="E362" s="9" t="s">
        <v>1077</v>
      </c>
      <c r="F362" s="10" t="s">
        <v>1399</v>
      </c>
      <c r="G362" s="10" t="s">
        <v>1308</v>
      </c>
      <c r="H362" s="10" t="s">
        <v>729</v>
      </c>
      <c r="I362" s="11" t="s">
        <v>1400</v>
      </c>
      <c r="J362" s="11" t="s">
        <v>1401</v>
      </c>
      <c r="K362" s="12" t="s">
        <v>17</v>
      </c>
      <c r="L362" s="10" t="s">
        <v>455</v>
      </c>
      <c r="M362" s="10" t="s">
        <v>15</v>
      </c>
      <c r="N362" s="2" t="s">
        <v>17</v>
      </c>
      <c r="O362" s="2" t="s">
        <v>17</v>
      </c>
      <c r="P362" s="2" t="s">
        <v>17</v>
      </c>
      <c r="S362" s="13"/>
    </row>
    <row r="363" spans="1:19" x14ac:dyDescent="0.2">
      <c r="A363" s="2">
        <v>360</v>
      </c>
      <c r="B363" s="8">
        <v>350472001</v>
      </c>
      <c r="C363" s="8" t="s">
        <v>1402</v>
      </c>
      <c r="D363" s="8" t="s">
        <v>17</v>
      </c>
      <c r="E363" s="9" t="s">
        <v>1077</v>
      </c>
      <c r="F363" s="10" t="s">
        <v>1402</v>
      </c>
      <c r="G363" s="10" t="s">
        <v>1403</v>
      </c>
      <c r="H363" s="10" t="s">
        <v>1404</v>
      </c>
      <c r="I363" s="11" t="s">
        <v>1405</v>
      </c>
      <c r="J363" s="11" t="s">
        <v>1406</v>
      </c>
      <c r="K363" s="12" t="s">
        <v>17</v>
      </c>
      <c r="L363" s="10" t="s">
        <v>455</v>
      </c>
      <c r="M363" s="10" t="s">
        <v>15</v>
      </c>
      <c r="N363" s="2" t="s">
        <v>17</v>
      </c>
      <c r="O363" s="2" t="s">
        <v>17</v>
      </c>
      <c r="P363" s="2" t="s">
        <v>17</v>
      </c>
      <c r="S363" s="13"/>
    </row>
    <row r="364" spans="1:19" x14ac:dyDescent="0.2">
      <c r="A364" s="2">
        <v>361</v>
      </c>
      <c r="B364" s="8">
        <v>350472002</v>
      </c>
      <c r="C364" s="8" t="s">
        <v>1407</v>
      </c>
      <c r="D364" s="8" t="s">
        <v>17</v>
      </c>
      <c r="E364" s="9" t="s">
        <v>1077</v>
      </c>
      <c r="F364" s="10" t="s">
        <v>1408</v>
      </c>
      <c r="G364" s="10" t="s">
        <v>1409</v>
      </c>
      <c r="H364" s="10" t="s">
        <v>1404</v>
      </c>
      <c r="I364" s="11" t="s">
        <v>1410</v>
      </c>
      <c r="J364" s="11" t="s">
        <v>1411</v>
      </c>
      <c r="K364" s="12" t="s">
        <v>17</v>
      </c>
      <c r="L364" s="10" t="s">
        <v>455</v>
      </c>
      <c r="M364" s="10" t="s">
        <v>15</v>
      </c>
      <c r="N364" s="2" t="s">
        <v>17</v>
      </c>
      <c r="O364" s="2" t="s">
        <v>17</v>
      </c>
      <c r="P364" s="2" t="s">
        <v>17</v>
      </c>
      <c r="S364" s="13"/>
    </row>
    <row r="365" spans="1:19" x14ac:dyDescent="0.2">
      <c r="A365" s="2">
        <v>362</v>
      </c>
      <c r="B365" s="8">
        <v>350472003</v>
      </c>
      <c r="C365" s="8" t="s">
        <v>983</v>
      </c>
      <c r="D365" s="8" t="s">
        <v>17</v>
      </c>
      <c r="E365" s="9" t="s">
        <v>1077</v>
      </c>
      <c r="F365" s="10" t="s">
        <v>983</v>
      </c>
      <c r="G365" s="10" t="s">
        <v>1403</v>
      </c>
      <c r="H365" s="10" t="s">
        <v>1404</v>
      </c>
      <c r="I365" s="11" t="s">
        <v>1412</v>
      </c>
      <c r="J365" s="11" t="s">
        <v>1413</v>
      </c>
      <c r="K365" s="12" t="s">
        <v>17</v>
      </c>
      <c r="L365" s="10" t="s">
        <v>455</v>
      </c>
      <c r="M365" s="10" t="s">
        <v>15</v>
      </c>
      <c r="N365" s="2" t="s">
        <v>17</v>
      </c>
      <c r="O365" s="2" t="s">
        <v>17</v>
      </c>
      <c r="P365" s="2" t="s">
        <v>17</v>
      </c>
      <c r="S365" s="13"/>
    </row>
    <row r="366" spans="1:19" x14ac:dyDescent="0.2">
      <c r="A366" s="2">
        <v>363</v>
      </c>
      <c r="B366" s="8">
        <v>350472004</v>
      </c>
      <c r="C366" s="8" t="s">
        <v>1414</v>
      </c>
      <c r="D366" s="8" t="s">
        <v>17</v>
      </c>
      <c r="E366" s="9" t="s">
        <v>1077</v>
      </c>
      <c r="F366" s="10" t="s">
        <v>1415</v>
      </c>
      <c r="G366" s="10" t="s">
        <v>1403</v>
      </c>
      <c r="H366" s="10" t="s">
        <v>1404</v>
      </c>
      <c r="I366" s="11" t="s">
        <v>1416</v>
      </c>
      <c r="J366" s="11" t="s">
        <v>1417</v>
      </c>
      <c r="K366" s="12" t="s">
        <v>17</v>
      </c>
      <c r="L366" s="10" t="s">
        <v>455</v>
      </c>
      <c r="M366" s="10" t="s">
        <v>15</v>
      </c>
      <c r="N366" s="2" t="s">
        <v>17</v>
      </c>
      <c r="O366" s="2" t="s">
        <v>17</v>
      </c>
      <c r="P366" s="2" t="s">
        <v>17</v>
      </c>
      <c r="S366" s="13"/>
    </row>
    <row r="367" spans="1:19" x14ac:dyDescent="0.2">
      <c r="A367" s="2">
        <v>364</v>
      </c>
      <c r="B367" s="8">
        <v>350472005</v>
      </c>
      <c r="C367" s="8" t="s">
        <v>1418</v>
      </c>
      <c r="D367" s="8" t="s">
        <v>17</v>
      </c>
      <c r="E367" s="9" t="s">
        <v>1077</v>
      </c>
      <c r="F367" s="10" t="s">
        <v>1418</v>
      </c>
      <c r="G367" s="10" t="s">
        <v>1409</v>
      </c>
      <c r="H367" s="10" t="s">
        <v>1404</v>
      </c>
      <c r="I367" s="11" t="s">
        <v>1419</v>
      </c>
      <c r="J367" s="11" t="s">
        <v>1420</v>
      </c>
      <c r="K367" s="12" t="s">
        <v>17</v>
      </c>
      <c r="L367" s="10" t="s">
        <v>455</v>
      </c>
      <c r="M367" s="10" t="s">
        <v>15</v>
      </c>
      <c r="N367" s="2" t="s">
        <v>17</v>
      </c>
      <c r="O367" s="2" t="s">
        <v>17</v>
      </c>
      <c r="P367" s="2" t="s">
        <v>17</v>
      </c>
      <c r="S367" s="13"/>
    </row>
    <row r="368" spans="1:19" x14ac:dyDescent="0.2">
      <c r="A368" s="2">
        <v>365</v>
      </c>
      <c r="B368" s="8">
        <v>350473001</v>
      </c>
      <c r="C368" s="8" t="s">
        <v>1421</v>
      </c>
      <c r="D368" s="8" t="s">
        <v>17</v>
      </c>
      <c r="E368" s="9" t="s">
        <v>1077</v>
      </c>
      <c r="F368" s="10" t="s">
        <v>123</v>
      </c>
      <c r="G368" s="10" t="s">
        <v>123</v>
      </c>
      <c r="H368" s="10" t="s">
        <v>1422</v>
      </c>
      <c r="I368" s="11" t="s">
        <v>1423</v>
      </c>
      <c r="J368" s="11" t="s">
        <v>1424</v>
      </c>
      <c r="K368" s="12" t="s">
        <v>17</v>
      </c>
      <c r="L368" s="10" t="s">
        <v>455</v>
      </c>
      <c r="M368" s="10" t="s">
        <v>15</v>
      </c>
      <c r="N368" s="2" t="s">
        <v>17</v>
      </c>
      <c r="O368" s="2" t="s">
        <v>17</v>
      </c>
      <c r="P368" s="2" t="s">
        <v>17</v>
      </c>
      <c r="S368" s="13"/>
    </row>
    <row r="369" spans="1:19" x14ac:dyDescent="0.2">
      <c r="A369" s="2">
        <v>366</v>
      </c>
      <c r="B369" s="8">
        <v>350473002</v>
      </c>
      <c r="C369" s="8" t="s">
        <v>1425</v>
      </c>
      <c r="D369" s="8" t="s">
        <v>17</v>
      </c>
      <c r="E369" s="9" t="s">
        <v>1077</v>
      </c>
      <c r="F369" s="10" t="s">
        <v>1426</v>
      </c>
      <c r="G369" s="10" t="s">
        <v>1425</v>
      </c>
      <c r="H369" s="10" t="s">
        <v>1422</v>
      </c>
      <c r="I369" s="11" t="s">
        <v>1427</v>
      </c>
      <c r="J369" s="11" t="s">
        <v>1428</v>
      </c>
      <c r="K369" s="12" t="s">
        <v>17</v>
      </c>
      <c r="L369" s="10" t="s">
        <v>455</v>
      </c>
      <c r="M369" s="10" t="s">
        <v>15</v>
      </c>
      <c r="N369" s="2" t="s">
        <v>17</v>
      </c>
      <c r="O369" s="2" t="s">
        <v>17</v>
      </c>
      <c r="P369" s="2" t="s">
        <v>17</v>
      </c>
      <c r="S369" s="13"/>
    </row>
    <row r="370" spans="1:19" x14ac:dyDescent="0.2">
      <c r="A370" s="2">
        <v>367</v>
      </c>
      <c r="B370" s="8">
        <v>350473003</v>
      </c>
      <c r="C370" s="8" t="s">
        <v>1429</v>
      </c>
      <c r="D370" s="8" t="s">
        <v>17</v>
      </c>
      <c r="E370" s="9" t="s">
        <v>1077</v>
      </c>
      <c r="F370" s="10" t="s">
        <v>1429</v>
      </c>
      <c r="G370" s="10" t="s">
        <v>1429</v>
      </c>
      <c r="H370" s="10" t="s">
        <v>1422</v>
      </c>
      <c r="I370" s="11" t="s">
        <v>1430</v>
      </c>
      <c r="J370" s="11" t="s">
        <v>1431</v>
      </c>
      <c r="K370" s="12" t="s">
        <v>17</v>
      </c>
      <c r="L370" s="10" t="s">
        <v>455</v>
      </c>
      <c r="M370" s="10" t="s">
        <v>15</v>
      </c>
      <c r="N370" s="2" t="s">
        <v>17</v>
      </c>
      <c r="O370" s="2" t="s">
        <v>17</v>
      </c>
      <c r="P370" s="2" t="s">
        <v>17</v>
      </c>
      <c r="S370" s="13"/>
    </row>
    <row r="371" spans="1:19" x14ac:dyDescent="0.2">
      <c r="A371" s="2">
        <v>368</v>
      </c>
      <c r="B371" s="8">
        <v>350479001</v>
      </c>
      <c r="C371" s="8" t="s">
        <v>1191</v>
      </c>
      <c r="D371" s="8" t="s">
        <v>17</v>
      </c>
      <c r="E371" s="9" t="s">
        <v>1077</v>
      </c>
      <c r="F371" s="10" t="s">
        <v>1191</v>
      </c>
      <c r="G371" s="10" t="s">
        <v>1432</v>
      </c>
      <c r="H371" s="10" t="s">
        <v>1433</v>
      </c>
      <c r="I371" s="11" t="s">
        <v>1434</v>
      </c>
      <c r="J371" s="11" t="s">
        <v>1435</v>
      </c>
      <c r="K371" s="12" t="s">
        <v>17</v>
      </c>
      <c r="L371" s="10" t="s">
        <v>455</v>
      </c>
      <c r="M371" s="10" t="s">
        <v>15</v>
      </c>
      <c r="N371" s="2" t="s">
        <v>17</v>
      </c>
      <c r="O371" s="2" t="s">
        <v>17</v>
      </c>
      <c r="P371" s="2" t="s">
        <v>17</v>
      </c>
      <c r="S371" s="13"/>
    </row>
    <row r="372" spans="1:19" x14ac:dyDescent="0.2">
      <c r="A372" s="2">
        <v>369</v>
      </c>
      <c r="B372" s="8">
        <v>350479002</v>
      </c>
      <c r="C372" s="8" t="s">
        <v>1436</v>
      </c>
      <c r="D372" s="8" t="s">
        <v>17</v>
      </c>
      <c r="E372" s="9" t="s">
        <v>1077</v>
      </c>
      <c r="F372" s="10" t="s">
        <v>1436</v>
      </c>
      <c r="G372" s="10" t="s">
        <v>1432</v>
      </c>
      <c r="H372" s="10" t="s">
        <v>1433</v>
      </c>
      <c r="I372" s="11" t="s">
        <v>1437</v>
      </c>
      <c r="J372" s="11" t="s">
        <v>1438</v>
      </c>
      <c r="K372" s="12" t="s">
        <v>17</v>
      </c>
      <c r="L372" s="10" t="s">
        <v>455</v>
      </c>
      <c r="M372" s="10" t="s">
        <v>15</v>
      </c>
      <c r="N372" s="2" t="s">
        <v>17</v>
      </c>
      <c r="O372" s="2" t="s">
        <v>17</v>
      </c>
      <c r="P372" s="2" t="s">
        <v>17</v>
      </c>
      <c r="S372" s="13"/>
    </row>
    <row r="373" spans="1:19" x14ac:dyDescent="0.2">
      <c r="A373" s="2">
        <v>370</v>
      </c>
      <c r="B373" s="8">
        <v>350479003</v>
      </c>
      <c r="C373" s="8" t="s">
        <v>1439</v>
      </c>
      <c r="D373" s="8" t="s">
        <v>17</v>
      </c>
      <c r="E373" s="9" t="s">
        <v>1077</v>
      </c>
      <c r="F373" s="10" t="s">
        <v>816</v>
      </c>
      <c r="G373" s="10" t="s">
        <v>1432</v>
      </c>
      <c r="H373" s="10" t="s">
        <v>1433</v>
      </c>
      <c r="I373" s="11" t="s">
        <v>1440</v>
      </c>
      <c r="J373" s="11" t="s">
        <v>1441</v>
      </c>
      <c r="K373" s="12" t="s">
        <v>17</v>
      </c>
      <c r="L373" s="10" t="s">
        <v>455</v>
      </c>
      <c r="M373" s="10" t="s">
        <v>15</v>
      </c>
      <c r="N373" s="2" t="s">
        <v>17</v>
      </c>
      <c r="O373" s="2" t="s">
        <v>17</v>
      </c>
      <c r="P373" s="2" t="s">
        <v>17</v>
      </c>
      <c r="S373" s="13"/>
    </row>
    <row r="374" spans="1:19" x14ac:dyDescent="0.2">
      <c r="A374" s="2">
        <v>371</v>
      </c>
      <c r="B374" s="8">
        <v>350479004</v>
      </c>
      <c r="C374" s="8" t="s">
        <v>1442</v>
      </c>
      <c r="D374" s="8" t="s">
        <v>17</v>
      </c>
      <c r="E374" s="9" t="s">
        <v>1077</v>
      </c>
      <c r="F374" s="10" t="s">
        <v>1442</v>
      </c>
      <c r="G374" s="10" t="s">
        <v>1443</v>
      </c>
      <c r="H374" s="10" t="s">
        <v>1433</v>
      </c>
      <c r="I374" s="11" t="s">
        <v>1444</v>
      </c>
      <c r="J374" s="11" t="s">
        <v>1445</v>
      </c>
      <c r="K374" s="12" t="s">
        <v>17</v>
      </c>
      <c r="L374" s="10" t="s">
        <v>455</v>
      </c>
      <c r="M374" s="10" t="s">
        <v>15</v>
      </c>
      <c r="N374" s="2" t="s">
        <v>17</v>
      </c>
      <c r="O374" s="2" t="s">
        <v>17</v>
      </c>
      <c r="P374" s="2" t="s">
        <v>17</v>
      </c>
      <c r="S374" s="13"/>
    </row>
    <row r="375" spans="1:19" x14ac:dyDescent="0.2">
      <c r="A375" s="2">
        <v>372</v>
      </c>
      <c r="B375" s="8">
        <v>350479005</v>
      </c>
      <c r="C375" s="8" t="s">
        <v>1446</v>
      </c>
      <c r="D375" s="8" t="s">
        <v>17</v>
      </c>
      <c r="E375" s="9" t="s">
        <v>1077</v>
      </c>
      <c r="F375" s="10" t="s">
        <v>1447</v>
      </c>
      <c r="G375" s="10" t="s">
        <v>1448</v>
      </c>
      <c r="H375" s="10" t="s">
        <v>1433</v>
      </c>
      <c r="I375" s="11" t="s">
        <v>1449</v>
      </c>
      <c r="J375" s="11" t="s">
        <v>1450</v>
      </c>
      <c r="K375" s="12" t="s">
        <v>17</v>
      </c>
      <c r="L375" s="10" t="s">
        <v>455</v>
      </c>
      <c r="M375" s="10" t="s">
        <v>15</v>
      </c>
      <c r="N375" s="2" t="s">
        <v>17</v>
      </c>
      <c r="O375" s="2" t="s">
        <v>17</v>
      </c>
      <c r="P375" s="2" t="s">
        <v>17</v>
      </c>
      <c r="S375" s="13"/>
    </row>
    <row r="376" spans="1:19" x14ac:dyDescent="0.2">
      <c r="A376" s="2">
        <v>373</v>
      </c>
      <c r="B376" s="8">
        <v>350479006</v>
      </c>
      <c r="C376" s="8" t="s">
        <v>1451</v>
      </c>
      <c r="D376" s="8" t="s">
        <v>17</v>
      </c>
      <c r="E376" s="9" t="s">
        <v>1077</v>
      </c>
      <c r="F376" s="10" t="s">
        <v>1451</v>
      </c>
      <c r="G376" s="10" t="s">
        <v>1443</v>
      </c>
      <c r="H376" s="10" t="s">
        <v>1433</v>
      </c>
      <c r="I376" s="11" t="s">
        <v>1452</v>
      </c>
      <c r="J376" s="11" t="s">
        <v>1453</v>
      </c>
      <c r="K376" s="12" t="s">
        <v>17</v>
      </c>
      <c r="L376" s="10" t="s">
        <v>455</v>
      </c>
      <c r="M376" s="10" t="s">
        <v>15</v>
      </c>
      <c r="N376" s="2" t="s">
        <v>17</v>
      </c>
      <c r="O376" s="2" t="s">
        <v>17</v>
      </c>
      <c r="P376" s="2" t="s">
        <v>17</v>
      </c>
      <c r="S376" s="13"/>
    </row>
    <row r="377" spans="1:19" x14ac:dyDescent="0.2">
      <c r="A377" s="2">
        <v>374</v>
      </c>
      <c r="B377" s="8">
        <v>350479007</v>
      </c>
      <c r="C377" s="8" t="s">
        <v>1454</v>
      </c>
      <c r="D377" s="8" t="s">
        <v>17</v>
      </c>
      <c r="E377" s="9" t="s">
        <v>1077</v>
      </c>
      <c r="F377" s="10" t="s">
        <v>1454</v>
      </c>
      <c r="G377" s="10" t="s">
        <v>1448</v>
      </c>
      <c r="H377" s="10" t="s">
        <v>1433</v>
      </c>
      <c r="I377" s="11" t="s">
        <v>1455</v>
      </c>
      <c r="J377" s="11" t="s">
        <v>1456</v>
      </c>
      <c r="K377" s="12" t="s">
        <v>17</v>
      </c>
      <c r="L377" s="10" t="s">
        <v>455</v>
      </c>
      <c r="M377" s="10" t="s">
        <v>15</v>
      </c>
      <c r="N377" s="2" t="s">
        <v>17</v>
      </c>
      <c r="O377" s="2" t="s">
        <v>17</v>
      </c>
      <c r="P377" s="2" t="s">
        <v>17</v>
      </c>
      <c r="S377" s="13"/>
    </row>
    <row r="378" spans="1:19" x14ac:dyDescent="0.2">
      <c r="A378" s="2">
        <v>375</v>
      </c>
      <c r="B378" s="8">
        <v>350503001</v>
      </c>
      <c r="C378" s="8" t="s">
        <v>1457</v>
      </c>
      <c r="D378" s="8" t="s">
        <v>17</v>
      </c>
      <c r="E378" s="9" t="s">
        <v>1458</v>
      </c>
      <c r="F378" s="10" t="s">
        <v>1459</v>
      </c>
      <c r="G378" s="10" t="s">
        <v>1457</v>
      </c>
      <c r="H378" s="10" t="s">
        <v>1460</v>
      </c>
      <c r="I378" s="11" t="s">
        <v>1461</v>
      </c>
      <c r="J378" s="11" t="s">
        <v>1462</v>
      </c>
      <c r="K378" s="12" t="s">
        <v>17</v>
      </c>
      <c r="L378" s="10" t="s">
        <v>455</v>
      </c>
      <c r="M378" s="10" t="s">
        <v>15</v>
      </c>
      <c r="N378" s="2" t="s">
        <v>17</v>
      </c>
      <c r="O378" s="2" t="s">
        <v>17</v>
      </c>
      <c r="P378" s="2" t="s">
        <v>17</v>
      </c>
      <c r="S378" s="13"/>
    </row>
    <row r="379" spans="1:19" x14ac:dyDescent="0.2">
      <c r="A379" s="2">
        <v>376</v>
      </c>
      <c r="B379" s="8">
        <v>350503002</v>
      </c>
      <c r="C379" s="8" t="s">
        <v>1463</v>
      </c>
      <c r="D379" s="8" t="s">
        <v>17</v>
      </c>
      <c r="E379" s="9" t="s">
        <v>1458</v>
      </c>
      <c r="F379" s="10" t="s">
        <v>1082</v>
      </c>
      <c r="G379" s="10" t="s">
        <v>1460</v>
      </c>
      <c r="H379" s="10" t="s">
        <v>1460</v>
      </c>
      <c r="I379" s="11" t="s">
        <v>1464</v>
      </c>
      <c r="J379" s="11" t="s">
        <v>1465</v>
      </c>
      <c r="K379" s="12" t="s">
        <v>17</v>
      </c>
      <c r="L379" s="10" t="s">
        <v>455</v>
      </c>
      <c r="M379" s="10" t="s">
        <v>15</v>
      </c>
      <c r="N379" s="2" t="s">
        <v>17</v>
      </c>
      <c r="O379" s="2" t="s">
        <v>17</v>
      </c>
      <c r="P379" s="2" t="s">
        <v>17</v>
      </c>
      <c r="S379" s="13"/>
    </row>
    <row r="380" spans="1:19" x14ac:dyDescent="0.2">
      <c r="A380" s="2">
        <v>377</v>
      </c>
      <c r="B380" s="8">
        <v>350503003</v>
      </c>
      <c r="C380" s="8" t="s">
        <v>1466</v>
      </c>
      <c r="D380" s="8" t="s">
        <v>17</v>
      </c>
      <c r="E380" s="9" t="s">
        <v>1458</v>
      </c>
      <c r="F380" s="10" t="s">
        <v>1467</v>
      </c>
      <c r="G380" s="10" t="s">
        <v>1466</v>
      </c>
      <c r="H380" s="10" t="s">
        <v>1460</v>
      </c>
      <c r="I380" s="11" t="s">
        <v>1468</v>
      </c>
      <c r="J380" s="11" t="s">
        <v>1469</v>
      </c>
      <c r="K380" s="12" t="s">
        <v>17</v>
      </c>
      <c r="L380" s="10" t="s">
        <v>455</v>
      </c>
      <c r="M380" s="10" t="s">
        <v>15</v>
      </c>
      <c r="N380" s="2" t="s">
        <v>17</v>
      </c>
      <c r="O380" s="2" t="s">
        <v>17</v>
      </c>
      <c r="P380" s="2" t="s">
        <v>17</v>
      </c>
      <c r="S380" s="13"/>
    </row>
    <row r="381" spans="1:19" x14ac:dyDescent="0.2">
      <c r="A381" s="2">
        <v>378</v>
      </c>
      <c r="B381" s="8">
        <v>350503004</v>
      </c>
      <c r="C381" s="8" t="s">
        <v>486</v>
      </c>
      <c r="D381" s="8" t="s">
        <v>17</v>
      </c>
      <c r="E381" s="9" t="s">
        <v>1458</v>
      </c>
      <c r="F381" s="10" t="s">
        <v>486</v>
      </c>
      <c r="G381" s="10" t="s">
        <v>1466</v>
      </c>
      <c r="H381" s="10" t="s">
        <v>1460</v>
      </c>
      <c r="I381" s="11" t="s">
        <v>1470</v>
      </c>
      <c r="J381" s="11" t="s">
        <v>1471</v>
      </c>
      <c r="K381" s="12" t="s">
        <v>17</v>
      </c>
      <c r="L381" s="10" t="s">
        <v>455</v>
      </c>
      <c r="M381" s="10" t="s">
        <v>15</v>
      </c>
      <c r="N381" s="2" t="s">
        <v>17</v>
      </c>
      <c r="O381" s="2" t="s">
        <v>17</v>
      </c>
      <c r="P381" s="2" t="s">
        <v>17</v>
      </c>
      <c r="S381" s="13"/>
    </row>
    <row r="382" spans="1:19" x14ac:dyDescent="0.2">
      <c r="A382" s="2">
        <v>379</v>
      </c>
      <c r="B382" s="8">
        <v>350503005</v>
      </c>
      <c r="C382" s="8" t="s">
        <v>333</v>
      </c>
      <c r="D382" s="8" t="s">
        <v>17</v>
      </c>
      <c r="E382" s="9" t="s">
        <v>1458</v>
      </c>
      <c r="F382" s="10" t="s">
        <v>1472</v>
      </c>
      <c r="G382" s="10" t="s">
        <v>1473</v>
      </c>
      <c r="H382" s="10" t="s">
        <v>1460</v>
      </c>
      <c r="I382" s="11" t="s">
        <v>1474</v>
      </c>
      <c r="J382" s="11" t="s">
        <v>1475</v>
      </c>
      <c r="K382" s="12" t="s">
        <v>17</v>
      </c>
      <c r="L382" s="10" t="s">
        <v>455</v>
      </c>
      <c r="M382" s="10" t="s">
        <v>15</v>
      </c>
      <c r="N382" s="2" t="s">
        <v>17</v>
      </c>
      <c r="O382" s="2" t="s">
        <v>17</v>
      </c>
      <c r="P382" s="2" t="s">
        <v>17</v>
      </c>
      <c r="S382" s="13"/>
    </row>
    <row r="383" spans="1:19" x14ac:dyDescent="0.2">
      <c r="A383" s="2">
        <v>380</v>
      </c>
      <c r="B383" s="8">
        <v>350503006</v>
      </c>
      <c r="C383" s="8" t="s">
        <v>1476</v>
      </c>
      <c r="D383" s="8" t="s">
        <v>17</v>
      </c>
      <c r="E383" s="9" t="s">
        <v>1458</v>
      </c>
      <c r="F383" s="10" t="s">
        <v>1476</v>
      </c>
      <c r="G383" s="10" t="s">
        <v>1234</v>
      </c>
      <c r="H383" s="10" t="s">
        <v>1460</v>
      </c>
      <c r="I383" s="11" t="s">
        <v>1477</v>
      </c>
      <c r="J383" s="11" t="s">
        <v>1478</v>
      </c>
      <c r="K383" s="12" t="s">
        <v>17</v>
      </c>
      <c r="L383" s="10" t="s">
        <v>455</v>
      </c>
      <c r="M383" s="10" t="s">
        <v>15</v>
      </c>
      <c r="N383" s="2" t="s">
        <v>17</v>
      </c>
      <c r="O383" s="2" t="s">
        <v>17</v>
      </c>
      <c r="P383" s="2" t="s">
        <v>17</v>
      </c>
      <c r="S383" s="13"/>
    </row>
    <row r="384" spans="1:19" x14ac:dyDescent="0.2">
      <c r="A384" s="2">
        <v>381</v>
      </c>
      <c r="B384" s="8">
        <v>350503007</v>
      </c>
      <c r="C384" s="8" t="s">
        <v>1479</v>
      </c>
      <c r="D384" s="8" t="s">
        <v>17</v>
      </c>
      <c r="E384" s="9" t="s">
        <v>1458</v>
      </c>
      <c r="F384" s="10" t="s">
        <v>1480</v>
      </c>
      <c r="G384" s="10" t="s">
        <v>1479</v>
      </c>
      <c r="H384" s="10" t="s">
        <v>1460</v>
      </c>
      <c r="I384" s="11" t="s">
        <v>1481</v>
      </c>
      <c r="J384" s="11" t="s">
        <v>1482</v>
      </c>
      <c r="K384" s="12" t="s">
        <v>17</v>
      </c>
      <c r="L384" s="10" t="s">
        <v>455</v>
      </c>
      <c r="M384" s="10" t="s">
        <v>15</v>
      </c>
      <c r="N384" s="2" t="s">
        <v>17</v>
      </c>
      <c r="O384" s="2" t="s">
        <v>17</v>
      </c>
      <c r="P384" s="2" t="s">
        <v>17</v>
      </c>
      <c r="S384" s="13"/>
    </row>
    <row r="385" spans="1:19" x14ac:dyDescent="0.2">
      <c r="A385" s="2">
        <v>382</v>
      </c>
      <c r="B385" s="8">
        <v>350503008</v>
      </c>
      <c r="C385" s="8" t="s">
        <v>1483</v>
      </c>
      <c r="D385" s="8" t="s">
        <v>17</v>
      </c>
      <c r="E385" s="9" t="s">
        <v>1458</v>
      </c>
      <c r="F385" s="10" t="s">
        <v>1484</v>
      </c>
      <c r="G385" s="10" t="s">
        <v>1483</v>
      </c>
      <c r="H385" s="10" t="s">
        <v>1460</v>
      </c>
      <c r="I385" s="11" t="s">
        <v>1485</v>
      </c>
      <c r="J385" s="11" t="s">
        <v>1486</v>
      </c>
      <c r="K385" s="12" t="s">
        <v>17</v>
      </c>
      <c r="L385" s="10" t="s">
        <v>455</v>
      </c>
      <c r="M385" s="10" t="s">
        <v>15</v>
      </c>
      <c r="N385" s="2" t="s">
        <v>17</v>
      </c>
      <c r="O385" s="2" t="s">
        <v>17</v>
      </c>
      <c r="P385" s="2" t="s">
        <v>17</v>
      </c>
      <c r="S385" s="13"/>
    </row>
    <row r="386" spans="1:19" x14ac:dyDescent="0.2">
      <c r="A386" s="2">
        <v>383</v>
      </c>
      <c r="B386" s="8">
        <v>350503009</v>
      </c>
      <c r="C386" s="8" t="s">
        <v>367</v>
      </c>
      <c r="D386" s="8" t="s">
        <v>17</v>
      </c>
      <c r="E386" s="9" t="s">
        <v>1458</v>
      </c>
      <c r="F386" s="10" t="s">
        <v>367</v>
      </c>
      <c r="G386" s="10" t="s">
        <v>367</v>
      </c>
      <c r="H386" s="10" t="s">
        <v>1460</v>
      </c>
      <c r="I386" s="11" t="s">
        <v>1487</v>
      </c>
      <c r="J386" s="11" t="s">
        <v>1478</v>
      </c>
      <c r="K386" s="12" t="s">
        <v>17</v>
      </c>
      <c r="L386" s="10" t="s">
        <v>455</v>
      </c>
      <c r="M386" s="10" t="s">
        <v>15</v>
      </c>
      <c r="N386" s="2" t="s">
        <v>17</v>
      </c>
      <c r="O386" s="2" t="s">
        <v>17</v>
      </c>
      <c r="P386" s="2" t="s">
        <v>17</v>
      </c>
      <c r="S386" s="13"/>
    </row>
    <row r="387" spans="1:19" x14ac:dyDescent="0.2">
      <c r="A387" s="2">
        <v>384</v>
      </c>
      <c r="B387" s="8">
        <v>350503010</v>
      </c>
      <c r="C387" s="8" t="s">
        <v>1488</v>
      </c>
      <c r="D387" s="8" t="s">
        <v>17</v>
      </c>
      <c r="E387" s="9" t="s">
        <v>1458</v>
      </c>
      <c r="F387" s="10" t="s">
        <v>1488</v>
      </c>
      <c r="G387" s="10" t="s">
        <v>1488</v>
      </c>
      <c r="H387" s="10" t="s">
        <v>1460</v>
      </c>
      <c r="I387" s="11" t="s">
        <v>1489</v>
      </c>
      <c r="J387" s="11" t="s">
        <v>1490</v>
      </c>
      <c r="K387" s="12" t="s">
        <v>17</v>
      </c>
      <c r="L387" s="10" t="s">
        <v>455</v>
      </c>
      <c r="M387" s="10" t="s">
        <v>15</v>
      </c>
      <c r="N387" s="2" t="s">
        <v>17</v>
      </c>
      <c r="O387" s="2" t="s">
        <v>17</v>
      </c>
      <c r="P387" s="2" t="s">
        <v>17</v>
      </c>
      <c r="S387" s="13"/>
    </row>
    <row r="388" spans="1:19" x14ac:dyDescent="0.2">
      <c r="A388" s="2">
        <v>385</v>
      </c>
      <c r="B388" s="8">
        <v>350503011</v>
      </c>
      <c r="C388" s="8" t="s">
        <v>1491</v>
      </c>
      <c r="D388" s="8" t="s">
        <v>17</v>
      </c>
      <c r="E388" s="9" t="s">
        <v>1458</v>
      </c>
      <c r="F388" s="10" t="s">
        <v>1492</v>
      </c>
      <c r="G388" s="10" t="s">
        <v>1491</v>
      </c>
      <c r="H388" s="10" t="s">
        <v>1460</v>
      </c>
      <c r="I388" s="11" t="s">
        <v>1493</v>
      </c>
      <c r="J388" s="11" t="s">
        <v>1494</v>
      </c>
      <c r="K388" s="12" t="s">
        <v>17</v>
      </c>
      <c r="L388" s="10" t="s">
        <v>455</v>
      </c>
      <c r="M388" s="10" t="s">
        <v>15</v>
      </c>
      <c r="N388" s="2" t="s">
        <v>17</v>
      </c>
      <c r="O388" s="2" t="s">
        <v>17</v>
      </c>
      <c r="P388" s="2" t="s">
        <v>17</v>
      </c>
      <c r="S388" s="13"/>
    </row>
    <row r="389" spans="1:19" x14ac:dyDescent="0.2">
      <c r="A389" s="2">
        <v>386</v>
      </c>
      <c r="B389" s="8">
        <v>350503012</v>
      </c>
      <c r="C389" s="8" t="s">
        <v>1495</v>
      </c>
      <c r="D389" s="8" t="s">
        <v>17</v>
      </c>
      <c r="E389" s="9" t="s">
        <v>1458</v>
      </c>
      <c r="F389" s="10" t="s">
        <v>1496</v>
      </c>
      <c r="G389" s="10" t="s">
        <v>1495</v>
      </c>
      <c r="H389" s="10" t="s">
        <v>1460</v>
      </c>
      <c r="I389" s="11" t="s">
        <v>1497</v>
      </c>
      <c r="J389" s="11" t="s">
        <v>1498</v>
      </c>
      <c r="K389" s="12" t="s">
        <v>17</v>
      </c>
      <c r="L389" s="10" t="s">
        <v>455</v>
      </c>
      <c r="M389" s="10" t="s">
        <v>15</v>
      </c>
      <c r="N389" s="2" t="s">
        <v>17</v>
      </c>
      <c r="O389" s="2" t="s">
        <v>17</v>
      </c>
      <c r="P389" s="2" t="s">
        <v>17</v>
      </c>
      <c r="S389" s="13"/>
    </row>
    <row r="390" spans="1:19" x14ac:dyDescent="0.2">
      <c r="A390" s="2">
        <v>387</v>
      </c>
      <c r="B390" s="8">
        <v>350503013</v>
      </c>
      <c r="C390" s="8" t="s">
        <v>1499</v>
      </c>
      <c r="D390" s="8" t="s">
        <v>17</v>
      </c>
      <c r="E390" s="9" t="s">
        <v>1458</v>
      </c>
      <c r="F390" s="10" t="s">
        <v>1500</v>
      </c>
      <c r="G390" s="10" t="s">
        <v>1501</v>
      </c>
      <c r="H390" s="10" t="s">
        <v>1460</v>
      </c>
      <c r="I390" s="11" t="s">
        <v>1502</v>
      </c>
      <c r="J390" s="11" t="s">
        <v>1503</v>
      </c>
      <c r="K390" s="12" t="s">
        <v>17</v>
      </c>
      <c r="L390" s="10" t="s">
        <v>455</v>
      </c>
      <c r="M390" s="10" t="s">
        <v>15</v>
      </c>
      <c r="N390" s="2" t="s">
        <v>17</v>
      </c>
      <c r="O390" s="2" t="s">
        <v>17</v>
      </c>
      <c r="P390" s="2" t="s">
        <v>17</v>
      </c>
      <c r="S390" s="13"/>
    </row>
    <row r="391" spans="1:19" x14ac:dyDescent="0.2">
      <c r="A391" s="2">
        <v>388</v>
      </c>
      <c r="B391" s="8">
        <v>350503014</v>
      </c>
      <c r="C391" s="8" t="s">
        <v>1504</v>
      </c>
      <c r="D391" s="8" t="s">
        <v>17</v>
      </c>
      <c r="E391" s="9" t="s">
        <v>1458</v>
      </c>
      <c r="F391" s="10" t="s">
        <v>1505</v>
      </c>
      <c r="G391" s="10" t="s">
        <v>1501</v>
      </c>
      <c r="H391" s="10" t="s">
        <v>1460</v>
      </c>
      <c r="I391" s="11" t="s">
        <v>1506</v>
      </c>
      <c r="J391" s="11" t="s">
        <v>1507</v>
      </c>
      <c r="K391" s="12" t="s">
        <v>17</v>
      </c>
      <c r="L391" s="10" t="s">
        <v>455</v>
      </c>
      <c r="M391" s="10" t="s">
        <v>15</v>
      </c>
      <c r="N391" s="2" t="s">
        <v>17</v>
      </c>
      <c r="O391" s="2" t="s">
        <v>17</v>
      </c>
      <c r="P391" s="2" t="s">
        <v>17</v>
      </c>
      <c r="S391" s="13"/>
    </row>
    <row r="392" spans="1:19" x14ac:dyDescent="0.2">
      <c r="A392" s="2">
        <v>389</v>
      </c>
      <c r="B392" s="8">
        <v>350506001</v>
      </c>
      <c r="C392" s="8" t="s">
        <v>1508</v>
      </c>
      <c r="D392" s="8" t="s">
        <v>17</v>
      </c>
      <c r="E392" s="9" t="s">
        <v>1458</v>
      </c>
      <c r="F392" s="10" t="s">
        <v>689</v>
      </c>
      <c r="G392" s="10" t="s">
        <v>689</v>
      </c>
      <c r="H392" s="10" t="s">
        <v>1509</v>
      </c>
      <c r="I392" s="11" t="s">
        <v>1510</v>
      </c>
      <c r="J392" s="11" t="s">
        <v>1511</v>
      </c>
      <c r="K392" s="12" t="s">
        <v>17</v>
      </c>
      <c r="L392" s="10" t="s">
        <v>455</v>
      </c>
      <c r="M392" s="10" t="s">
        <v>15</v>
      </c>
      <c r="N392" s="2" t="s">
        <v>17</v>
      </c>
      <c r="O392" s="2" t="s">
        <v>17</v>
      </c>
      <c r="P392" s="2" t="s">
        <v>17</v>
      </c>
      <c r="S392" s="13"/>
    </row>
    <row r="393" spans="1:19" x14ac:dyDescent="0.2">
      <c r="A393" s="2">
        <v>390</v>
      </c>
      <c r="B393" s="8">
        <v>350506002</v>
      </c>
      <c r="C393" s="8" t="s">
        <v>1512</v>
      </c>
      <c r="D393" s="8" t="s">
        <v>17</v>
      </c>
      <c r="E393" s="9" t="s">
        <v>1458</v>
      </c>
      <c r="F393" s="10" t="s">
        <v>1513</v>
      </c>
      <c r="G393" s="10" t="s">
        <v>1514</v>
      </c>
      <c r="H393" s="10" t="s">
        <v>1509</v>
      </c>
      <c r="I393" s="11" t="s">
        <v>1515</v>
      </c>
      <c r="J393" s="11" t="s">
        <v>1516</v>
      </c>
      <c r="K393" s="12" t="s">
        <v>17</v>
      </c>
      <c r="L393" s="10" t="s">
        <v>455</v>
      </c>
      <c r="M393" s="10" t="s">
        <v>15</v>
      </c>
      <c r="N393" s="2" t="s">
        <v>17</v>
      </c>
      <c r="O393" s="2" t="s">
        <v>17</v>
      </c>
      <c r="P393" s="2" t="s">
        <v>17</v>
      </c>
      <c r="S393" s="13"/>
    </row>
    <row r="394" spans="1:19" x14ac:dyDescent="0.2">
      <c r="A394" s="2">
        <v>391</v>
      </c>
      <c r="B394" s="8">
        <v>350506003</v>
      </c>
      <c r="C394" s="8" t="s">
        <v>1517</v>
      </c>
      <c r="D394" s="8" t="s">
        <v>17</v>
      </c>
      <c r="E394" s="9" t="s">
        <v>1458</v>
      </c>
      <c r="F394" s="10" t="s">
        <v>1518</v>
      </c>
      <c r="G394" s="10" t="s">
        <v>689</v>
      </c>
      <c r="H394" s="10" t="s">
        <v>1509</v>
      </c>
      <c r="I394" s="11" t="s">
        <v>1519</v>
      </c>
      <c r="J394" s="11" t="s">
        <v>1520</v>
      </c>
      <c r="K394" s="12" t="s">
        <v>17</v>
      </c>
      <c r="L394" s="10" t="s">
        <v>455</v>
      </c>
      <c r="M394" s="10" t="s">
        <v>15</v>
      </c>
      <c r="N394" s="2" t="s">
        <v>17</v>
      </c>
      <c r="O394" s="2" t="s">
        <v>17</v>
      </c>
      <c r="P394" s="2" t="s">
        <v>17</v>
      </c>
      <c r="S394" s="13"/>
    </row>
    <row r="395" spans="1:19" x14ac:dyDescent="0.2">
      <c r="A395" s="2">
        <v>392</v>
      </c>
      <c r="B395" s="8">
        <v>350506004</v>
      </c>
      <c r="C395" s="8" t="s">
        <v>1521</v>
      </c>
      <c r="D395" s="8" t="s">
        <v>17</v>
      </c>
      <c r="E395" s="9" t="s">
        <v>1458</v>
      </c>
      <c r="F395" s="10" t="s">
        <v>1521</v>
      </c>
      <c r="G395" s="10" t="s">
        <v>1522</v>
      </c>
      <c r="H395" s="10" t="s">
        <v>1509</v>
      </c>
      <c r="I395" s="11" t="s">
        <v>1523</v>
      </c>
      <c r="J395" s="11" t="s">
        <v>1524</v>
      </c>
      <c r="K395" s="12" t="s">
        <v>17</v>
      </c>
      <c r="L395" s="10" t="s">
        <v>455</v>
      </c>
      <c r="M395" s="10" t="s">
        <v>15</v>
      </c>
      <c r="N395" s="2" t="s">
        <v>17</v>
      </c>
      <c r="O395" s="2" t="s">
        <v>17</v>
      </c>
      <c r="P395" s="2" t="s">
        <v>17</v>
      </c>
      <c r="S395" s="13"/>
    </row>
    <row r="396" spans="1:19" x14ac:dyDescent="0.2">
      <c r="A396" s="2">
        <v>393</v>
      </c>
      <c r="B396" s="8">
        <v>350506005</v>
      </c>
      <c r="C396" s="8" t="s">
        <v>1525</v>
      </c>
      <c r="D396" s="8" t="s">
        <v>17</v>
      </c>
      <c r="E396" s="9" t="s">
        <v>1458</v>
      </c>
      <c r="F396" s="10" t="s">
        <v>1522</v>
      </c>
      <c r="G396" s="10" t="s">
        <v>1522</v>
      </c>
      <c r="H396" s="10" t="s">
        <v>1509</v>
      </c>
      <c r="I396" s="11" t="s">
        <v>1526</v>
      </c>
      <c r="J396" s="11" t="s">
        <v>1527</v>
      </c>
      <c r="K396" s="12" t="s">
        <v>17</v>
      </c>
      <c r="L396" s="10" t="s">
        <v>455</v>
      </c>
      <c r="M396" s="10" t="s">
        <v>15</v>
      </c>
      <c r="N396" s="2" t="s">
        <v>17</v>
      </c>
      <c r="O396" s="2" t="s">
        <v>17</v>
      </c>
      <c r="P396" s="2" t="s">
        <v>17</v>
      </c>
      <c r="S396" s="13"/>
    </row>
    <row r="397" spans="1:19" x14ac:dyDescent="0.2">
      <c r="A397" s="2">
        <v>394</v>
      </c>
      <c r="B397" s="8">
        <v>350506006</v>
      </c>
      <c r="C397" s="8" t="s">
        <v>1528</v>
      </c>
      <c r="D397" s="8" t="s">
        <v>17</v>
      </c>
      <c r="E397" s="9" t="s">
        <v>1458</v>
      </c>
      <c r="F397" s="10" t="s">
        <v>1529</v>
      </c>
      <c r="G397" s="10" t="s">
        <v>1529</v>
      </c>
      <c r="H397" s="10" t="s">
        <v>1509</v>
      </c>
      <c r="I397" s="11" t="s">
        <v>1530</v>
      </c>
      <c r="J397" s="11" t="s">
        <v>1531</v>
      </c>
      <c r="K397" s="12" t="s">
        <v>17</v>
      </c>
      <c r="L397" s="10" t="s">
        <v>455</v>
      </c>
      <c r="M397" s="10" t="s">
        <v>15</v>
      </c>
      <c r="N397" s="2" t="s">
        <v>17</v>
      </c>
      <c r="O397" s="2" t="s">
        <v>17</v>
      </c>
      <c r="P397" s="2" t="s">
        <v>17</v>
      </c>
      <c r="S397" s="13"/>
    </row>
    <row r="398" spans="1:19" x14ac:dyDescent="0.2">
      <c r="A398" s="2">
        <v>395</v>
      </c>
      <c r="B398" s="8">
        <v>350506007</v>
      </c>
      <c r="C398" s="8" t="s">
        <v>1532</v>
      </c>
      <c r="D398" s="8" t="s">
        <v>17</v>
      </c>
      <c r="E398" s="9" t="s">
        <v>1458</v>
      </c>
      <c r="F398" s="10" t="s">
        <v>73</v>
      </c>
      <c r="G398" s="10" t="s">
        <v>1529</v>
      </c>
      <c r="H398" s="10" t="s">
        <v>1509</v>
      </c>
      <c r="I398" s="11" t="s">
        <v>1533</v>
      </c>
      <c r="J398" s="11" t="s">
        <v>1534</v>
      </c>
      <c r="K398" s="12" t="s">
        <v>17</v>
      </c>
      <c r="L398" s="10" t="s">
        <v>455</v>
      </c>
      <c r="M398" s="10" t="s">
        <v>15</v>
      </c>
      <c r="N398" s="2" t="s">
        <v>17</v>
      </c>
      <c r="O398" s="2" t="s">
        <v>17</v>
      </c>
      <c r="P398" s="2" t="s">
        <v>17</v>
      </c>
      <c r="S398" s="13"/>
    </row>
    <row r="399" spans="1:19" x14ac:dyDescent="0.2">
      <c r="A399" s="2">
        <v>396</v>
      </c>
      <c r="B399" s="8">
        <v>350506008</v>
      </c>
      <c r="C399" s="8" t="s">
        <v>1535</v>
      </c>
      <c r="D399" s="8" t="s">
        <v>17</v>
      </c>
      <c r="E399" s="9" t="s">
        <v>1458</v>
      </c>
      <c r="F399" s="10" t="s">
        <v>1535</v>
      </c>
      <c r="G399" s="10" t="s">
        <v>1536</v>
      </c>
      <c r="H399" s="10" t="s">
        <v>1509</v>
      </c>
      <c r="I399" s="11" t="s">
        <v>1537</v>
      </c>
      <c r="J399" s="11" t="s">
        <v>1538</v>
      </c>
      <c r="K399" s="12" t="s">
        <v>17</v>
      </c>
      <c r="L399" s="10" t="s">
        <v>455</v>
      </c>
      <c r="M399" s="10" t="s">
        <v>15</v>
      </c>
      <c r="N399" s="2" t="s">
        <v>17</v>
      </c>
      <c r="O399" s="2" t="s">
        <v>17</v>
      </c>
      <c r="P399" s="2" t="s">
        <v>17</v>
      </c>
      <c r="S399" s="13"/>
    </row>
    <row r="400" spans="1:19" x14ac:dyDescent="0.2">
      <c r="A400" s="2">
        <v>397</v>
      </c>
      <c r="B400" s="8">
        <v>350506009</v>
      </c>
      <c r="C400" s="8" t="s">
        <v>1514</v>
      </c>
      <c r="D400" s="8" t="s">
        <v>17</v>
      </c>
      <c r="E400" s="9" t="s">
        <v>1458</v>
      </c>
      <c r="F400" s="10" t="s">
        <v>1514</v>
      </c>
      <c r="G400" s="10" t="s">
        <v>1514</v>
      </c>
      <c r="H400" s="10" t="s">
        <v>1509</v>
      </c>
      <c r="I400" s="11" t="s">
        <v>1539</v>
      </c>
      <c r="J400" s="11" t="s">
        <v>1540</v>
      </c>
      <c r="K400" s="12" t="s">
        <v>17</v>
      </c>
      <c r="L400" s="10" t="s">
        <v>455</v>
      </c>
      <c r="M400" s="10" t="s">
        <v>15</v>
      </c>
      <c r="N400" s="2" t="s">
        <v>17</v>
      </c>
      <c r="O400" s="2" t="s">
        <v>17</v>
      </c>
      <c r="P400" s="2" t="s">
        <v>17</v>
      </c>
      <c r="S400" s="13"/>
    </row>
    <row r="401" spans="1:19" x14ac:dyDescent="0.2">
      <c r="A401" s="2">
        <v>398</v>
      </c>
      <c r="B401" s="8">
        <v>350506010</v>
      </c>
      <c r="C401" s="8" t="s">
        <v>1541</v>
      </c>
      <c r="D401" s="8" t="s">
        <v>17</v>
      </c>
      <c r="E401" s="9" t="s">
        <v>1458</v>
      </c>
      <c r="F401" s="10" t="s">
        <v>159</v>
      </c>
      <c r="G401" s="10" t="s">
        <v>1542</v>
      </c>
      <c r="H401" s="10" t="s">
        <v>1509</v>
      </c>
      <c r="I401" s="11" t="s">
        <v>1543</v>
      </c>
      <c r="J401" s="11" t="s">
        <v>1544</v>
      </c>
      <c r="K401" s="12" t="s">
        <v>17</v>
      </c>
      <c r="L401" s="10" t="s">
        <v>455</v>
      </c>
      <c r="M401" s="10" t="s">
        <v>15</v>
      </c>
      <c r="N401" s="2" t="s">
        <v>17</v>
      </c>
      <c r="O401" s="2" t="s">
        <v>17</v>
      </c>
      <c r="P401" s="2" t="s">
        <v>17</v>
      </c>
      <c r="S401" s="13"/>
    </row>
    <row r="402" spans="1:19" x14ac:dyDescent="0.2">
      <c r="A402" s="2">
        <v>399</v>
      </c>
      <c r="B402" s="8">
        <v>350506011</v>
      </c>
      <c r="C402" s="8" t="s">
        <v>1545</v>
      </c>
      <c r="D402" s="8" t="s">
        <v>17</v>
      </c>
      <c r="E402" s="9" t="s">
        <v>1458</v>
      </c>
      <c r="F402" s="10" t="s">
        <v>1546</v>
      </c>
      <c r="G402" s="10" t="s">
        <v>1536</v>
      </c>
      <c r="H402" s="10" t="s">
        <v>1509</v>
      </c>
      <c r="I402" s="11" t="s">
        <v>1547</v>
      </c>
      <c r="J402" s="11" t="s">
        <v>1548</v>
      </c>
      <c r="K402" s="12" t="s">
        <v>17</v>
      </c>
      <c r="L402" s="10" t="s">
        <v>455</v>
      </c>
      <c r="M402" s="10" t="s">
        <v>15</v>
      </c>
      <c r="N402" s="2" t="s">
        <v>17</v>
      </c>
      <c r="O402" s="2" t="s">
        <v>17</v>
      </c>
      <c r="P402" s="2" t="s">
        <v>17</v>
      </c>
      <c r="S402" s="13"/>
    </row>
    <row r="403" spans="1:19" x14ac:dyDescent="0.2">
      <c r="A403" s="2">
        <v>400</v>
      </c>
      <c r="B403" s="8">
        <v>350506012</v>
      </c>
      <c r="C403" s="8" t="s">
        <v>1549</v>
      </c>
      <c r="D403" s="8" t="s">
        <v>17</v>
      </c>
      <c r="E403" s="9" t="s">
        <v>1458</v>
      </c>
      <c r="F403" s="10" t="s">
        <v>1549</v>
      </c>
      <c r="G403" s="10" t="s">
        <v>1549</v>
      </c>
      <c r="H403" s="10" t="s">
        <v>1509</v>
      </c>
      <c r="I403" s="11" t="s">
        <v>1550</v>
      </c>
      <c r="J403" s="11" t="s">
        <v>1551</v>
      </c>
      <c r="K403" s="12" t="s">
        <v>17</v>
      </c>
      <c r="L403" s="10" t="s">
        <v>455</v>
      </c>
      <c r="M403" s="10" t="s">
        <v>15</v>
      </c>
      <c r="N403" s="2" t="s">
        <v>17</v>
      </c>
      <c r="O403" s="2" t="s">
        <v>17</v>
      </c>
      <c r="P403" s="2" t="s">
        <v>17</v>
      </c>
      <c r="S403" s="13"/>
    </row>
    <row r="404" spans="1:19" x14ac:dyDescent="0.2">
      <c r="A404" s="2">
        <v>401</v>
      </c>
      <c r="B404" s="8">
        <v>350506013</v>
      </c>
      <c r="C404" s="8" t="s">
        <v>1552</v>
      </c>
      <c r="D404" s="8" t="s">
        <v>17</v>
      </c>
      <c r="E404" s="9" t="s">
        <v>1458</v>
      </c>
      <c r="F404" s="10" t="s">
        <v>1553</v>
      </c>
      <c r="G404" s="10" t="s">
        <v>1554</v>
      </c>
      <c r="H404" s="10" t="s">
        <v>1509</v>
      </c>
      <c r="I404" s="11" t="s">
        <v>1555</v>
      </c>
      <c r="J404" s="11" t="s">
        <v>1556</v>
      </c>
      <c r="K404" s="12" t="s">
        <v>17</v>
      </c>
      <c r="L404" s="10" t="s">
        <v>455</v>
      </c>
      <c r="M404" s="10" t="s">
        <v>15</v>
      </c>
      <c r="N404" s="2" t="s">
        <v>17</v>
      </c>
      <c r="O404" s="2" t="s">
        <v>17</v>
      </c>
      <c r="P404" s="2" t="s">
        <v>17</v>
      </c>
      <c r="S404" s="13"/>
    </row>
    <row r="405" spans="1:19" x14ac:dyDescent="0.2">
      <c r="A405" s="2">
        <v>402</v>
      </c>
      <c r="B405" s="8">
        <v>350506014</v>
      </c>
      <c r="C405" s="8" t="s">
        <v>1557</v>
      </c>
      <c r="D405" s="8" t="s">
        <v>17</v>
      </c>
      <c r="E405" s="9" t="s">
        <v>1458</v>
      </c>
      <c r="F405" s="10" t="s">
        <v>1557</v>
      </c>
      <c r="G405" s="10" t="s">
        <v>1558</v>
      </c>
      <c r="H405" s="10" t="s">
        <v>1509</v>
      </c>
      <c r="I405" s="11" t="s">
        <v>1559</v>
      </c>
      <c r="J405" s="11" t="s">
        <v>1560</v>
      </c>
      <c r="K405" s="12" t="s">
        <v>17</v>
      </c>
      <c r="L405" s="10" t="s">
        <v>455</v>
      </c>
      <c r="M405" s="10" t="s">
        <v>15</v>
      </c>
      <c r="N405" s="2" t="s">
        <v>17</v>
      </c>
      <c r="O405" s="2" t="s">
        <v>17</v>
      </c>
      <c r="P405" s="2" t="s">
        <v>17</v>
      </c>
      <c r="S405" s="13"/>
    </row>
    <row r="406" spans="1:19" x14ac:dyDescent="0.2">
      <c r="A406" s="2">
        <v>403</v>
      </c>
      <c r="B406" s="8">
        <v>350506015</v>
      </c>
      <c r="C406" s="8" t="s">
        <v>689</v>
      </c>
      <c r="D406" s="8" t="s">
        <v>17</v>
      </c>
      <c r="E406" s="9" t="s">
        <v>1458</v>
      </c>
      <c r="F406" s="10" t="s">
        <v>689</v>
      </c>
      <c r="G406" s="10" t="s">
        <v>689</v>
      </c>
      <c r="H406" s="10" t="s">
        <v>1509</v>
      </c>
      <c r="I406" s="11" t="s">
        <v>1561</v>
      </c>
      <c r="J406" s="11" t="s">
        <v>1562</v>
      </c>
      <c r="K406" s="12" t="s">
        <v>17</v>
      </c>
      <c r="L406" s="10" t="s">
        <v>455</v>
      </c>
      <c r="M406" s="10" t="s">
        <v>15</v>
      </c>
      <c r="N406" s="2" t="s">
        <v>17</v>
      </c>
      <c r="O406" s="2" t="s">
        <v>17</v>
      </c>
      <c r="P406" s="2" t="s">
        <v>17</v>
      </c>
      <c r="S406" s="13"/>
    </row>
    <row r="407" spans="1:19" x14ac:dyDescent="0.2">
      <c r="A407" s="2">
        <v>404</v>
      </c>
      <c r="B407" s="8">
        <v>350506016</v>
      </c>
      <c r="C407" s="8" t="s">
        <v>1563</v>
      </c>
      <c r="D407" s="8" t="s">
        <v>17</v>
      </c>
      <c r="E407" s="9" t="s">
        <v>1458</v>
      </c>
      <c r="F407" s="10" t="s">
        <v>1564</v>
      </c>
      <c r="G407" s="10" t="s">
        <v>689</v>
      </c>
      <c r="H407" s="10" t="s">
        <v>1509</v>
      </c>
      <c r="I407" s="11" t="s">
        <v>1565</v>
      </c>
      <c r="J407" s="11" t="s">
        <v>1566</v>
      </c>
      <c r="K407" s="12" t="s">
        <v>17</v>
      </c>
      <c r="L407" s="10" t="s">
        <v>455</v>
      </c>
      <c r="M407" s="10" t="s">
        <v>15</v>
      </c>
      <c r="N407" s="2" t="s">
        <v>17</v>
      </c>
      <c r="O407" s="2" t="s">
        <v>17</v>
      </c>
      <c r="P407" s="2" t="s">
        <v>17</v>
      </c>
      <c r="S407" s="13"/>
    </row>
    <row r="408" spans="1:19" x14ac:dyDescent="0.2">
      <c r="A408" s="2">
        <v>405</v>
      </c>
      <c r="B408" s="8">
        <v>350506017</v>
      </c>
      <c r="C408" s="8" t="s">
        <v>1567</v>
      </c>
      <c r="D408" s="8" t="s">
        <v>17</v>
      </c>
      <c r="E408" s="9" t="s">
        <v>1458</v>
      </c>
      <c r="F408" s="10" t="s">
        <v>396</v>
      </c>
      <c r="G408" s="10" t="s">
        <v>481</v>
      </c>
      <c r="H408" s="10" t="s">
        <v>1509</v>
      </c>
      <c r="I408" s="11" t="s">
        <v>1568</v>
      </c>
      <c r="J408" s="11" t="s">
        <v>1569</v>
      </c>
      <c r="K408" s="12" t="s">
        <v>17</v>
      </c>
      <c r="L408" s="10" t="s">
        <v>455</v>
      </c>
      <c r="M408" s="10" t="s">
        <v>15</v>
      </c>
      <c r="N408" s="2" t="s">
        <v>17</v>
      </c>
      <c r="O408" s="2" t="s">
        <v>17</v>
      </c>
      <c r="P408" s="2" t="s">
        <v>17</v>
      </c>
      <c r="S408" s="13"/>
    </row>
    <row r="409" spans="1:19" x14ac:dyDescent="0.2">
      <c r="A409" s="2">
        <v>406</v>
      </c>
      <c r="B409" s="8">
        <v>350506018</v>
      </c>
      <c r="C409" s="8" t="s">
        <v>1570</v>
      </c>
      <c r="D409" s="8" t="s">
        <v>17</v>
      </c>
      <c r="E409" s="9" t="s">
        <v>1458</v>
      </c>
      <c r="F409" s="10" t="s">
        <v>1571</v>
      </c>
      <c r="G409" s="10" t="s">
        <v>1572</v>
      </c>
      <c r="H409" s="10" t="s">
        <v>1509</v>
      </c>
      <c r="I409" s="11" t="s">
        <v>1573</v>
      </c>
      <c r="J409" s="11" t="s">
        <v>1574</v>
      </c>
      <c r="K409" s="12" t="s">
        <v>17</v>
      </c>
      <c r="L409" s="10" t="s">
        <v>455</v>
      </c>
      <c r="M409" s="10" t="s">
        <v>15</v>
      </c>
      <c r="N409" s="2" t="s">
        <v>17</v>
      </c>
      <c r="O409" s="2" t="s">
        <v>17</v>
      </c>
      <c r="P409" s="2" t="s">
        <v>17</v>
      </c>
      <c r="S409" s="13"/>
    </row>
    <row r="410" spans="1:19" x14ac:dyDescent="0.2">
      <c r="A410" s="2">
        <v>407</v>
      </c>
      <c r="B410" s="8">
        <v>350506019</v>
      </c>
      <c r="C410" s="8" t="s">
        <v>1575</v>
      </c>
      <c r="D410" s="8" t="s">
        <v>17</v>
      </c>
      <c r="E410" s="9" t="s">
        <v>1458</v>
      </c>
      <c r="F410" s="10" t="s">
        <v>1576</v>
      </c>
      <c r="G410" s="10" t="s">
        <v>1241</v>
      </c>
      <c r="H410" s="10" t="s">
        <v>1509</v>
      </c>
      <c r="I410" s="11" t="s">
        <v>1577</v>
      </c>
      <c r="J410" s="11" t="s">
        <v>1578</v>
      </c>
      <c r="K410" s="12" t="s">
        <v>17</v>
      </c>
      <c r="L410" s="10" t="s">
        <v>455</v>
      </c>
      <c r="M410" s="10" t="s">
        <v>15</v>
      </c>
      <c r="N410" s="2" t="s">
        <v>17</v>
      </c>
      <c r="O410" s="2" t="s">
        <v>17</v>
      </c>
      <c r="P410" s="2" t="s">
        <v>17</v>
      </c>
      <c r="S410" s="13"/>
    </row>
    <row r="411" spans="1:19" x14ac:dyDescent="0.2">
      <c r="A411" s="2">
        <v>408</v>
      </c>
      <c r="B411" s="8">
        <v>350506020</v>
      </c>
      <c r="C411" s="8" t="s">
        <v>1104</v>
      </c>
      <c r="D411" s="8" t="s">
        <v>17</v>
      </c>
      <c r="E411" s="9" t="s">
        <v>1458</v>
      </c>
      <c r="F411" s="10" t="s">
        <v>1579</v>
      </c>
      <c r="G411" s="10" t="s">
        <v>1580</v>
      </c>
      <c r="H411" s="10" t="s">
        <v>1509</v>
      </c>
      <c r="I411" s="11" t="s">
        <v>1581</v>
      </c>
      <c r="J411" s="11" t="s">
        <v>1582</v>
      </c>
      <c r="K411" s="12" t="s">
        <v>17</v>
      </c>
      <c r="L411" s="10" t="s">
        <v>455</v>
      </c>
      <c r="M411" s="10" t="s">
        <v>15</v>
      </c>
      <c r="N411" s="2" t="s">
        <v>17</v>
      </c>
      <c r="O411" s="2" t="s">
        <v>17</v>
      </c>
      <c r="P411" s="2" t="s">
        <v>17</v>
      </c>
      <c r="S411" s="13"/>
    </row>
    <row r="412" spans="1:19" x14ac:dyDescent="0.2">
      <c r="A412" s="2">
        <v>409</v>
      </c>
      <c r="B412" s="8">
        <v>350506021</v>
      </c>
      <c r="C412" s="8" t="s">
        <v>1583</v>
      </c>
      <c r="D412" s="8" t="s">
        <v>17</v>
      </c>
      <c r="E412" s="9" t="s">
        <v>1458</v>
      </c>
      <c r="F412" s="10" t="s">
        <v>1584</v>
      </c>
      <c r="G412" s="10" t="s">
        <v>1580</v>
      </c>
      <c r="H412" s="10" t="s">
        <v>1509</v>
      </c>
      <c r="I412" s="11" t="s">
        <v>1585</v>
      </c>
      <c r="J412" s="11" t="s">
        <v>1586</v>
      </c>
      <c r="K412" s="12" t="s">
        <v>17</v>
      </c>
      <c r="L412" s="10" t="s">
        <v>455</v>
      </c>
      <c r="M412" s="10" t="s">
        <v>15</v>
      </c>
      <c r="N412" s="2" t="s">
        <v>17</v>
      </c>
      <c r="O412" s="2" t="s">
        <v>17</v>
      </c>
      <c r="P412" s="2" t="s">
        <v>17</v>
      </c>
      <c r="S412" s="13"/>
    </row>
    <row r="413" spans="1:19" x14ac:dyDescent="0.2">
      <c r="A413" s="2">
        <v>410</v>
      </c>
      <c r="B413" s="8">
        <v>350506022</v>
      </c>
      <c r="C413" s="8" t="s">
        <v>1587</v>
      </c>
      <c r="D413" s="8" t="s">
        <v>17</v>
      </c>
      <c r="E413" s="9" t="s">
        <v>1458</v>
      </c>
      <c r="F413" s="10" t="s">
        <v>1588</v>
      </c>
      <c r="G413" s="10" t="s">
        <v>1588</v>
      </c>
      <c r="H413" s="10" t="s">
        <v>1509</v>
      </c>
      <c r="I413" s="11" t="s">
        <v>1589</v>
      </c>
      <c r="J413" s="11" t="s">
        <v>1590</v>
      </c>
      <c r="K413" s="12" t="s">
        <v>17</v>
      </c>
      <c r="L413" s="10" t="s">
        <v>455</v>
      </c>
      <c r="M413" s="10" t="s">
        <v>15</v>
      </c>
      <c r="N413" s="2" t="s">
        <v>17</v>
      </c>
      <c r="O413" s="2" t="s">
        <v>17</v>
      </c>
      <c r="P413" s="2" t="s">
        <v>17</v>
      </c>
      <c r="S413" s="13"/>
    </row>
    <row r="414" spans="1:19" x14ac:dyDescent="0.2">
      <c r="A414" s="2">
        <v>411</v>
      </c>
      <c r="B414" s="8">
        <v>350506023</v>
      </c>
      <c r="C414" s="8" t="s">
        <v>391</v>
      </c>
      <c r="D414" s="8" t="s">
        <v>17</v>
      </c>
      <c r="E414" s="9" t="s">
        <v>1458</v>
      </c>
      <c r="F414" s="10" t="s">
        <v>1591</v>
      </c>
      <c r="G414" s="10" t="s">
        <v>1529</v>
      </c>
      <c r="H414" s="10" t="s">
        <v>1509</v>
      </c>
      <c r="I414" s="11" t="s">
        <v>1592</v>
      </c>
      <c r="J414" s="11" t="s">
        <v>1593</v>
      </c>
      <c r="K414" s="12" t="s">
        <v>17</v>
      </c>
      <c r="L414" s="10" t="s">
        <v>455</v>
      </c>
      <c r="M414" s="10" t="s">
        <v>15</v>
      </c>
      <c r="N414" s="2" t="s">
        <v>17</v>
      </c>
      <c r="O414" s="2" t="s">
        <v>17</v>
      </c>
      <c r="P414" s="2" t="s">
        <v>17</v>
      </c>
      <c r="S414" s="13"/>
    </row>
    <row r="415" spans="1:19" x14ac:dyDescent="0.2">
      <c r="A415" s="2">
        <v>412</v>
      </c>
      <c r="B415" s="8">
        <v>350506024</v>
      </c>
      <c r="C415" s="8" t="s">
        <v>1594</v>
      </c>
      <c r="D415" s="8" t="s">
        <v>17</v>
      </c>
      <c r="E415" s="9" t="s">
        <v>1458</v>
      </c>
      <c r="F415" s="10" t="s">
        <v>1595</v>
      </c>
      <c r="G415" s="10" t="s">
        <v>1596</v>
      </c>
      <c r="H415" s="10" t="s">
        <v>1509</v>
      </c>
      <c r="I415" s="11" t="s">
        <v>1597</v>
      </c>
      <c r="J415" s="11" t="s">
        <v>1598</v>
      </c>
      <c r="K415" s="12" t="s">
        <v>17</v>
      </c>
      <c r="L415" s="10" t="s">
        <v>455</v>
      </c>
      <c r="M415" s="10" t="s">
        <v>15</v>
      </c>
      <c r="N415" s="2" t="s">
        <v>17</v>
      </c>
      <c r="O415" s="2" t="s">
        <v>17</v>
      </c>
      <c r="P415" s="2" t="s">
        <v>17</v>
      </c>
      <c r="S415" s="13"/>
    </row>
    <row r="416" spans="1:19" x14ac:dyDescent="0.2">
      <c r="A416" s="2">
        <v>413</v>
      </c>
      <c r="B416" s="8">
        <v>350506025</v>
      </c>
      <c r="C416" s="8" t="s">
        <v>1599</v>
      </c>
      <c r="D416" s="8" t="s">
        <v>17</v>
      </c>
      <c r="E416" s="9" t="s">
        <v>1458</v>
      </c>
      <c r="F416" s="10" t="s">
        <v>1599</v>
      </c>
      <c r="G416" s="10" t="s">
        <v>1529</v>
      </c>
      <c r="H416" s="10" t="s">
        <v>1509</v>
      </c>
      <c r="I416" s="11" t="s">
        <v>1600</v>
      </c>
      <c r="J416" s="11" t="s">
        <v>1601</v>
      </c>
      <c r="K416" s="12" t="s">
        <v>17</v>
      </c>
      <c r="L416" s="10" t="s">
        <v>455</v>
      </c>
      <c r="M416" s="10" t="s">
        <v>15</v>
      </c>
      <c r="N416" s="2" t="s">
        <v>17</v>
      </c>
      <c r="O416" s="2" t="s">
        <v>17</v>
      </c>
      <c r="P416" s="2" t="s">
        <v>17</v>
      </c>
      <c r="S416" s="13"/>
    </row>
    <row r="417" spans="1:19" x14ac:dyDescent="0.2">
      <c r="A417" s="2">
        <v>414</v>
      </c>
      <c r="B417" s="8">
        <v>350506026</v>
      </c>
      <c r="C417" s="8" t="s">
        <v>1602</v>
      </c>
      <c r="D417" s="8" t="s">
        <v>17</v>
      </c>
      <c r="E417" s="9" t="s">
        <v>1458</v>
      </c>
      <c r="F417" s="10" t="s">
        <v>1603</v>
      </c>
      <c r="G417" s="10" t="s">
        <v>1542</v>
      </c>
      <c r="H417" s="10" t="s">
        <v>1509</v>
      </c>
      <c r="I417" s="11" t="s">
        <v>1604</v>
      </c>
      <c r="J417" s="11" t="s">
        <v>1605</v>
      </c>
      <c r="K417" s="12" t="s">
        <v>17</v>
      </c>
      <c r="L417" s="10" t="s">
        <v>455</v>
      </c>
      <c r="M417" s="10" t="s">
        <v>15</v>
      </c>
      <c r="N417" s="2" t="s">
        <v>17</v>
      </c>
      <c r="O417" s="2" t="s">
        <v>17</v>
      </c>
      <c r="P417" s="2" t="s">
        <v>17</v>
      </c>
      <c r="S417" s="13"/>
    </row>
    <row r="418" spans="1:19" x14ac:dyDescent="0.2">
      <c r="A418" s="2">
        <v>415</v>
      </c>
      <c r="B418" s="8">
        <v>350506027</v>
      </c>
      <c r="C418" s="8" t="s">
        <v>1606</v>
      </c>
      <c r="D418" s="8" t="s">
        <v>17</v>
      </c>
      <c r="E418" s="9" t="s">
        <v>1458</v>
      </c>
      <c r="F418" s="10" t="s">
        <v>654</v>
      </c>
      <c r="G418" s="10" t="s">
        <v>1588</v>
      </c>
      <c r="H418" s="10" t="s">
        <v>1509</v>
      </c>
      <c r="I418" s="11" t="s">
        <v>1607</v>
      </c>
      <c r="J418" s="11" t="s">
        <v>1608</v>
      </c>
      <c r="K418" s="12" t="s">
        <v>17</v>
      </c>
      <c r="L418" s="10" t="s">
        <v>455</v>
      </c>
      <c r="M418" s="10" t="s">
        <v>15</v>
      </c>
      <c r="N418" s="2" t="s">
        <v>17</v>
      </c>
      <c r="O418" s="2" t="s">
        <v>17</v>
      </c>
      <c r="P418" s="2" t="s">
        <v>17</v>
      </c>
      <c r="S418" s="13"/>
    </row>
    <row r="419" spans="1:19" x14ac:dyDescent="0.2">
      <c r="A419" s="2">
        <v>416</v>
      </c>
      <c r="B419" s="8">
        <v>350506028</v>
      </c>
      <c r="C419" s="8" t="s">
        <v>1609</v>
      </c>
      <c r="D419" s="8" t="s">
        <v>17</v>
      </c>
      <c r="E419" s="9" t="s">
        <v>1458</v>
      </c>
      <c r="F419" s="10" t="s">
        <v>1610</v>
      </c>
      <c r="G419" s="10" t="s">
        <v>1596</v>
      </c>
      <c r="H419" s="10" t="s">
        <v>1509</v>
      </c>
      <c r="I419" s="11" t="s">
        <v>1611</v>
      </c>
      <c r="J419" s="11" t="s">
        <v>1612</v>
      </c>
      <c r="K419" s="12" t="s">
        <v>17</v>
      </c>
      <c r="L419" s="10" t="s">
        <v>455</v>
      </c>
      <c r="M419" s="10" t="s">
        <v>15</v>
      </c>
      <c r="N419" s="2" t="s">
        <v>17</v>
      </c>
      <c r="O419" s="2" t="s">
        <v>17</v>
      </c>
      <c r="P419" s="2" t="s">
        <v>17</v>
      </c>
      <c r="S419" s="13"/>
    </row>
    <row r="420" spans="1:19" x14ac:dyDescent="0.2">
      <c r="A420" s="2">
        <v>417</v>
      </c>
      <c r="B420" s="8">
        <v>350506029</v>
      </c>
      <c r="C420" s="8" t="s">
        <v>1613</v>
      </c>
      <c r="D420" s="8" t="s">
        <v>17</v>
      </c>
      <c r="E420" s="9" t="s">
        <v>1458</v>
      </c>
      <c r="F420" s="10" t="s">
        <v>1596</v>
      </c>
      <c r="G420" s="10" t="s">
        <v>1596</v>
      </c>
      <c r="H420" s="10" t="s">
        <v>1509</v>
      </c>
      <c r="I420" s="11" t="s">
        <v>1614</v>
      </c>
      <c r="J420" s="11" t="s">
        <v>1615</v>
      </c>
      <c r="K420" s="12" t="s">
        <v>17</v>
      </c>
      <c r="L420" s="10" t="s">
        <v>455</v>
      </c>
      <c r="M420" s="10" t="s">
        <v>15</v>
      </c>
      <c r="N420" s="2" t="s">
        <v>17</v>
      </c>
      <c r="O420" s="2" t="s">
        <v>17</v>
      </c>
      <c r="P420" s="2" t="s">
        <v>17</v>
      </c>
      <c r="S420" s="13"/>
    </row>
    <row r="421" spans="1:19" x14ac:dyDescent="0.2">
      <c r="A421" s="2">
        <v>418</v>
      </c>
      <c r="B421" s="8">
        <v>350506030</v>
      </c>
      <c r="C421" s="8" t="s">
        <v>1616</v>
      </c>
      <c r="D421" s="8" t="s">
        <v>17</v>
      </c>
      <c r="E421" s="9" t="s">
        <v>1458</v>
      </c>
      <c r="F421" s="10" t="s">
        <v>1617</v>
      </c>
      <c r="G421" s="10" t="s">
        <v>1596</v>
      </c>
      <c r="H421" s="10" t="s">
        <v>1509</v>
      </c>
      <c r="I421" s="11" t="s">
        <v>1618</v>
      </c>
      <c r="J421" s="11" t="s">
        <v>1619</v>
      </c>
      <c r="K421" s="12" t="s">
        <v>17</v>
      </c>
      <c r="L421" s="10" t="s">
        <v>455</v>
      </c>
      <c r="M421" s="10" t="s">
        <v>15</v>
      </c>
      <c r="N421" s="2" t="s">
        <v>17</v>
      </c>
      <c r="O421" s="2" t="s">
        <v>17</v>
      </c>
      <c r="P421" s="2" t="s">
        <v>17</v>
      </c>
      <c r="S421" s="13"/>
    </row>
    <row r="422" spans="1:19" x14ac:dyDescent="0.2">
      <c r="A422" s="2">
        <v>419</v>
      </c>
      <c r="B422" s="8">
        <v>350506031</v>
      </c>
      <c r="C422" s="8" t="s">
        <v>1620</v>
      </c>
      <c r="D422" s="8" t="s">
        <v>17</v>
      </c>
      <c r="E422" s="9" t="s">
        <v>1458</v>
      </c>
      <c r="F422" s="10" t="s">
        <v>1621</v>
      </c>
      <c r="G422" s="10" t="s">
        <v>1596</v>
      </c>
      <c r="H422" s="10" t="s">
        <v>1509</v>
      </c>
      <c r="I422" s="11" t="s">
        <v>1622</v>
      </c>
      <c r="J422" s="11" t="s">
        <v>1623</v>
      </c>
      <c r="K422" s="12" t="s">
        <v>17</v>
      </c>
      <c r="L422" s="10" t="s">
        <v>455</v>
      </c>
      <c r="M422" s="10" t="s">
        <v>15</v>
      </c>
      <c r="N422" s="2" t="s">
        <v>17</v>
      </c>
      <c r="O422" s="2" t="s">
        <v>17</v>
      </c>
      <c r="P422" s="2" t="s">
        <v>17</v>
      </c>
      <c r="S422" s="13"/>
    </row>
    <row r="423" spans="1:19" x14ac:dyDescent="0.2">
      <c r="A423" s="2">
        <v>420</v>
      </c>
      <c r="B423" s="8">
        <v>350506032</v>
      </c>
      <c r="C423" s="8" t="s">
        <v>1624</v>
      </c>
      <c r="D423" s="8" t="s">
        <v>17</v>
      </c>
      <c r="E423" s="9" t="s">
        <v>1458</v>
      </c>
      <c r="F423" s="10" t="s">
        <v>1625</v>
      </c>
      <c r="G423" s="10" t="s">
        <v>115</v>
      </c>
      <c r="H423" s="10" t="s">
        <v>1509</v>
      </c>
      <c r="I423" s="11" t="s">
        <v>1626</v>
      </c>
      <c r="J423" s="11" t="s">
        <v>1627</v>
      </c>
      <c r="K423" s="12" t="s">
        <v>17</v>
      </c>
      <c r="L423" s="10" t="s">
        <v>455</v>
      </c>
      <c r="M423" s="10" t="s">
        <v>15</v>
      </c>
      <c r="N423" s="2" t="s">
        <v>17</v>
      </c>
      <c r="O423" s="2" t="s">
        <v>17</v>
      </c>
      <c r="P423" s="2" t="s">
        <v>17</v>
      </c>
      <c r="S423" s="13"/>
    </row>
    <row r="424" spans="1:19" x14ac:dyDescent="0.2">
      <c r="A424" s="2">
        <v>421</v>
      </c>
      <c r="B424" s="8">
        <v>350506033</v>
      </c>
      <c r="C424" s="8" t="s">
        <v>1628</v>
      </c>
      <c r="D424" s="8" t="s">
        <v>17</v>
      </c>
      <c r="E424" s="9" t="s">
        <v>1458</v>
      </c>
      <c r="F424" s="10" t="s">
        <v>1629</v>
      </c>
      <c r="G424" s="10" t="s">
        <v>1630</v>
      </c>
      <c r="H424" s="10" t="s">
        <v>1509</v>
      </c>
      <c r="I424" s="11" t="s">
        <v>1631</v>
      </c>
      <c r="J424" s="11" t="s">
        <v>1632</v>
      </c>
      <c r="K424" s="12" t="s">
        <v>17</v>
      </c>
      <c r="L424" s="10" t="s">
        <v>455</v>
      </c>
      <c r="M424" s="10" t="s">
        <v>15</v>
      </c>
      <c r="N424" s="2" t="s">
        <v>17</v>
      </c>
      <c r="O424" s="2" t="s">
        <v>17</v>
      </c>
      <c r="P424" s="2" t="s">
        <v>17</v>
      </c>
      <c r="S424" s="13"/>
    </row>
    <row r="425" spans="1:19" x14ac:dyDescent="0.2">
      <c r="A425" s="2">
        <v>422</v>
      </c>
      <c r="B425" s="8">
        <v>350506034</v>
      </c>
      <c r="C425" s="8" t="s">
        <v>1633</v>
      </c>
      <c r="D425" s="8" t="s">
        <v>17</v>
      </c>
      <c r="E425" s="9" t="s">
        <v>1458</v>
      </c>
      <c r="F425" s="10" t="s">
        <v>1629</v>
      </c>
      <c r="G425" s="10" t="s">
        <v>1630</v>
      </c>
      <c r="H425" s="10" t="s">
        <v>1509</v>
      </c>
      <c r="I425" s="11" t="s">
        <v>1634</v>
      </c>
      <c r="J425" s="11" t="s">
        <v>1635</v>
      </c>
      <c r="K425" s="12" t="s">
        <v>17</v>
      </c>
      <c r="L425" s="10" t="s">
        <v>455</v>
      </c>
      <c r="M425" s="10" t="s">
        <v>15</v>
      </c>
      <c r="N425" s="2" t="s">
        <v>17</v>
      </c>
      <c r="O425" s="2" t="s">
        <v>17</v>
      </c>
      <c r="P425" s="2" t="s">
        <v>17</v>
      </c>
      <c r="S425" s="13"/>
    </row>
    <row r="426" spans="1:19" x14ac:dyDescent="0.2">
      <c r="A426" s="2">
        <v>423</v>
      </c>
      <c r="B426" s="8">
        <v>350506035</v>
      </c>
      <c r="C426" s="8" t="s">
        <v>654</v>
      </c>
      <c r="D426" s="8" t="s">
        <v>17</v>
      </c>
      <c r="E426" s="9" t="s">
        <v>1458</v>
      </c>
      <c r="F426" s="10" t="s">
        <v>1636</v>
      </c>
      <c r="G426" s="10" t="s">
        <v>654</v>
      </c>
      <c r="H426" s="10" t="s">
        <v>1509</v>
      </c>
      <c r="I426" s="11" t="s">
        <v>1637</v>
      </c>
      <c r="J426" s="11" t="s">
        <v>1638</v>
      </c>
      <c r="K426" s="12" t="s">
        <v>17</v>
      </c>
      <c r="L426" s="10" t="s">
        <v>455</v>
      </c>
      <c r="M426" s="10" t="s">
        <v>15</v>
      </c>
      <c r="N426" s="2" t="s">
        <v>17</v>
      </c>
      <c r="O426" s="2" t="s">
        <v>17</v>
      </c>
      <c r="P426" s="2" t="s">
        <v>17</v>
      </c>
      <c r="S426" s="13"/>
    </row>
    <row r="427" spans="1:19" x14ac:dyDescent="0.2">
      <c r="A427" s="2">
        <v>424</v>
      </c>
      <c r="B427" s="8">
        <v>350506036</v>
      </c>
      <c r="C427" s="8" t="s">
        <v>1162</v>
      </c>
      <c r="D427" s="8" t="s">
        <v>17</v>
      </c>
      <c r="E427" s="9" t="s">
        <v>1458</v>
      </c>
      <c r="F427" s="10" t="s">
        <v>1639</v>
      </c>
      <c r="G427" s="10" t="s">
        <v>654</v>
      </c>
      <c r="H427" s="10" t="s">
        <v>1509</v>
      </c>
      <c r="I427" s="11" t="s">
        <v>1640</v>
      </c>
      <c r="J427" s="11" t="s">
        <v>1641</v>
      </c>
      <c r="K427" s="12" t="s">
        <v>17</v>
      </c>
      <c r="L427" s="10" t="s">
        <v>455</v>
      </c>
      <c r="M427" s="10" t="s">
        <v>15</v>
      </c>
      <c r="N427" s="2" t="s">
        <v>17</v>
      </c>
      <c r="O427" s="2" t="s">
        <v>17</v>
      </c>
      <c r="P427" s="2" t="s">
        <v>17</v>
      </c>
      <c r="S427" s="13"/>
    </row>
    <row r="428" spans="1:19" x14ac:dyDescent="0.2">
      <c r="A428" s="2">
        <v>425</v>
      </c>
      <c r="B428" s="8">
        <v>350506037</v>
      </c>
      <c r="C428" s="8" t="s">
        <v>1109</v>
      </c>
      <c r="D428" s="8" t="s">
        <v>17</v>
      </c>
      <c r="E428" s="9" t="s">
        <v>1458</v>
      </c>
      <c r="F428" s="10" t="s">
        <v>1109</v>
      </c>
      <c r="G428" s="10" t="s">
        <v>654</v>
      </c>
      <c r="H428" s="10" t="s">
        <v>1509</v>
      </c>
      <c r="I428" s="11" t="s">
        <v>1642</v>
      </c>
      <c r="J428" s="11" t="s">
        <v>1643</v>
      </c>
      <c r="K428" s="12" t="s">
        <v>17</v>
      </c>
      <c r="L428" s="10" t="s">
        <v>455</v>
      </c>
      <c r="M428" s="10" t="s">
        <v>15</v>
      </c>
      <c r="N428" s="2" t="s">
        <v>17</v>
      </c>
      <c r="O428" s="2" t="s">
        <v>17</v>
      </c>
      <c r="P428" s="2" t="s">
        <v>17</v>
      </c>
      <c r="S428" s="13"/>
    </row>
    <row r="429" spans="1:19" x14ac:dyDescent="0.2">
      <c r="A429" s="2">
        <v>426</v>
      </c>
      <c r="B429" s="8">
        <v>350506038</v>
      </c>
      <c r="C429" s="8" t="s">
        <v>816</v>
      </c>
      <c r="D429" s="8" t="s">
        <v>17</v>
      </c>
      <c r="E429" s="9" t="s">
        <v>1458</v>
      </c>
      <c r="F429" s="10" t="s">
        <v>816</v>
      </c>
      <c r="G429" s="10" t="s">
        <v>654</v>
      </c>
      <c r="H429" s="10" t="s">
        <v>1509</v>
      </c>
      <c r="I429" s="11" t="s">
        <v>1644</v>
      </c>
      <c r="J429" s="11" t="s">
        <v>1645</v>
      </c>
      <c r="K429" s="12" t="s">
        <v>17</v>
      </c>
      <c r="L429" s="10" t="s">
        <v>455</v>
      </c>
      <c r="M429" s="10" t="s">
        <v>15</v>
      </c>
      <c r="N429" s="2" t="s">
        <v>17</v>
      </c>
      <c r="O429" s="2" t="s">
        <v>17</v>
      </c>
      <c r="P429" s="2" t="s">
        <v>17</v>
      </c>
      <c r="S429" s="13"/>
    </row>
    <row r="430" spans="1:19" x14ac:dyDescent="0.2">
      <c r="A430" s="2">
        <v>427</v>
      </c>
      <c r="B430" s="8">
        <v>350506039</v>
      </c>
      <c r="C430" s="8" t="s">
        <v>1646</v>
      </c>
      <c r="D430" s="8" t="s">
        <v>17</v>
      </c>
      <c r="E430" s="9" t="s">
        <v>1458</v>
      </c>
      <c r="F430" s="10" t="s">
        <v>1647</v>
      </c>
      <c r="G430" s="10" t="s">
        <v>654</v>
      </c>
      <c r="H430" s="10" t="s">
        <v>1509</v>
      </c>
      <c r="I430" s="11" t="s">
        <v>1648</v>
      </c>
      <c r="J430" s="11" t="s">
        <v>1649</v>
      </c>
      <c r="K430" s="12" t="s">
        <v>17</v>
      </c>
      <c r="L430" s="10" t="s">
        <v>455</v>
      </c>
      <c r="M430" s="10" t="s">
        <v>15</v>
      </c>
      <c r="N430" s="2" t="s">
        <v>17</v>
      </c>
      <c r="O430" s="2" t="s">
        <v>17</v>
      </c>
      <c r="P430" s="2" t="s">
        <v>17</v>
      </c>
      <c r="S430" s="13"/>
    </row>
    <row r="431" spans="1:19" x14ac:dyDescent="0.2">
      <c r="A431" s="2">
        <v>428</v>
      </c>
      <c r="B431" s="8">
        <v>350506040</v>
      </c>
      <c r="C431" s="8" t="s">
        <v>1650</v>
      </c>
      <c r="D431" s="8" t="s">
        <v>17</v>
      </c>
      <c r="E431" s="9" t="s">
        <v>1458</v>
      </c>
      <c r="F431" s="10" t="s">
        <v>1651</v>
      </c>
      <c r="G431" s="10" t="s">
        <v>1630</v>
      </c>
      <c r="H431" s="10" t="s">
        <v>1509</v>
      </c>
      <c r="I431" s="11" t="s">
        <v>1652</v>
      </c>
      <c r="J431" s="11" t="s">
        <v>1653</v>
      </c>
      <c r="K431" s="12" t="s">
        <v>17</v>
      </c>
      <c r="L431" s="10" t="s">
        <v>455</v>
      </c>
      <c r="M431" s="10" t="s">
        <v>15</v>
      </c>
      <c r="N431" s="2" t="s">
        <v>17</v>
      </c>
      <c r="O431" s="2" t="s">
        <v>17</v>
      </c>
      <c r="P431" s="2" t="s">
        <v>17</v>
      </c>
      <c r="S431" s="13"/>
    </row>
    <row r="432" spans="1:19" x14ac:dyDescent="0.2">
      <c r="A432" s="2">
        <v>429</v>
      </c>
      <c r="B432" s="8">
        <v>350506041</v>
      </c>
      <c r="C432" s="8" t="s">
        <v>1654</v>
      </c>
      <c r="D432" s="8" t="s">
        <v>17</v>
      </c>
      <c r="E432" s="9" t="s">
        <v>1458</v>
      </c>
      <c r="F432" s="10" t="s">
        <v>1655</v>
      </c>
      <c r="G432" s="10" t="s">
        <v>1630</v>
      </c>
      <c r="H432" s="10" t="s">
        <v>1509</v>
      </c>
      <c r="I432" s="11" t="s">
        <v>1656</v>
      </c>
      <c r="J432" s="11" t="s">
        <v>1657</v>
      </c>
      <c r="K432" s="12" t="s">
        <v>17</v>
      </c>
      <c r="L432" s="10" t="s">
        <v>455</v>
      </c>
      <c r="M432" s="10" t="s">
        <v>15</v>
      </c>
      <c r="N432" s="2" t="s">
        <v>17</v>
      </c>
      <c r="O432" s="2" t="s">
        <v>17</v>
      </c>
      <c r="P432" s="2" t="s">
        <v>17</v>
      </c>
      <c r="S432" s="13"/>
    </row>
    <row r="433" spans="1:19" x14ac:dyDescent="0.2">
      <c r="A433" s="2">
        <v>430</v>
      </c>
      <c r="B433" s="8">
        <v>350506042</v>
      </c>
      <c r="C433" s="8" t="s">
        <v>1327</v>
      </c>
      <c r="D433" s="8" t="s">
        <v>17</v>
      </c>
      <c r="E433" s="9" t="s">
        <v>1458</v>
      </c>
      <c r="F433" s="10" t="s">
        <v>1658</v>
      </c>
      <c r="G433" s="10" t="s">
        <v>1659</v>
      </c>
      <c r="H433" s="10" t="s">
        <v>1509</v>
      </c>
      <c r="I433" s="11" t="s">
        <v>1660</v>
      </c>
      <c r="J433" s="11" t="s">
        <v>1661</v>
      </c>
      <c r="K433" s="12" t="s">
        <v>17</v>
      </c>
      <c r="L433" s="10" t="s">
        <v>455</v>
      </c>
      <c r="M433" s="10" t="s">
        <v>15</v>
      </c>
      <c r="N433" s="2" t="s">
        <v>17</v>
      </c>
      <c r="O433" s="2" t="s">
        <v>17</v>
      </c>
      <c r="P433" s="2" t="s">
        <v>17</v>
      </c>
      <c r="S433" s="13"/>
    </row>
    <row r="434" spans="1:19" x14ac:dyDescent="0.2">
      <c r="A434" s="2">
        <v>431</v>
      </c>
      <c r="B434" s="8">
        <v>350506043</v>
      </c>
      <c r="C434" s="8" t="s">
        <v>1662</v>
      </c>
      <c r="D434" s="8" t="s">
        <v>17</v>
      </c>
      <c r="E434" s="9" t="s">
        <v>1458</v>
      </c>
      <c r="F434" s="10" t="s">
        <v>1663</v>
      </c>
      <c r="G434" s="10" t="s">
        <v>1662</v>
      </c>
      <c r="H434" s="10" t="s">
        <v>1509</v>
      </c>
      <c r="I434" s="11" t="s">
        <v>1664</v>
      </c>
      <c r="J434" s="11" t="s">
        <v>1665</v>
      </c>
      <c r="K434" s="12" t="s">
        <v>17</v>
      </c>
      <c r="L434" s="10" t="s">
        <v>455</v>
      </c>
      <c r="M434" s="10" t="s">
        <v>15</v>
      </c>
      <c r="N434" s="2" t="s">
        <v>17</v>
      </c>
      <c r="O434" s="2" t="s">
        <v>17</v>
      </c>
      <c r="P434" s="2" t="s">
        <v>17</v>
      </c>
      <c r="S434" s="13"/>
    </row>
    <row r="435" spans="1:19" x14ac:dyDescent="0.2">
      <c r="A435" s="2">
        <v>432</v>
      </c>
      <c r="B435" s="8">
        <v>350506044</v>
      </c>
      <c r="C435" s="8" t="s">
        <v>1666</v>
      </c>
      <c r="D435" s="8" t="s">
        <v>17</v>
      </c>
      <c r="E435" s="9" t="s">
        <v>1458</v>
      </c>
      <c r="F435" s="10" t="s">
        <v>1666</v>
      </c>
      <c r="G435" s="10" t="s">
        <v>1666</v>
      </c>
      <c r="H435" s="10" t="s">
        <v>1509</v>
      </c>
      <c r="I435" s="11" t="s">
        <v>1667</v>
      </c>
      <c r="J435" s="11" t="s">
        <v>1668</v>
      </c>
      <c r="K435" s="12" t="s">
        <v>17</v>
      </c>
      <c r="L435" s="10" t="s">
        <v>455</v>
      </c>
      <c r="M435" s="10" t="s">
        <v>15</v>
      </c>
      <c r="N435" s="2" t="s">
        <v>17</v>
      </c>
      <c r="O435" s="2" t="s">
        <v>17</v>
      </c>
      <c r="P435" s="2" t="s">
        <v>17</v>
      </c>
      <c r="S435" s="13"/>
    </row>
    <row r="436" spans="1:19" x14ac:dyDescent="0.2">
      <c r="A436" s="2">
        <v>433</v>
      </c>
      <c r="B436" s="8">
        <v>350506045</v>
      </c>
      <c r="C436" s="8" t="s">
        <v>1669</v>
      </c>
      <c r="D436" s="8" t="s">
        <v>17</v>
      </c>
      <c r="E436" s="9" t="s">
        <v>1458</v>
      </c>
      <c r="F436" s="10" t="s">
        <v>1670</v>
      </c>
      <c r="G436" s="10" t="s">
        <v>654</v>
      </c>
      <c r="H436" s="10" t="s">
        <v>1509</v>
      </c>
      <c r="I436" s="11" t="s">
        <v>1671</v>
      </c>
      <c r="J436" s="11" t="s">
        <v>1672</v>
      </c>
      <c r="K436" s="12" t="s">
        <v>17</v>
      </c>
      <c r="L436" s="10" t="s">
        <v>455</v>
      </c>
      <c r="M436" s="10" t="s">
        <v>15</v>
      </c>
      <c r="N436" s="2" t="s">
        <v>17</v>
      </c>
      <c r="O436" s="2" t="s">
        <v>17</v>
      </c>
      <c r="P436" s="2" t="s">
        <v>17</v>
      </c>
      <c r="S436" s="13"/>
    </row>
    <row r="437" spans="1:19" x14ac:dyDescent="0.2">
      <c r="A437" s="2">
        <v>434</v>
      </c>
      <c r="B437" s="8">
        <v>350506046</v>
      </c>
      <c r="C437" s="8" t="s">
        <v>1659</v>
      </c>
      <c r="D437" s="8" t="s">
        <v>17</v>
      </c>
      <c r="E437" s="9" t="s">
        <v>1458</v>
      </c>
      <c r="F437" s="10" t="s">
        <v>1673</v>
      </c>
      <c r="G437" s="10" t="s">
        <v>1659</v>
      </c>
      <c r="H437" s="10" t="s">
        <v>1509</v>
      </c>
      <c r="I437" s="11" t="s">
        <v>1674</v>
      </c>
      <c r="J437" s="11" t="s">
        <v>1675</v>
      </c>
      <c r="K437" s="12" t="s">
        <v>17</v>
      </c>
      <c r="L437" s="10" t="s">
        <v>455</v>
      </c>
      <c r="M437" s="10" t="s">
        <v>15</v>
      </c>
      <c r="N437" s="2" t="s">
        <v>17</v>
      </c>
      <c r="O437" s="2" t="s">
        <v>17</v>
      </c>
      <c r="P437" s="2" t="s">
        <v>17</v>
      </c>
      <c r="S437" s="13"/>
    </row>
    <row r="438" spans="1:19" x14ac:dyDescent="0.2">
      <c r="A438" s="2">
        <v>435</v>
      </c>
      <c r="B438" s="8">
        <v>350506047</v>
      </c>
      <c r="C438" s="8" t="s">
        <v>1676</v>
      </c>
      <c r="D438" s="8" t="s">
        <v>17</v>
      </c>
      <c r="E438" s="9" t="s">
        <v>1458</v>
      </c>
      <c r="F438" s="10" t="s">
        <v>1639</v>
      </c>
      <c r="G438" s="10" t="s">
        <v>654</v>
      </c>
      <c r="H438" s="10" t="s">
        <v>1509</v>
      </c>
      <c r="I438" s="11" t="s">
        <v>1677</v>
      </c>
      <c r="J438" s="11" t="s">
        <v>1678</v>
      </c>
      <c r="K438" s="12" t="s">
        <v>17</v>
      </c>
      <c r="L438" s="10" t="s">
        <v>455</v>
      </c>
      <c r="M438" s="10" t="s">
        <v>15</v>
      </c>
      <c r="N438" s="2" t="s">
        <v>17</v>
      </c>
      <c r="O438" s="2" t="s">
        <v>17</v>
      </c>
      <c r="P438" s="2" t="s">
        <v>17</v>
      </c>
      <c r="S438" s="13"/>
    </row>
    <row r="439" spans="1:19" x14ac:dyDescent="0.2">
      <c r="A439" s="2">
        <v>436</v>
      </c>
      <c r="B439" s="8">
        <v>350506048</v>
      </c>
      <c r="C439" s="8" t="s">
        <v>1679</v>
      </c>
      <c r="D439" s="8" t="s">
        <v>17</v>
      </c>
      <c r="E439" s="9" t="s">
        <v>1458</v>
      </c>
      <c r="F439" s="10" t="s">
        <v>1679</v>
      </c>
      <c r="G439" s="10" t="s">
        <v>1680</v>
      </c>
      <c r="H439" s="10" t="s">
        <v>1509</v>
      </c>
      <c r="I439" s="11" t="s">
        <v>1681</v>
      </c>
      <c r="J439" s="11" t="s">
        <v>1682</v>
      </c>
      <c r="K439" s="12" t="s">
        <v>17</v>
      </c>
      <c r="L439" s="10" t="s">
        <v>455</v>
      </c>
      <c r="M439" s="10" t="s">
        <v>15</v>
      </c>
      <c r="N439" s="2" t="s">
        <v>17</v>
      </c>
      <c r="O439" s="2" t="s">
        <v>17</v>
      </c>
      <c r="P439" s="2" t="s">
        <v>17</v>
      </c>
      <c r="S439" s="13"/>
    </row>
    <row r="440" spans="1:19" x14ac:dyDescent="0.2">
      <c r="A440" s="2">
        <v>437</v>
      </c>
      <c r="B440" s="8">
        <v>350506049</v>
      </c>
      <c r="C440" s="8" t="s">
        <v>1683</v>
      </c>
      <c r="D440" s="8" t="s">
        <v>17</v>
      </c>
      <c r="E440" s="9" t="s">
        <v>1458</v>
      </c>
      <c r="F440" s="10" t="s">
        <v>1245</v>
      </c>
      <c r="G440" s="10" t="s">
        <v>1680</v>
      </c>
      <c r="H440" s="10" t="s">
        <v>1509</v>
      </c>
      <c r="I440" s="11" t="s">
        <v>1684</v>
      </c>
      <c r="J440" s="11" t="s">
        <v>1685</v>
      </c>
      <c r="K440" s="12" t="s">
        <v>17</v>
      </c>
      <c r="L440" s="10" t="s">
        <v>455</v>
      </c>
      <c r="M440" s="10" t="s">
        <v>15</v>
      </c>
      <c r="N440" s="2" t="s">
        <v>17</v>
      </c>
      <c r="O440" s="2" t="s">
        <v>17</v>
      </c>
      <c r="P440" s="2" t="s">
        <v>17</v>
      </c>
      <c r="S440" s="13"/>
    </row>
    <row r="441" spans="1:19" x14ac:dyDescent="0.2">
      <c r="A441" s="2">
        <v>438</v>
      </c>
      <c r="B441" s="8">
        <v>350506050</v>
      </c>
      <c r="C441" s="8" t="s">
        <v>1686</v>
      </c>
      <c r="D441" s="8" t="s">
        <v>17</v>
      </c>
      <c r="E441" s="9" t="s">
        <v>1458</v>
      </c>
      <c r="F441" s="10" t="s">
        <v>1663</v>
      </c>
      <c r="G441" s="10" t="s">
        <v>1662</v>
      </c>
      <c r="H441" s="10" t="s">
        <v>1509</v>
      </c>
      <c r="I441" s="11" t="s">
        <v>1687</v>
      </c>
      <c r="J441" s="11" t="s">
        <v>1688</v>
      </c>
      <c r="K441" s="12" t="s">
        <v>17</v>
      </c>
      <c r="L441" s="10" t="s">
        <v>455</v>
      </c>
      <c r="M441" s="10" t="s">
        <v>15</v>
      </c>
      <c r="N441" s="2" t="s">
        <v>17</v>
      </c>
      <c r="O441" s="2" t="s">
        <v>17</v>
      </c>
      <c r="P441" s="2" t="s">
        <v>17</v>
      </c>
      <c r="S441" s="13"/>
    </row>
    <row r="442" spans="1:19" x14ac:dyDescent="0.2">
      <c r="A442" s="2">
        <v>439</v>
      </c>
      <c r="B442" s="8">
        <v>350506051</v>
      </c>
      <c r="C442" s="8" t="s">
        <v>1689</v>
      </c>
      <c r="D442" s="8" t="s">
        <v>17</v>
      </c>
      <c r="E442" s="9" t="s">
        <v>1458</v>
      </c>
      <c r="F442" s="10" t="s">
        <v>1690</v>
      </c>
      <c r="G442" s="10" t="s">
        <v>1680</v>
      </c>
      <c r="H442" s="10" t="s">
        <v>1509</v>
      </c>
      <c r="I442" s="11" t="s">
        <v>1691</v>
      </c>
      <c r="J442" s="11" t="s">
        <v>1692</v>
      </c>
      <c r="K442" s="12" t="s">
        <v>17</v>
      </c>
      <c r="L442" s="10" t="s">
        <v>455</v>
      </c>
      <c r="M442" s="10" t="s">
        <v>15</v>
      </c>
      <c r="N442" s="2" t="s">
        <v>17</v>
      </c>
      <c r="O442" s="2" t="s">
        <v>17</v>
      </c>
      <c r="P442" s="2" t="s">
        <v>17</v>
      </c>
      <c r="S442" s="13"/>
    </row>
    <row r="443" spans="1:19" x14ac:dyDescent="0.2">
      <c r="A443" s="2">
        <v>440</v>
      </c>
      <c r="B443" s="8">
        <v>350506052</v>
      </c>
      <c r="C443" s="8" t="s">
        <v>1693</v>
      </c>
      <c r="D443" s="8" t="s">
        <v>17</v>
      </c>
      <c r="E443" s="9" t="s">
        <v>1458</v>
      </c>
      <c r="F443" s="10" t="s">
        <v>1694</v>
      </c>
      <c r="G443" s="10" t="s">
        <v>1662</v>
      </c>
      <c r="H443" s="10" t="s">
        <v>1509</v>
      </c>
      <c r="I443" s="11" t="s">
        <v>1695</v>
      </c>
      <c r="J443" s="11" t="s">
        <v>1696</v>
      </c>
      <c r="K443" s="12" t="s">
        <v>17</v>
      </c>
      <c r="L443" s="10" t="s">
        <v>455</v>
      </c>
      <c r="M443" s="10" t="s">
        <v>15</v>
      </c>
      <c r="N443" s="2" t="s">
        <v>17</v>
      </c>
      <c r="O443" s="2" t="s">
        <v>17</v>
      </c>
      <c r="P443" s="2" t="s">
        <v>17</v>
      </c>
      <c r="S443" s="13"/>
    </row>
    <row r="444" spans="1:19" x14ac:dyDescent="0.2">
      <c r="A444" s="2">
        <v>441</v>
      </c>
      <c r="B444" s="8">
        <v>350506053</v>
      </c>
      <c r="C444" s="8" t="s">
        <v>1697</v>
      </c>
      <c r="D444" s="8" t="s">
        <v>17</v>
      </c>
      <c r="E444" s="9" t="s">
        <v>1458</v>
      </c>
      <c r="F444" s="10" t="s">
        <v>1554</v>
      </c>
      <c r="G444" s="10" t="s">
        <v>1680</v>
      </c>
      <c r="H444" s="10" t="s">
        <v>1509</v>
      </c>
      <c r="I444" s="11" t="s">
        <v>1698</v>
      </c>
      <c r="J444" s="11" t="s">
        <v>1699</v>
      </c>
      <c r="K444" s="12" t="s">
        <v>17</v>
      </c>
      <c r="L444" s="10" t="s">
        <v>455</v>
      </c>
      <c r="M444" s="10" t="s">
        <v>15</v>
      </c>
      <c r="N444" s="2" t="s">
        <v>17</v>
      </c>
      <c r="O444" s="2" t="s">
        <v>17</v>
      </c>
      <c r="P444" s="2" t="s">
        <v>17</v>
      </c>
      <c r="S444" s="13"/>
    </row>
    <row r="445" spans="1:19" x14ac:dyDescent="0.2">
      <c r="A445" s="2">
        <v>442</v>
      </c>
      <c r="B445" s="8">
        <v>350506054</v>
      </c>
      <c r="C445" s="8" t="s">
        <v>1700</v>
      </c>
      <c r="D445" s="8" t="s">
        <v>17</v>
      </c>
      <c r="E445" s="9" t="s">
        <v>1458</v>
      </c>
      <c r="F445" s="10" t="s">
        <v>1666</v>
      </c>
      <c r="G445" s="10" t="s">
        <v>1666</v>
      </c>
      <c r="H445" s="10" t="s">
        <v>1509</v>
      </c>
      <c r="I445" s="11" t="s">
        <v>1701</v>
      </c>
      <c r="J445" s="11" t="s">
        <v>1702</v>
      </c>
      <c r="K445" s="12" t="s">
        <v>17</v>
      </c>
      <c r="L445" s="10" t="s">
        <v>455</v>
      </c>
      <c r="M445" s="10" t="s">
        <v>15</v>
      </c>
      <c r="N445" s="2" t="s">
        <v>17</v>
      </c>
      <c r="O445" s="2" t="s">
        <v>17</v>
      </c>
      <c r="P445" s="2" t="s">
        <v>17</v>
      </c>
      <c r="S445" s="13"/>
    </row>
    <row r="446" spans="1:19" x14ac:dyDescent="0.2">
      <c r="A446" s="2">
        <v>443</v>
      </c>
      <c r="B446" s="8">
        <v>350517001</v>
      </c>
      <c r="C446" s="8" t="s">
        <v>1425</v>
      </c>
      <c r="D446" s="8" t="s">
        <v>17</v>
      </c>
      <c r="E446" s="9" t="s">
        <v>1458</v>
      </c>
      <c r="F446" s="10" t="s">
        <v>1425</v>
      </c>
      <c r="G446" s="10" t="s">
        <v>1703</v>
      </c>
      <c r="H446" s="10" t="s">
        <v>661</v>
      </c>
      <c r="I446" s="11" t="s">
        <v>1704</v>
      </c>
      <c r="J446" s="11" t="s">
        <v>1705</v>
      </c>
      <c r="K446" s="12" t="s">
        <v>17</v>
      </c>
      <c r="L446" s="10" t="s">
        <v>455</v>
      </c>
      <c r="M446" s="10" t="s">
        <v>15</v>
      </c>
      <c r="N446" s="2" t="s">
        <v>17</v>
      </c>
      <c r="O446" s="2" t="s">
        <v>17</v>
      </c>
      <c r="P446" s="2" t="s">
        <v>17</v>
      </c>
      <c r="S446" s="13"/>
    </row>
    <row r="447" spans="1:19" x14ac:dyDescent="0.2">
      <c r="A447" s="2">
        <v>444</v>
      </c>
      <c r="B447" s="8">
        <v>350517002</v>
      </c>
      <c r="C447" s="8" t="s">
        <v>1706</v>
      </c>
      <c r="D447" s="8" t="s">
        <v>17</v>
      </c>
      <c r="E447" s="9" t="s">
        <v>1458</v>
      </c>
      <c r="F447" s="10" t="s">
        <v>1707</v>
      </c>
      <c r="G447" s="10" t="s">
        <v>1708</v>
      </c>
      <c r="H447" s="10" t="s">
        <v>661</v>
      </c>
      <c r="I447" s="11" t="s">
        <v>1709</v>
      </c>
      <c r="J447" s="11" t="s">
        <v>1710</v>
      </c>
      <c r="K447" s="12" t="s">
        <v>17</v>
      </c>
      <c r="L447" s="10" t="s">
        <v>455</v>
      </c>
      <c r="M447" s="10" t="s">
        <v>15</v>
      </c>
      <c r="N447" s="2" t="s">
        <v>17</v>
      </c>
      <c r="O447" s="2" t="s">
        <v>17</v>
      </c>
      <c r="P447" s="2" t="s">
        <v>17</v>
      </c>
      <c r="S447" s="13"/>
    </row>
    <row r="448" spans="1:19" x14ac:dyDescent="0.2">
      <c r="A448" s="2">
        <v>445</v>
      </c>
      <c r="B448" s="8">
        <v>350517003</v>
      </c>
      <c r="C448" s="8" t="s">
        <v>1711</v>
      </c>
      <c r="D448" s="8" t="s">
        <v>17</v>
      </c>
      <c r="E448" s="9" t="s">
        <v>1458</v>
      </c>
      <c r="F448" s="10" t="s">
        <v>1706</v>
      </c>
      <c r="G448" s="10" t="s">
        <v>1708</v>
      </c>
      <c r="H448" s="10" t="s">
        <v>661</v>
      </c>
      <c r="I448" s="11" t="s">
        <v>1712</v>
      </c>
      <c r="J448" s="11" t="s">
        <v>1713</v>
      </c>
      <c r="K448" s="12" t="s">
        <v>17</v>
      </c>
      <c r="L448" s="10" t="s">
        <v>455</v>
      </c>
      <c r="M448" s="10" t="s">
        <v>15</v>
      </c>
      <c r="N448" s="2" t="s">
        <v>17</v>
      </c>
      <c r="O448" s="2" t="s">
        <v>17</v>
      </c>
      <c r="P448" s="2" t="s">
        <v>17</v>
      </c>
      <c r="S448" s="13"/>
    </row>
    <row r="449" spans="1:19" x14ac:dyDescent="0.2">
      <c r="A449" s="2">
        <v>446</v>
      </c>
      <c r="B449" s="8">
        <v>350517004</v>
      </c>
      <c r="C449" s="8" t="s">
        <v>1714</v>
      </c>
      <c r="D449" s="8" t="s">
        <v>17</v>
      </c>
      <c r="E449" s="9" t="s">
        <v>1458</v>
      </c>
      <c r="F449" s="10" t="s">
        <v>1714</v>
      </c>
      <c r="G449" s="10" t="s">
        <v>1708</v>
      </c>
      <c r="H449" s="10" t="s">
        <v>661</v>
      </c>
      <c r="I449" s="11" t="s">
        <v>1715</v>
      </c>
      <c r="J449" s="11" t="s">
        <v>1716</v>
      </c>
      <c r="K449" s="12" t="s">
        <v>17</v>
      </c>
      <c r="L449" s="10" t="s">
        <v>455</v>
      </c>
      <c r="M449" s="10" t="s">
        <v>15</v>
      </c>
      <c r="N449" s="2" t="s">
        <v>17</v>
      </c>
      <c r="O449" s="2" t="s">
        <v>17</v>
      </c>
      <c r="P449" s="2" t="s">
        <v>17</v>
      </c>
      <c r="S449" s="13"/>
    </row>
    <row r="450" spans="1:19" x14ac:dyDescent="0.2">
      <c r="A450" s="2">
        <v>447</v>
      </c>
      <c r="B450" s="8">
        <v>350517005</v>
      </c>
      <c r="C450" s="8" t="s">
        <v>661</v>
      </c>
      <c r="D450" s="8" t="s">
        <v>17</v>
      </c>
      <c r="E450" s="9" t="s">
        <v>1458</v>
      </c>
      <c r="F450" s="10" t="s">
        <v>1717</v>
      </c>
      <c r="G450" s="10" t="s">
        <v>661</v>
      </c>
      <c r="H450" s="10" t="s">
        <v>661</v>
      </c>
      <c r="I450" s="11" t="s">
        <v>1718</v>
      </c>
      <c r="J450" s="11" t="s">
        <v>1719</v>
      </c>
      <c r="K450" s="12" t="s">
        <v>17</v>
      </c>
      <c r="L450" s="10" t="s">
        <v>455</v>
      </c>
      <c r="M450" s="10" t="s">
        <v>15</v>
      </c>
      <c r="N450" s="2" t="s">
        <v>17</v>
      </c>
      <c r="O450" s="2" t="s">
        <v>17</v>
      </c>
      <c r="P450" s="2" t="s">
        <v>17</v>
      </c>
      <c r="S450" s="13"/>
    </row>
    <row r="451" spans="1:19" x14ac:dyDescent="0.2">
      <c r="A451" s="2">
        <v>448</v>
      </c>
      <c r="B451" s="8">
        <v>350517006</v>
      </c>
      <c r="C451" s="8" t="s">
        <v>1720</v>
      </c>
      <c r="D451" s="8" t="s">
        <v>17</v>
      </c>
      <c r="E451" s="9" t="s">
        <v>1458</v>
      </c>
      <c r="F451" s="10" t="s">
        <v>1721</v>
      </c>
      <c r="G451" s="10" t="s">
        <v>661</v>
      </c>
      <c r="H451" s="10" t="s">
        <v>661</v>
      </c>
      <c r="I451" s="11" t="s">
        <v>1722</v>
      </c>
      <c r="J451" s="11" t="s">
        <v>1723</v>
      </c>
      <c r="K451" s="12" t="s">
        <v>17</v>
      </c>
      <c r="L451" s="10" t="s">
        <v>455</v>
      </c>
      <c r="M451" s="10" t="s">
        <v>15</v>
      </c>
      <c r="N451" s="2" t="s">
        <v>17</v>
      </c>
      <c r="O451" s="2" t="s">
        <v>17</v>
      </c>
      <c r="P451" s="2" t="s">
        <v>17</v>
      </c>
      <c r="S451" s="13"/>
    </row>
    <row r="452" spans="1:19" x14ac:dyDescent="0.2">
      <c r="A452" s="2">
        <v>449</v>
      </c>
      <c r="B452" s="8">
        <v>350517007</v>
      </c>
      <c r="C452" s="8" t="s">
        <v>1724</v>
      </c>
      <c r="D452" s="8" t="s">
        <v>17</v>
      </c>
      <c r="E452" s="9" t="s">
        <v>1458</v>
      </c>
      <c r="F452" s="10" t="s">
        <v>1724</v>
      </c>
      <c r="G452" s="10" t="s">
        <v>1725</v>
      </c>
      <c r="H452" s="10" t="s">
        <v>661</v>
      </c>
      <c r="I452" s="11" t="s">
        <v>1726</v>
      </c>
      <c r="J452" s="11" t="s">
        <v>1727</v>
      </c>
      <c r="K452" s="12" t="s">
        <v>17</v>
      </c>
      <c r="L452" s="10" t="s">
        <v>455</v>
      </c>
      <c r="M452" s="10" t="s">
        <v>15</v>
      </c>
      <c r="N452" s="2" t="s">
        <v>17</v>
      </c>
      <c r="O452" s="2" t="s">
        <v>17</v>
      </c>
      <c r="P452" s="2" t="s">
        <v>17</v>
      </c>
      <c r="S452" s="13"/>
    </row>
    <row r="453" spans="1:19" x14ac:dyDescent="0.2">
      <c r="A453" s="2">
        <v>450</v>
      </c>
      <c r="B453" s="8">
        <v>350517008</v>
      </c>
      <c r="C453" s="8" t="s">
        <v>1728</v>
      </c>
      <c r="D453" s="8" t="s">
        <v>17</v>
      </c>
      <c r="E453" s="9" t="s">
        <v>1458</v>
      </c>
      <c r="F453" s="10" t="s">
        <v>704</v>
      </c>
      <c r="G453" s="10" t="s">
        <v>704</v>
      </c>
      <c r="H453" s="10" t="s">
        <v>661</v>
      </c>
      <c r="I453" s="11" t="s">
        <v>1729</v>
      </c>
      <c r="J453" s="11" t="s">
        <v>1730</v>
      </c>
      <c r="K453" s="12" t="s">
        <v>17</v>
      </c>
      <c r="L453" s="10" t="s">
        <v>455</v>
      </c>
      <c r="M453" s="10" t="s">
        <v>15</v>
      </c>
      <c r="N453" s="2" t="s">
        <v>17</v>
      </c>
      <c r="O453" s="2" t="s">
        <v>17</v>
      </c>
      <c r="P453" s="2" t="s">
        <v>17</v>
      </c>
      <c r="S453" s="13"/>
    </row>
    <row r="454" spans="1:19" x14ac:dyDescent="0.2">
      <c r="A454" s="2">
        <v>451</v>
      </c>
      <c r="B454" s="8">
        <v>350517009</v>
      </c>
      <c r="C454" s="8" t="s">
        <v>1731</v>
      </c>
      <c r="D454" s="8" t="s">
        <v>17</v>
      </c>
      <c r="E454" s="9" t="s">
        <v>1458</v>
      </c>
      <c r="F454" s="10" t="s">
        <v>1731</v>
      </c>
      <c r="G454" s="10" t="s">
        <v>1703</v>
      </c>
      <c r="H454" s="10" t="s">
        <v>661</v>
      </c>
      <c r="I454" s="11" t="s">
        <v>1732</v>
      </c>
      <c r="J454" s="11" t="s">
        <v>1733</v>
      </c>
      <c r="K454" s="12" t="s">
        <v>17</v>
      </c>
      <c r="L454" s="10" t="s">
        <v>455</v>
      </c>
      <c r="M454" s="10" t="s">
        <v>15</v>
      </c>
      <c r="N454" s="2" t="s">
        <v>17</v>
      </c>
      <c r="O454" s="2" t="s">
        <v>17</v>
      </c>
      <c r="P454" s="2" t="s">
        <v>17</v>
      </c>
      <c r="S454" s="13"/>
    </row>
    <row r="455" spans="1:19" x14ac:dyDescent="0.2">
      <c r="A455" s="2">
        <v>452</v>
      </c>
      <c r="B455" s="8">
        <v>350517010</v>
      </c>
      <c r="C455" s="8" t="s">
        <v>1296</v>
      </c>
      <c r="D455" s="8" t="s">
        <v>17</v>
      </c>
      <c r="E455" s="9" t="s">
        <v>1458</v>
      </c>
      <c r="F455" s="10" t="s">
        <v>1296</v>
      </c>
      <c r="G455" s="10" t="s">
        <v>1734</v>
      </c>
      <c r="H455" s="10" t="s">
        <v>661</v>
      </c>
      <c r="I455" s="11" t="s">
        <v>1735</v>
      </c>
      <c r="J455" s="11" t="s">
        <v>1736</v>
      </c>
      <c r="K455" s="12" t="s">
        <v>17</v>
      </c>
      <c r="L455" s="10" t="s">
        <v>455</v>
      </c>
      <c r="M455" s="10" t="s">
        <v>15</v>
      </c>
      <c r="N455" s="2" t="s">
        <v>17</v>
      </c>
      <c r="O455" s="2" t="s">
        <v>17</v>
      </c>
      <c r="P455" s="2" t="s">
        <v>17</v>
      </c>
      <c r="S455" s="13"/>
    </row>
    <row r="456" spans="1:19" x14ac:dyDescent="0.2">
      <c r="A456" s="2">
        <v>453</v>
      </c>
      <c r="B456" s="8">
        <v>350517011</v>
      </c>
      <c r="C456" s="8" t="s">
        <v>1737</v>
      </c>
      <c r="D456" s="8" t="s">
        <v>17</v>
      </c>
      <c r="E456" s="9" t="s">
        <v>1458</v>
      </c>
      <c r="F456" s="10" t="s">
        <v>1737</v>
      </c>
      <c r="G456" s="10" t="s">
        <v>1738</v>
      </c>
      <c r="H456" s="10" t="s">
        <v>661</v>
      </c>
      <c r="I456" s="11" t="s">
        <v>1739</v>
      </c>
      <c r="J456" s="11" t="s">
        <v>1740</v>
      </c>
      <c r="K456" s="12" t="s">
        <v>17</v>
      </c>
      <c r="L456" s="10" t="s">
        <v>455</v>
      </c>
      <c r="M456" s="10" t="s">
        <v>15</v>
      </c>
      <c r="N456" s="2" t="s">
        <v>17</v>
      </c>
      <c r="O456" s="2" t="s">
        <v>17</v>
      </c>
      <c r="P456" s="2" t="s">
        <v>17</v>
      </c>
      <c r="S456" s="13"/>
    </row>
    <row r="457" spans="1:19" x14ac:dyDescent="0.2">
      <c r="A457" s="2">
        <v>454</v>
      </c>
      <c r="B457" s="8">
        <v>350517012</v>
      </c>
      <c r="C457" s="8" t="s">
        <v>1741</v>
      </c>
      <c r="D457" s="8" t="s">
        <v>17</v>
      </c>
      <c r="E457" s="9" t="s">
        <v>1458</v>
      </c>
      <c r="F457" s="10" t="s">
        <v>1741</v>
      </c>
      <c r="G457" s="10" t="s">
        <v>1741</v>
      </c>
      <c r="H457" s="10" t="s">
        <v>661</v>
      </c>
      <c r="I457" s="11" t="s">
        <v>1742</v>
      </c>
      <c r="J457" s="11" t="s">
        <v>1743</v>
      </c>
      <c r="K457" s="12" t="s">
        <v>17</v>
      </c>
      <c r="L457" s="10" t="s">
        <v>455</v>
      </c>
      <c r="M457" s="10" t="s">
        <v>15</v>
      </c>
      <c r="N457" s="2" t="s">
        <v>17</v>
      </c>
      <c r="O457" s="2" t="s">
        <v>17</v>
      </c>
      <c r="P457" s="2" t="s">
        <v>17</v>
      </c>
      <c r="S457" s="13"/>
    </row>
    <row r="458" spans="1:19" x14ac:dyDescent="0.2">
      <c r="A458" s="2">
        <v>455</v>
      </c>
      <c r="B458" s="8">
        <v>350517013</v>
      </c>
      <c r="C458" s="8" t="s">
        <v>1744</v>
      </c>
      <c r="D458" s="8" t="s">
        <v>17</v>
      </c>
      <c r="E458" s="9" t="s">
        <v>1458</v>
      </c>
      <c r="F458" s="10" t="s">
        <v>1745</v>
      </c>
      <c r="G458" s="10" t="s">
        <v>1741</v>
      </c>
      <c r="H458" s="10" t="s">
        <v>661</v>
      </c>
      <c r="I458" s="11" t="s">
        <v>1746</v>
      </c>
      <c r="J458" s="11" t="s">
        <v>1747</v>
      </c>
      <c r="K458" s="12" t="s">
        <v>17</v>
      </c>
      <c r="L458" s="10" t="s">
        <v>455</v>
      </c>
      <c r="M458" s="10" t="s">
        <v>15</v>
      </c>
      <c r="N458" s="2" t="s">
        <v>17</v>
      </c>
      <c r="O458" s="2" t="s">
        <v>17</v>
      </c>
      <c r="P458" s="2" t="s">
        <v>17</v>
      </c>
      <c r="S458" s="13"/>
    </row>
    <row r="459" spans="1:19" x14ac:dyDescent="0.2">
      <c r="A459" s="2">
        <v>456</v>
      </c>
      <c r="B459" s="8">
        <v>350517014</v>
      </c>
      <c r="C459" s="8" t="s">
        <v>1748</v>
      </c>
      <c r="D459" s="8" t="s">
        <v>17</v>
      </c>
      <c r="E459" s="9" t="s">
        <v>1458</v>
      </c>
      <c r="F459" s="10" t="s">
        <v>1749</v>
      </c>
      <c r="G459" s="10" t="s">
        <v>1748</v>
      </c>
      <c r="H459" s="10" t="s">
        <v>661</v>
      </c>
      <c r="I459" s="11" t="s">
        <v>1750</v>
      </c>
      <c r="J459" s="11" t="s">
        <v>1751</v>
      </c>
      <c r="K459" s="12" t="s">
        <v>17</v>
      </c>
      <c r="L459" s="10" t="s">
        <v>455</v>
      </c>
      <c r="M459" s="10" t="s">
        <v>15</v>
      </c>
      <c r="N459" s="2" t="s">
        <v>17</v>
      </c>
      <c r="O459" s="2" t="s">
        <v>17</v>
      </c>
      <c r="P459" s="2" t="s">
        <v>17</v>
      </c>
      <c r="S459" s="13"/>
    </row>
    <row r="460" spans="1:19" x14ac:dyDescent="0.2">
      <c r="A460" s="2">
        <v>457</v>
      </c>
      <c r="B460" s="8">
        <v>350517015</v>
      </c>
      <c r="C460" s="8" t="s">
        <v>1752</v>
      </c>
      <c r="D460" s="8" t="s">
        <v>17</v>
      </c>
      <c r="E460" s="9" t="s">
        <v>1458</v>
      </c>
      <c r="F460" s="10" t="s">
        <v>1753</v>
      </c>
      <c r="G460" s="10" t="s">
        <v>1741</v>
      </c>
      <c r="H460" s="10" t="s">
        <v>661</v>
      </c>
      <c r="I460" s="11" t="s">
        <v>1754</v>
      </c>
      <c r="J460" s="11" t="s">
        <v>1755</v>
      </c>
      <c r="K460" s="12" t="s">
        <v>17</v>
      </c>
      <c r="L460" s="10" t="s">
        <v>455</v>
      </c>
      <c r="M460" s="10" t="s">
        <v>15</v>
      </c>
      <c r="N460" s="2" t="s">
        <v>17</v>
      </c>
      <c r="O460" s="2" t="s">
        <v>17</v>
      </c>
      <c r="P460" s="2" t="s">
        <v>17</v>
      </c>
      <c r="S460" s="13"/>
    </row>
    <row r="461" spans="1:19" x14ac:dyDescent="0.2">
      <c r="A461" s="2">
        <v>458</v>
      </c>
      <c r="B461" s="8">
        <v>350517016</v>
      </c>
      <c r="C461" s="8" t="s">
        <v>1756</v>
      </c>
      <c r="D461" s="8" t="s">
        <v>17</v>
      </c>
      <c r="E461" s="9" t="s">
        <v>1458</v>
      </c>
      <c r="F461" s="10" t="s">
        <v>1177</v>
      </c>
      <c r="G461" s="10" t="s">
        <v>1741</v>
      </c>
      <c r="H461" s="10" t="s">
        <v>661</v>
      </c>
      <c r="I461" s="11" t="s">
        <v>1757</v>
      </c>
      <c r="J461" s="11" t="s">
        <v>1758</v>
      </c>
      <c r="K461" s="12" t="s">
        <v>17</v>
      </c>
      <c r="L461" s="10" t="s">
        <v>455</v>
      </c>
      <c r="M461" s="10" t="s">
        <v>15</v>
      </c>
      <c r="N461" s="2" t="s">
        <v>17</v>
      </c>
      <c r="O461" s="2" t="s">
        <v>17</v>
      </c>
      <c r="P461" s="2" t="s">
        <v>17</v>
      </c>
      <c r="S461" s="13"/>
    </row>
    <row r="462" spans="1:19" x14ac:dyDescent="0.2">
      <c r="A462" s="2">
        <v>459</v>
      </c>
      <c r="B462" s="8">
        <v>350517017</v>
      </c>
      <c r="C462" s="8" t="s">
        <v>1759</v>
      </c>
      <c r="D462" s="8" t="s">
        <v>17</v>
      </c>
      <c r="E462" s="9" t="s">
        <v>1458</v>
      </c>
      <c r="F462" s="10" t="s">
        <v>1760</v>
      </c>
      <c r="G462" s="10" t="s">
        <v>1761</v>
      </c>
      <c r="H462" s="10" t="s">
        <v>661</v>
      </c>
      <c r="I462" s="11" t="s">
        <v>1762</v>
      </c>
      <c r="J462" s="11" t="s">
        <v>1763</v>
      </c>
      <c r="K462" s="12" t="s">
        <v>17</v>
      </c>
      <c r="L462" s="10" t="s">
        <v>455</v>
      </c>
      <c r="M462" s="10" t="s">
        <v>15</v>
      </c>
      <c r="N462" s="2" t="s">
        <v>17</v>
      </c>
      <c r="O462" s="2" t="s">
        <v>17</v>
      </c>
      <c r="P462" s="2" t="s">
        <v>17</v>
      </c>
      <c r="S462" s="13"/>
    </row>
    <row r="463" spans="1:19" x14ac:dyDescent="0.2">
      <c r="A463" s="2">
        <v>460</v>
      </c>
      <c r="B463" s="8">
        <v>350517018</v>
      </c>
      <c r="C463" s="8" t="s">
        <v>262</v>
      </c>
      <c r="D463" s="8" t="s">
        <v>17</v>
      </c>
      <c r="E463" s="9" t="s">
        <v>1458</v>
      </c>
      <c r="F463" s="10" t="s">
        <v>998</v>
      </c>
      <c r="G463" s="10" t="s">
        <v>262</v>
      </c>
      <c r="H463" s="10" t="s">
        <v>661</v>
      </c>
      <c r="I463" s="11" t="s">
        <v>1764</v>
      </c>
      <c r="J463" s="11" t="s">
        <v>1765</v>
      </c>
      <c r="K463" s="12" t="s">
        <v>17</v>
      </c>
      <c r="L463" s="10" t="s">
        <v>455</v>
      </c>
      <c r="M463" s="10" t="s">
        <v>15</v>
      </c>
      <c r="N463" s="2" t="s">
        <v>17</v>
      </c>
      <c r="O463" s="2" t="s">
        <v>17</v>
      </c>
      <c r="P463" s="2" t="s">
        <v>17</v>
      </c>
      <c r="S463" s="13"/>
    </row>
    <row r="464" spans="1:19" x14ac:dyDescent="0.2">
      <c r="A464" s="2">
        <v>461</v>
      </c>
      <c r="B464" s="8">
        <v>350517019</v>
      </c>
      <c r="C464" s="8" t="s">
        <v>1153</v>
      </c>
      <c r="D464" s="8" t="s">
        <v>17</v>
      </c>
      <c r="E464" s="9" t="s">
        <v>1458</v>
      </c>
      <c r="F464" s="10" t="s">
        <v>1153</v>
      </c>
      <c r="G464" s="10" t="s">
        <v>1766</v>
      </c>
      <c r="H464" s="10" t="s">
        <v>661</v>
      </c>
      <c r="I464" s="11" t="s">
        <v>1767</v>
      </c>
      <c r="J464" s="11" t="s">
        <v>1768</v>
      </c>
      <c r="K464" s="12" t="s">
        <v>17</v>
      </c>
      <c r="L464" s="10" t="s">
        <v>455</v>
      </c>
      <c r="M464" s="10" t="s">
        <v>15</v>
      </c>
      <c r="N464" s="2" t="s">
        <v>17</v>
      </c>
      <c r="O464" s="2" t="s">
        <v>17</v>
      </c>
      <c r="P464" s="2" t="s">
        <v>17</v>
      </c>
      <c r="S464" s="13"/>
    </row>
    <row r="465" spans="1:19" x14ac:dyDescent="0.2">
      <c r="A465" s="2">
        <v>462</v>
      </c>
      <c r="B465" s="8">
        <v>350517020</v>
      </c>
      <c r="C465" s="8" t="s">
        <v>1769</v>
      </c>
      <c r="D465" s="8" t="s">
        <v>17</v>
      </c>
      <c r="E465" s="9" t="s">
        <v>1458</v>
      </c>
      <c r="F465" s="10" t="s">
        <v>1769</v>
      </c>
      <c r="G465" s="10" t="s">
        <v>1769</v>
      </c>
      <c r="H465" s="10" t="s">
        <v>661</v>
      </c>
      <c r="I465" s="11" t="s">
        <v>1770</v>
      </c>
      <c r="J465" s="11" t="s">
        <v>1771</v>
      </c>
      <c r="K465" s="12" t="s">
        <v>17</v>
      </c>
      <c r="L465" s="10" t="s">
        <v>455</v>
      </c>
      <c r="M465" s="10" t="s">
        <v>15</v>
      </c>
      <c r="N465" s="2" t="s">
        <v>17</v>
      </c>
      <c r="O465" s="2" t="s">
        <v>17</v>
      </c>
      <c r="P465" s="2" t="s">
        <v>17</v>
      </c>
      <c r="S465" s="13"/>
    </row>
    <row r="466" spans="1:19" x14ac:dyDescent="0.2">
      <c r="A466" s="2">
        <v>463</v>
      </c>
      <c r="B466" s="8">
        <v>350517021</v>
      </c>
      <c r="C466" s="8" t="s">
        <v>1772</v>
      </c>
      <c r="D466" s="8" t="s">
        <v>17</v>
      </c>
      <c r="E466" s="9" t="s">
        <v>1458</v>
      </c>
      <c r="F466" s="10" t="s">
        <v>1773</v>
      </c>
      <c r="G466" s="10" t="s">
        <v>1769</v>
      </c>
      <c r="H466" s="10" t="s">
        <v>661</v>
      </c>
      <c r="I466" s="11" t="s">
        <v>1774</v>
      </c>
      <c r="J466" s="11" t="s">
        <v>1775</v>
      </c>
      <c r="K466" s="12" t="s">
        <v>17</v>
      </c>
      <c r="L466" s="10" t="s">
        <v>455</v>
      </c>
      <c r="M466" s="10" t="s">
        <v>15</v>
      </c>
      <c r="N466" s="2" t="s">
        <v>17</v>
      </c>
      <c r="O466" s="2" t="s">
        <v>17</v>
      </c>
      <c r="P466" s="2" t="s">
        <v>17</v>
      </c>
      <c r="S466" s="13"/>
    </row>
    <row r="467" spans="1:19" x14ac:dyDescent="0.2">
      <c r="A467" s="2">
        <v>464</v>
      </c>
      <c r="B467" s="8">
        <v>350517022</v>
      </c>
      <c r="C467" s="8" t="s">
        <v>1776</v>
      </c>
      <c r="D467" s="8" t="s">
        <v>17</v>
      </c>
      <c r="E467" s="9" t="s">
        <v>1458</v>
      </c>
      <c r="F467" s="10" t="s">
        <v>448</v>
      </c>
      <c r="G467" s="10" t="s">
        <v>1769</v>
      </c>
      <c r="H467" s="10" t="s">
        <v>661</v>
      </c>
      <c r="I467" s="11" t="s">
        <v>1777</v>
      </c>
      <c r="J467" s="11" t="s">
        <v>1778</v>
      </c>
      <c r="K467" s="12" t="s">
        <v>17</v>
      </c>
      <c r="L467" s="10" t="s">
        <v>455</v>
      </c>
      <c r="M467" s="10" t="s">
        <v>15</v>
      </c>
      <c r="N467" s="2" t="s">
        <v>17</v>
      </c>
      <c r="O467" s="2" t="s">
        <v>17</v>
      </c>
      <c r="P467" s="2" t="s">
        <v>17</v>
      </c>
      <c r="S467" s="13"/>
    </row>
    <row r="468" spans="1:19" x14ac:dyDescent="0.2">
      <c r="A468" s="2">
        <v>465</v>
      </c>
      <c r="B468" s="8">
        <v>350517023</v>
      </c>
      <c r="C468" s="8" t="s">
        <v>1289</v>
      </c>
      <c r="D468" s="8" t="s">
        <v>17</v>
      </c>
      <c r="E468" s="9" t="s">
        <v>1458</v>
      </c>
      <c r="F468" s="10" t="s">
        <v>1779</v>
      </c>
      <c r="G468" s="10" t="s">
        <v>1769</v>
      </c>
      <c r="H468" s="10" t="s">
        <v>661</v>
      </c>
      <c r="I468" s="11" t="s">
        <v>1780</v>
      </c>
      <c r="J468" s="11" t="s">
        <v>1781</v>
      </c>
      <c r="K468" s="12" t="s">
        <v>17</v>
      </c>
      <c r="L468" s="10" t="s">
        <v>455</v>
      </c>
      <c r="M468" s="10" t="s">
        <v>15</v>
      </c>
      <c r="N468" s="2" t="s">
        <v>17</v>
      </c>
      <c r="O468" s="2" t="s">
        <v>17</v>
      </c>
      <c r="P468" s="2" t="s">
        <v>17</v>
      </c>
      <c r="S468" s="13"/>
    </row>
    <row r="469" spans="1:19" x14ac:dyDescent="0.2">
      <c r="A469" s="2">
        <v>466</v>
      </c>
      <c r="B469" s="8">
        <v>350517024</v>
      </c>
      <c r="C469" s="8" t="s">
        <v>1782</v>
      </c>
      <c r="D469" s="8" t="s">
        <v>17</v>
      </c>
      <c r="E469" s="9" t="s">
        <v>1458</v>
      </c>
      <c r="F469" s="10" t="s">
        <v>1783</v>
      </c>
      <c r="G469" s="10" t="s">
        <v>262</v>
      </c>
      <c r="H469" s="10" t="s">
        <v>661</v>
      </c>
      <c r="I469" s="11" t="s">
        <v>1784</v>
      </c>
      <c r="J469" s="11" t="s">
        <v>1785</v>
      </c>
      <c r="K469" s="12" t="s">
        <v>17</v>
      </c>
      <c r="L469" s="10" t="s">
        <v>455</v>
      </c>
      <c r="M469" s="10" t="s">
        <v>15</v>
      </c>
      <c r="N469" s="2" t="s">
        <v>17</v>
      </c>
      <c r="O469" s="2" t="s">
        <v>17</v>
      </c>
      <c r="P469" s="2" t="s">
        <v>17</v>
      </c>
      <c r="S469" s="13"/>
    </row>
    <row r="470" spans="1:19" x14ac:dyDescent="0.2">
      <c r="A470" s="2">
        <v>467</v>
      </c>
      <c r="B470" s="8">
        <v>350517025</v>
      </c>
      <c r="C470" s="8" t="s">
        <v>1725</v>
      </c>
      <c r="D470" s="8" t="s">
        <v>17</v>
      </c>
      <c r="E470" s="9" t="s">
        <v>1458</v>
      </c>
      <c r="F470" s="10" t="s">
        <v>1725</v>
      </c>
      <c r="G470" s="10" t="s">
        <v>1725</v>
      </c>
      <c r="H470" s="10" t="s">
        <v>661</v>
      </c>
      <c r="I470" s="11" t="s">
        <v>1786</v>
      </c>
      <c r="J470" s="11" t="s">
        <v>1787</v>
      </c>
      <c r="K470" s="12" t="s">
        <v>17</v>
      </c>
      <c r="L470" s="10" t="s">
        <v>455</v>
      </c>
      <c r="M470" s="10" t="s">
        <v>15</v>
      </c>
      <c r="N470" s="2" t="s">
        <v>17</v>
      </c>
      <c r="O470" s="2" t="s">
        <v>17</v>
      </c>
      <c r="P470" s="2" t="s">
        <v>17</v>
      </c>
      <c r="S470" s="13"/>
    </row>
    <row r="471" spans="1:19" x14ac:dyDescent="0.2">
      <c r="A471" s="2">
        <v>468</v>
      </c>
      <c r="B471" s="8">
        <v>350517026</v>
      </c>
      <c r="C471" s="8" t="s">
        <v>1788</v>
      </c>
      <c r="D471" s="8" t="s">
        <v>17</v>
      </c>
      <c r="E471" s="9" t="s">
        <v>1458</v>
      </c>
      <c r="F471" s="10" t="s">
        <v>1789</v>
      </c>
      <c r="G471" s="10" t="s">
        <v>1789</v>
      </c>
      <c r="H471" s="10" t="s">
        <v>661</v>
      </c>
      <c r="I471" s="11" t="s">
        <v>1790</v>
      </c>
      <c r="J471" s="11" t="s">
        <v>1791</v>
      </c>
      <c r="K471" s="12" t="s">
        <v>17</v>
      </c>
      <c r="L471" s="10" t="s">
        <v>455</v>
      </c>
      <c r="M471" s="10" t="s">
        <v>15</v>
      </c>
      <c r="N471" s="2" t="s">
        <v>17</v>
      </c>
      <c r="O471" s="2" t="s">
        <v>17</v>
      </c>
      <c r="P471" s="2" t="s">
        <v>17</v>
      </c>
      <c r="S471" s="13"/>
    </row>
    <row r="472" spans="1:19" x14ac:dyDescent="0.2">
      <c r="A472" s="2">
        <v>469</v>
      </c>
      <c r="B472" s="8">
        <v>350517027</v>
      </c>
      <c r="C472" s="8" t="s">
        <v>1766</v>
      </c>
      <c r="D472" s="8" t="s">
        <v>17</v>
      </c>
      <c r="E472" s="9" t="s">
        <v>1458</v>
      </c>
      <c r="F472" s="10" t="s">
        <v>1792</v>
      </c>
      <c r="G472" s="10" t="s">
        <v>1766</v>
      </c>
      <c r="H472" s="10" t="s">
        <v>661</v>
      </c>
      <c r="I472" s="11" t="s">
        <v>1793</v>
      </c>
      <c r="J472" s="11" t="s">
        <v>1794</v>
      </c>
      <c r="K472" s="12" t="s">
        <v>17</v>
      </c>
      <c r="L472" s="10" t="s">
        <v>455</v>
      </c>
      <c r="M472" s="10" t="s">
        <v>15</v>
      </c>
      <c r="N472" s="2" t="s">
        <v>17</v>
      </c>
      <c r="O472" s="2" t="s">
        <v>17</v>
      </c>
      <c r="P472" s="2" t="s">
        <v>17</v>
      </c>
      <c r="S472" s="13"/>
    </row>
    <row r="473" spans="1:19" x14ac:dyDescent="0.2">
      <c r="A473" s="2">
        <v>470</v>
      </c>
      <c r="B473" s="8">
        <v>350517028</v>
      </c>
      <c r="C473" s="8" t="s">
        <v>1795</v>
      </c>
      <c r="D473" s="8" t="s">
        <v>17</v>
      </c>
      <c r="E473" s="9" t="s">
        <v>1458</v>
      </c>
      <c r="F473" s="10" t="s">
        <v>1004</v>
      </c>
      <c r="G473" s="10" t="s">
        <v>1004</v>
      </c>
      <c r="H473" s="10" t="s">
        <v>661</v>
      </c>
      <c r="I473" s="11" t="s">
        <v>1796</v>
      </c>
      <c r="J473" s="11" t="s">
        <v>1797</v>
      </c>
      <c r="K473" s="12" t="s">
        <v>17</v>
      </c>
      <c r="L473" s="10" t="s">
        <v>455</v>
      </c>
      <c r="M473" s="10" t="s">
        <v>15</v>
      </c>
      <c r="N473" s="2" t="s">
        <v>17</v>
      </c>
      <c r="O473" s="2" t="s">
        <v>17</v>
      </c>
      <c r="P473" s="2" t="s">
        <v>17</v>
      </c>
      <c r="S473" s="13"/>
    </row>
    <row r="474" spans="1:19" x14ac:dyDescent="0.2">
      <c r="A474" s="2">
        <v>471</v>
      </c>
      <c r="B474" s="8">
        <v>350517029</v>
      </c>
      <c r="C474" s="8" t="s">
        <v>1798</v>
      </c>
      <c r="D474" s="8" t="s">
        <v>17</v>
      </c>
      <c r="E474" s="9" t="s">
        <v>1458</v>
      </c>
      <c r="F474" s="10" t="s">
        <v>1798</v>
      </c>
      <c r="G474" s="10" t="s">
        <v>1798</v>
      </c>
      <c r="H474" s="10" t="s">
        <v>661</v>
      </c>
      <c r="I474" s="11" t="s">
        <v>1799</v>
      </c>
      <c r="J474" s="11" t="s">
        <v>1800</v>
      </c>
      <c r="K474" s="12" t="s">
        <v>17</v>
      </c>
      <c r="L474" s="10" t="s">
        <v>455</v>
      </c>
      <c r="M474" s="10" t="s">
        <v>15</v>
      </c>
      <c r="N474" s="2" t="s">
        <v>17</v>
      </c>
      <c r="O474" s="2" t="s">
        <v>17</v>
      </c>
      <c r="P474" s="2" t="s">
        <v>17</v>
      </c>
      <c r="S474" s="13"/>
    </row>
    <row r="475" spans="1:19" x14ac:dyDescent="0.2">
      <c r="A475" s="2">
        <v>472</v>
      </c>
      <c r="B475" s="8">
        <v>350517030</v>
      </c>
      <c r="C475" s="8" t="s">
        <v>1749</v>
      </c>
      <c r="D475" s="8" t="s">
        <v>17</v>
      </c>
      <c r="E475" s="9" t="s">
        <v>1458</v>
      </c>
      <c r="F475" s="10" t="s">
        <v>1749</v>
      </c>
      <c r="G475" s="10" t="s">
        <v>1761</v>
      </c>
      <c r="H475" s="10" t="s">
        <v>661</v>
      </c>
      <c r="I475" s="11" t="s">
        <v>1801</v>
      </c>
      <c r="J475" s="11" t="s">
        <v>1802</v>
      </c>
      <c r="K475" s="12" t="s">
        <v>17</v>
      </c>
      <c r="L475" s="10" t="s">
        <v>455</v>
      </c>
      <c r="M475" s="10" t="s">
        <v>15</v>
      </c>
      <c r="N475" s="2" t="s">
        <v>17</v>
      </c>
      <c r="O475" s="2" t="s">
        <v>17</v>
      </c>
      <c r="P475" s="2" t="s">
        <v>17</v>
      </c>
      <c r="S475" s="13"/>
    </row>
    <row r="476" spans="1:19" x14ac:dyDescent="0.2">
      <c r="A476" s="2">
        <v>473</v>
      </c>
      <c r="B476" s="8">
        <v>350517031</v>
      </c>
      <c r="C476" s="8" t="s">
        <v>1803</v>
      </c>
      <c r="D476" s="8" t="s">
        <v>17</v>
      </c>
      <c r="E476" s="9" t="s">
        <v>1458</v>
      </c>
      <c r="F476" s="10" t="s">
        <v>1804</v>
      </c>
      <c r="G476" s="10" t="s">
        <v>1805</v>
      </c>
      <c r="H476" s="10" t="s">
        <v>661</v>
      </c>
      <c r="I476" s="11" t="s">
        <v>1806</v>
      </c>
      <c r="J476" s="11" t="s">
        <v>1807</v>
      </c>
      <c r="K476" s="12" t="s">
        <v>17</v>
      </c>
      <c r="L476" s="10" t="s">
        <v>455</v>
      </c>
      <c r="M476" s="10" t="s">
        <v>15</v>
      </c>
      <c r="N476" s="2" t="s">
        <v>17</v>
      </c>
      <c r="O476" s="2" t="s">
        <v>17</v>
      </c>
      <c r="P476" s="2" t="s">
        <v>17</v>
      </c>
      <c r="S476" s="13"/>
    </row>
    <row r="477" spans="1:19" x14ac:dyDescent="0.2">
      <c r="A477" s="2">
        <v>474</v>
      </c>
      <c r="B477" s="8">
        <v>350517032</v>
      </c>
      <c r="C477" s="8" t="s">
        <v>1279</v>
      </c>
      <c r="D477" s="8" t="s">
        <v>17</v>
      </c>
      <c r="E477" s="9" t="s">
        <v>1458</v>
      </c>
      <c r="F477" s="10" t="s">
        <v>1279</v>
      </c>
      <c r="G477" s="10" t="s">
        <v>1279</v>
      </c>
      <c r="H477" s="10" t="s">
        <v>661</v>
      </c>
      <c r="I477" s="11" t="s">
        <v>1808</v>
      </c>
      <c r="J477" s="11" t="s">
        <v>1809</v>
      </c>
      <c r="K477" s="12" t="s">
        <v>17</v>
      </c>
      <c r="L477" s="10" t="s">
        <v>455</v>
      </c>
      <c r="M477" s="10" t="s">
        <v>15</v>
      </c>
      <c r="N477" s="2" t="s">
        <v>17</v>
      </c>
      <c r="O477" s="2" t="s">
        <v>17</v>
      </c>
      <c r="P477" s="2" t="s">
        <v>17</v>
      </c>
      <c r="S477" s="13"/>
    </row>
    <row r="478" spans="1:19" x14ac:dyDescent="0.2">
      <c r="A478" s="2">
        <v>475</v>
      </c>
      <c r="B478" s="8">
        <v>350517033</v>
      </c>
      <c r="C478" s="8" t="s">
        <v>1810</v>
      </c>
      <c r="D478" s="8" t="s">
        <v>17</v>
      </c>
      <c r="E478" s="9" t="s">
        <v>1458</v>
      </c>
      <c r="F478" s="10" t="s">
        <v>1811</v>
      </c>
      <c r="G478" s="10" t="s">
        <v>1805</v>
      </c>
      <c r="H478" s="10" t="s">
        <v>661</v>
      </c>
      <c r="I478" s="11" t="s">
        <v>1812</v>
      </c>
      <c r="J478" s="11" t="s">
        <v>1813</v>
      </c>
      <c r="K478" s="12" t="s">
        <v>17</v>
      </c>
      <c r="L478" s="10" t="s">
        <v>455</v>
      </c>
      <c r="M478" s="10" t="s">
        <v>15</v>
      </c>
      <c r="N478" s="2" t="s">
        <v>17</v>
      </c>
      <c r="O478" s="2" t="s">
        <v>17</v>
      </c>
      <c r="P478" s="2" t="s">
        <v>17</v>
      </c>
      <c r="S478" s="13"/>
    </row>
    <row r="479" spans="1:19" x14ac:dyDescent="0.2">
      <c r="A479" s="2">
        <v>476</v>
      </c>
      <c r="B479" s="8">
        <v>350517034</v>
      </c>
      <c r="C479" s="8" t="s">
        <v>1814</v>
      </c>
      <c r="D479" s="8" t="s">
        <v>17</v>
      </c>
      <c r="E479" s="9" t="s">
        <v>1458</v>
      </c>
      <c r="F479" s="10" t="s">
        <v>1815</v>
      </c>
      <c r="G479" s="10" t="s">
        <v>1725</v>
      </c>
      <c r="H479" s="10" t="s">
        <v>661</v>
      </c>
      <c r="I479" s="11" t="s">
        <v>1816</v>
      </c>
      <c r="J479" s="11" t="s">
        <v>1817</v>
      </c>
      <c r="K479" s="12" t="s">
        <v>17</v>
      </c>
      <c r="L479" s="10" t="s">
        <v>455</v>
      </c>
      <c r="M479" s="10" t="s">
        <v>15</v>
      </c>
      <c r="N479" s="2" t="s">
        <v>17</v>
      </c>
      <c r="O479" s="2" t="s">
        <v>17</v>
      </c>
      <c r="P479" s="2" t="s">
        <v>17</v>
      </c>
      <c r="S479" s="13"/>
    </row>
    <row r="480" spans="1:19" x14ac:dyDescent="0.2">
      <c r="A480" s="2">
        <v>477</v>
      </c>
      <c r="B480" s="8">
        <v>350517035</v>
      </c>
      <c r="C480" s="8" t="s">
        <v>1818</v>
      </c>
      <c r="D480" s="8" t="s">
        <v>17</v>
      </c>
      <c r="E480" s="9" t="s">
        <v>1458</v>
      </c>
      <c r="F480" s="10" t="s">
        <v>1819</v>
      </c>
      <c r="G480" s="10" t="s">
        <v>1725</v>
      </c>
      <c r="H480" s="10" t="s">
        <v>661</v>
      </c>
      <c r="I480" s="11" t="s">
        <v>1820</v>
      </c>
      <c r="J480" s="11" t="s">
        <v>1821</v>
      </c>
      <c r="K480" s="12" t="s">
        <v>17</v>
      </c>
      <c r="L480" s="10" t="s">
        <v>455</v>
      </c>
      <c r="M480" s="10" t="s">
        <v>15</v>
      </c>
      <c r="N480" s="2" t="s">
        <v>17</v>
      </c>
      <c r="O480" s="2" t="s">
        <v>17</v>
      </c>
      <c r="P480" s="2" t="s">
        <v>17</v>
      </c>
      <c r="S480" s="13"/>
    </row>
    <row r="481" spans="1:19" x14ac:dyDescent="0.2">
      <c r="A481" s="2">
        <v>478</v>
      </c>
      <c r="B481" s="8">
        <v>350517036</v>
      </c>
      <c r="C481" s="8" t="s">
        <v>1822</v>
      </c>
      <c r="D481" s="8" t="s">
        <v>17</v>
      </c>
      <c r="E481" s="9" t="s">
        <v>1458</v>
      </c>
      <c r="F481" s="10" t="s">
        <v>1823</v>
      </c>
      <c r="G481" s="10" t="s">
        <v>1805</v>
      </c>
      <c r="H481" s="10" t="s">
        <v>661</v>
      </c>
      <c r="I481" s="11" t="s">
        <v>1824</v>
      </c>
      <c r="J481" s="11" t="s">
        <v>1825</v>
      </c>
      <c r="K481" s="12" t="s">
        <v>17</v>
      </c>
      <c r="L481" s="10" t="s">
        <v>455</v>
      </c>
      <c r="M481" s="10" t="s">
        <v>15</v>
      </c>
      <c r="N481" s="2" t="s">
        <v>17</v>
      </c>
      <c r="O481" s="2" t="s">
        <v>17</v>
      </c>
      <c r="P481" s="2" t="s">
        <v>17</v>
      </c>
      <c r="S481" s="13"/>
    </row>
    <row r="482" spans="1:19" x14ac:dyDescent="0.2">
      <c r="A482" s="2">
        <v>479</v>
      </c>
      <c r="B482" s="8">
        <v>350517037</v>
      </c>
      <c r="C482" s="8" t="s">
        <v>1826</v>
      </c>
      <c r="D482" s="8" t="s">
        <v>17</v>
      </c>
      <c r="E482" s="9" t="s">
        <v>1458</v>
      </c>
      <c r="F482" s="10" t="s">
        <v>1827</v>
      </c>
      <c r="G482" s="10" t="s">
        <v>1279</v>
      </c>
      <c r="H482" s="10" t="s">
        <v>661</v>
      </c>
      <c r="I482" s="11" t="s">
        <v>1828</v>
      </c>
      <c r="J482" s="11" t="s">
        <v>1829</v>
      </c>
      <c r="K482" s="12" t="s">
        <v>17</v>
      </c>
      <c r="L482" s="10" t="s">
        <v>455</v>
      </c>
      <c r="M482" s="10" t="s">
        <v>15</v>
      </c>
      <c r="N482" s="2" t="s">
        <v>17</v>
      </c>
      <c r="O482" s="2" t="s">
        <v>17</v>
      </c>
      <c r="P482" s="2" t="s">
        <v>17</v>
      </c>
      <c r="S482" s="13"/>
    </row>
    <row r="483" spans="1:19" x14ac:dyDescent="0.2">
      <c r="A483" s="2">
        <v>480</v>
      </c>
      <c r="B483" s="8">
        <v>350517038</v>
      </c>
      <c r="C483" s="8" t="s">
        <v>1830</v>
      </c>
      <c r="D483" s="8" t="s">
        <v>17</v>
      </c>
      <c r="E483" s="9" t="s">
        <v>1458</v>
      </c>
      <c r="F483" s="10" t="s">
        <v>1830</v>
      </c>
      <c r="G483" s="10" t="s">
        <v>1279</v>
      </c>
      <c r="H483" s="10" t="s">
        <v>661</v>
      </c>
      <c r="I483" s="11" t="s">
        <v>1831</v>
      </c>
      <c r="J483" s="11" t="s">
        <v>1832</v>
      </c>
      <c r="K483" s="12" t="s">
        <v>17</v>
      </c>
      <c r="L483" s="10" t="s">
        <v>455</v>
      </c>
      <c r="M483" s="10" t="s">
        <v>15</v>
      </c>
      <c r="N483" s="2" t="s">
        <v>17</v>
      </c>
      <c r="O483" s="2" t="s">
        <v>17</v>
      </c>
      <c r="P483" s="2" t="s">
        <v>17</v>
      </c>
      <c r="S483" s="13"/>
    </row>
    <row r="484" spans="1:19" x14ac:dyDescent="0.2">
      <c r="A484" s="2">
        <v>481</v>
      </c>
      <c r="B484" s="8">
        <v>350517039</v>
      </c>
      <c r="C484" s="8" t="s">
        <v>1563</v>
      </c>
      <c r="D484" s="8" t="s">
        <v>17</v>
      </c>
      <c r="E484" s="9" t="s">
        <v>1458</v>
      </c>
      <c r="F484" s="10" t="s">
        <v>1833</v>
      </c>
      <c r="G484" s="10" t="s">
        <v>1798</v>
      </c>
      <c r="H484" s="10" t="s">
        <v>661</v>
      </c>
      <c r="I484" s="11" t="s">
        <v>1834</v>
      </c>
      <c r="J484" s="11" t="s">
        <v>1835</v>
      </c>
      <c r="K484" s="12" t="s">
        <v>17</v>
      </c>
      <c r="L484" s="10" t="s">
        <v>455</v>
      </c>
      <c r="M484" s="10" t="s">
        <v>15</v>
      </c>
      <c r="N484" s="2" t="s">
        <v>17</v>
      </c>
      <c r="O484" s="2" t="s">
        <v>17</v>
      </c>
      <c r="P484" s="2" t="s">
        <v>17</v>
      </c>
      <c r="S484" s="13"/>
    </row>
    <row r="485" spans="1:19" x14ac:dyDescent="0.2">
      <c r="A485" s="2">
        <v>482</v>
      </c>
      <c r="B485" s="8">
        <v>350517041</v>
      </c>
      <c r="C485" s="8" t="s">
        <v>1836</v>
      </c>
      <c r="D485" s="8" t="s">
        <v>17</v>
      </c>
      <c r="E485" s="9" t="s">
        <v>1458</v>
      </c>
      <c r="F485" s="10" t="s">
        <v>1837</v>
      </c>
      <c r="G485" s="10" t="s">
        <v>1838</v>
      </c>
      <c r="H485" s="10" t="s">
        <v>661</v>
      </c>
      <c r="I485" s="11" t="s">
        <v>1839</v>
      </c>
      <c r="J485" s="11" t="s">
        <v>1840</v>
      </c>
      <c r="K485" s="12" t="s">
        <v>17</v>
      </c>
      <c r="L485" s="10" t="s">
        <v>455</v>
      </c>
      <c r="M485" s="10" t="s">
        <v>15</v>
      </c>
      <c r="N485" s="2" t="s">
        <v>17</v>
      </c>
      <c r="O485" s="2" t="s">
        <v>17</v>
      </c>
      <c r="P485" s="2" t="s">
        <v>17</v>
      </c>
      <c r="S485" s="13"/>
    </row>
    <row r="486" spans="1:19" x14ac:dyDescent="0.2">
      <c r="A486" s="2">
        <v>483</v>
      </c>
      <c r="B486" s="8">
        <v>350518001</v>
      </c>
      <c r="C486" s="8" t="s">
        <v>1841</v>
      </c>
      <c r="D486" s="8" t="s">
        <v>17</v>
      </c>
      <c r="E486" s="9" t="s">
        <v>1458</v>
      </c>
      <c r="F486" s="10" t="s">
        <v>1842</v>
      </c>
      <c r="G486" s="10" t="s">
        <v>1054</v>
      </c>
      <c r="H486" s="10" t="s">
        <v>1843</v>
      </c>
      <c r="I486" s="11" t="s">
        <v>1844</v>
      </c>
      <c r="J486" s="11" t="s">
        <v>1845</v>
      </c>
      <c r="K486" s="12" t="s">
        <v>17</v>
      </c>
      <c r="L486" s="10" t="s">
        <v>455</v>
      </c>
      <c r="M486" s="10" t="s">
        <v>15</v>
      </c>
      <c r="N486" s="2" t="s">
        <v>17</v>
      </c>
      <c r="O486" s="2" t="s">
        <v>17</v>
      </c>
      <c r="P486" s="2" t="s">
        <v>17</v>
      </c>
      <c r="S486" s="13"/>
    </row>
    <row r="487" spans="1:19" x14ac:dyDescent="0.2">
      <c r="A487" s="2">
        <v>484</v>
      </c>
      <c r="B487" s="8">
        <v>350518002</v>
      </c>
      <c r="C487" s="8" t="s">
        <v>1846</v>
      </c>
      <c r="D487" s="8" t="s">
        <v>17</v>
      </c>
      <c r="E487" s="9" t="s">
        <v>1458</v>
      </c>
      <c r="F487" s="10" t="s">
        <v>1847</v>
      </c>
      <c r="G487" s="10" t="s">
        <v>1054</v>
      </c>
      <c r="H487" s="10" t="s">
        <v>1843</v>
      </c>
      <c r="I487" s="11" t="s">
        <v>1848</v>
      </c>
      <c r="J487" s="11" t="s">
        <v>1849</v>
      </c>
      <c r="K487" s="12" t="s">
        <v>17</v>
      </c>
      <c r="L487" s="10" t="s">
        <v>455</v>
      </c>
      <c r="M487" s="10" t="s">
        <v>15</v>
      </c>
      <c r="N487" s="2" t="s">
        <v>17</v>
      </c>
      <c r="O487" s="2" t="s">
        <v>17</v>
      </c>
      <c r="P487" s="2" t="s">
        <v>17</v>
      </c>
      <c r="S487" s="13"/>
    </row>
    <row r="488" spans="1:19" x14ac:dyDescent="0.2">
      <c r="A488" s="2">
        <v>485</v>
      </c>
      <c r="B488" s="8">
        <v>350518003</v>
      </c>
      <c r="C488" s="8" t="s">
        <v>1850</v>
      </c>
      <c r="D488" s="8" t="s">
        <v>17</v>
      </c>
      <c r="E488" s="9" t="s">
        <v>1458</v>
      </c>
      <c r="F488" s="10" t="s">
        <v>1851</v>
      </c>
      <c r="G488" s="10" t="s">
        <v>1851</v>
      </c>
      <c r="H488" s="10" t="s">
        <v>1843</v>
      </c>
      <c r="I488" s="11" t="s">
        <v>1852</v>
      </c>
      <c r="J488" s="11" t="s">
        <v>1853</v>
      </c>
      <c r="K488" s="12" t="s">
        <v>17</v>
      </c>
      <c r="L488" s="10" t="s">
        <v>455</v>
      </c>
      <c r="M488" s="10" t="s">
        <v>15</v>
      </c>
      <c r="N488" s="2" t="s">
        <v>17</v>
      </c>
      <c r="O488" s="2" t="s">
        <v>17</v>
      </c>
      <c r="P488" s="2" t="s">
        <v>17</v>
      </c>
      <c r="S488" s="13"/>
    </row>
    <row r="489" spans="1:19" x14ac:dyDescent="0.2">
      <c r="A489" s="2">
        <v>486</v>
      </c>
      <c r="B489" s="8">
        <v>350518004</v>
      </c>
      <c r="C489" s="8" t="s">
        <v>1854</v>
      </c>
      <c r="D489" s="8" t="s">
        <v>17</v>
      </c>
      <c r="E489" s="9" t="s">
        <v>1458</v>
      </c>
      <c r="F489" s="10" t="s">
        <v>1855</v>
      </c>
      <c r="G489" s="10" t="s">
        <v>1054</v>
      </c>
      <c r="H489" s="10" t="s">
        <v>1843</v>
      </c>
      <c r="I489" s="11" t="s">
        <v>1856</v>
      </c>
      <c r="J489" s="11" t="s">
        <v>1857</v>
      </c>
      <c r="K489" s="12" t="s">
        <v>17</v>
      </c>
      <c r="L489" s="10" t="s">
        <v>455</v>
      </c>
      <c r="M489" s="10" t="s">
        <v>15</v>
      </c>
      <c r="N489" s="2" t="s">
        <v>17</v>
      </c>
      <c r="O489" s="2" t="s">
        <v>17</v>
      </c>
      <c r="P489" s="2" t="s">
        <v>17</v>
      </c>
      <c r="S489" s="13"/>
    </row>
    <row r="490" spans="1:19" x14ac:dyDescent="0.2">
      <c r="A490" s="2">
        <v>487</v>
      </c>
      <c r="B490" s="8">
        <v>350518005</v>
      </c>
      <c r="C490" s="8" t="s">
        <v>1858</v>
      </c>
      <c r="D490" s="8" t="s">
        <v>17</v>
      </c>
      <c r="E490" s="9" t="s">
        <v>1458</v>
      </c>
      <c r="F490" s="10" t="s">
        <v>1859</v>
      </c>
      <c r="G490" s="10" t="s">
        <v>498</v>
      </c>
      <c r="H490" s="10" t="s">
        <v>1843</v>
      </c>
      <c r="I490" s="11" t="s">
        <v>1860</v>
      </c>
      <c r="J490" s="11" t="s">
        <v>1861</v>
      </c>
      <c r="K490" s="12" t="s">
        <v>17</v>
      </c>
      <c r="L490" s="10" t="s">
        <v>455</v>
      </c>
      <c r="M490" s="10" t="s">
        <v>15</v>
      </c>
      <c r="N490" s="2" t="s">
        <v>17</v>
      </c>
      <c r="O490" s="2" t="s">
        <v>17</v>
      </c>
      <c r="P490" s="2" t="s">
        <v>17</v>
      </c>
      <c r="S490" s="13"/>
    </row>
    <row r="491" spans="1:19" x14ac:dyDescent="0.2">
      <c r="A491" s="2">
        <v>488</v>
      </c>
      <c r="B491" s="8">
        <v>350518006</v>
      </c>
      <c r="C491" s="8" t="s">
        <v>1862</v>
      </c>
      <c r="D491" s="8" t="s">
        <v>17</v>
      </c>
      <c r="E491" s="9" t="s">
        <v>1458</v>
      </c>
      <c r="F491" s="10" t="s">
        <v>1863</v>
      </c>
      <c r="G491" s="10" t="s">
        <v>498</v>
      </c>
      <c r="H491" s="10" t="s">
        <v>1843</v>
      </c>
      <c r="I491" s="11" t="s">
        <v>1864</v>
      </c>
      <c r="J491" s="11" t="s">
        <v>1865</v>
      </c>
      <c r="K491" s="12" t="s">
        <v>17</v>
      </c>
      <c r="L491" s="10" t="s">
        <v>455</v>
      </c>
      <c r="M491" s="10" t="s">
        <v>15</v>
      </c>
      <c r="N491" s="2" t="s">
        <v>17</v>
      </c>
      <c r="O491" s="2" t="s">
        <v>17</v>
      </c>
      <c r="P491" s="2" t="s">
        <v>17</v>
      </c>
      <c r="S491" s="13"/>
    </row>
    <row r="492" spans="1:19" x14ac:dyDescent="0.2">
      <c r="A492" s="2">
        <v>489</v>
      </c>
      <c r="B492" s="8">
        <v>350518007</v>
      </c>
      <c r="C492" s="8" t="s">
        <v>1866</v>
      </c>
      <c r="D492" s="8" t="s">
        <v>17</v>
      </c>
      <c r="E492" s="9" t="s">
        <v>1458</v>
      </c>
      <c r="F492" s="10" t="s">
        <v>1867</v>
      </c>
      <c r="G492" s="10" t="s">
        <v>68</v>
      </c>
      <c r="H492" s="10" t="s">
        <v>1843</v>
      </c>
      <c r="I492" s="11" t="s">
        <v>1868</v>
      </c>
      <c r="J492" s="11" t="s">
        <v>1869</v>
      </c>
      <c r="K492" s="12" t="s">
        <v>17</v>
      </c>
      <c r="L492" s="10" t="s">
        <v>455</v>
      </c>
      <c r="M492" s="10" t="s">
        <v>15</v>
      </c>
      <c r="N492" s="2" t="s">
        <v>17</v>
      </c>
      <c r="O492" s="2" t="s">
        <v>17</v>
      </c>
      <c r="P492" s="2" t="s">
        <v>17</v>
      </c>
      <c r="S492" s="13"/>
    </row>
    <row r="493" spans="1:19" x14ac:dyDescent="0.2">
      <c r="A493" s="2">
        <v>490</v>
      </c>
      <c r="B493" s="8">
        <v>350518008</v>
      </c>
      <c r="C493" s="8" t="s">
        <v>68</v>
      </c>
      <c r="D493" s="8" t="s">
        <v>17</v>
      </c>
      <c r="E493" s="9" t="s">
        <v>1458</v>
      </c>
      <c r="F493" s="10" t="s">
        <v>1870</v>
      </c>
      <c r="G493" s="10" t="s">
        <v>68</v>
      </c>
      <c r="H493" s="10" t="s">
        <v>1843</v>
      </c>
      <c r="I493" s="11" t="s">
        <v>1871</v>
      </c>
      <c r="J493" s="11" t="s">
        <v>1872</v>
      </c>
      <c r="K493" s="12" t="s">
        <v>17</v>
      </c>
      <c r="L493" s="10" t="s">
        <v>455</v>
      </c>
      <c r="M493" s="10" t="s">
        <v>15</v>
      </c>
      <c r="N493" s="2" t="s">
        <v>17</v>
      </c>
      <c r="O493" s="2" t="s">
        <v>17</v>
      </c>
      <c r="P493" s="2" t="s">
        <v>17</v>
      </c>
      <c r="S493" s="13"/>
    </row>
    <row r="494" spans="1:19" x14ac:dyDescent="0.2">
      <c r="A494" s="2">
        <v>491</v>
      </c>
      <c r="B494" s="8">
        <v>350518009</v>
      </c>
      <c r="C494" s="8" t="s">
        <v>1054</v>
      </c>
      <c r="D494" s="8" t="s">
        <v>17</v>
      </c>
      <c r="E494" s="9" t="s">
        <v>1458</v>
      </c>
      <c r="F494" s="10" t="s">
        <v>1337</v>
      </c>
      <c r="G494" s="10" t="s">
        <v>1054</v>
      </c>
      <c r="H494" s="10" t="s">
        <v>1843</v>
      </c>
      <c r="I494" s="11" t="s">
        <v>1873</v>
      </c>
      <c r="J494" s="11" t="s">
        <v>1874</v>
      </c>
      <c r="K494" s="12" t="s">
        <v>17</v>
      </c>
      <c r="L494" s="10" t="s">
        <v>455</v>
      </c>
      <c r="M494" s="10" t="s">
        <v>15</v>
      </c>
      <c r="N494" s="2" t="s">
        <v>17</v>
      </c>
      <c r="O494" s="2" t="s">
        <v>17</v>
      </c>
      <c r="P494" s="2" t="s">
        <v>17</v>
      </c>
      <c r="S494" s="13"/>
    </row>
    <row r="495" spans="1:19" x14ac:dyDescent="0.2">
      <c r="A495" s="2">
        <v>492</v>
      </c>
      <c r="B495" s="8">
        <v>350518010</v>
      </c>
      <c r="C495" s="8" t="s">
        <v>1843</v>
      </c>
      <c r="D495" s="8" t="s">
        <v>17</v>
      </c>
      <c r="E495" s="9" t="s">
        <v>1458</v>
      </c>
      <c r="F495" s="10" t="s">
        <v>1875</v>
      </c>
      <c r="G495" s="10" t="s">
        <v>1843</v>
      </c>
      <c r="H495" s="10" t="s">
        <v>1843</v>
      </c>
      <c r="I495" s="11" t="s">
        <v>1876</v>
      </c>
      <c r="J495" s="11" t="s">
        <v>1877</v>
      </c>
      <c r="K495" s="12" t="s">
        <v>17</v>
      </c>
      <c r="L495" s="10" t="s">
        <v>455</v>
      </c>
      <c r="M495" s="10" t="s">
        <v>15</v>
      </c>
      <c r="N495" s="2" t="s">
        <v>17</v>
      </c>
      <c r="O495" s="2" t="s">
        <v>17</v>
      </c>
      <c r="P495" s="2" t="s">
        <v>17</v>
      </c>
      <c r="S495" s="13"/>
    </row>
    <row r="496" spans="1:19" x14ac:dyDescent="0.2">
      <c r="A496" s="2">
        <v>493</v>
      </c>
      <c r="B496" s="8">
        <v>350518011</v>
      </c>
      <c r="C496" s="8" t="s">
        <v>1878</v>
      </c>
      <c r="D496" s="8" t="s">
        <v>17</v>
      </c>
      <c r="E496" s="9" t="s">
        <v>1458</v>
      </c>
      <c r="F496" s="10" t="s">
        <v>1879</v>
      </c>
      <c r="G496" s="10" t="s">
        <v>1880</v>
      </c>
      <c r="H496" s="10" t="s">
        <v>1843</v>
      </c>
      <c r="I496" s="11" t="s">
        <v>1881</v>
      </c>
      <c r="J496" s="11" t="s">
        <v>1882</v>
      </c>
      <c r="K496" s="12" t="s">
        <v>17</v>
      </c>
      <c r="L496" s="10" t="s">
        <v>455</v>
      </c>
      <c r="M496" s="10" t="s">
        <v>15</v>
      </c>
      <c r="N496" s="2" t="s">
        <v>17</v>
      </c>
      <c r="O496" s="2" t="s">
        <v>17</v>
      </c>
      <c r="P496" s="2" t="s">
        <v>17</v>
      </c>
      <c r="S496" s="13"/>
    </row>
    <row r="497" spans="1:19" x14ac:dyDescent="0.2">
      <c r="A497" s="2">
        <v>494</v>
      </c>
      <c r="B497" s="8">
        <v>350518012</v>
      </c>
      <c r="C497" s="8" t="s">
        <v>575</v>
      </c>
      <c r="D497" s="8" t="s">
        <v>17</v>
      </c>
      <c r="E497" s="9" t="s">
        <v>1458</v>
      </c>
      <c r="F497" s="10" t="s">
        <v>575</v>
      </c>
      <c r="G497" s="10" t="s">
        <v>1883</v>
      </c>
      <c r="H497" s="10" t="s">
        <v>1843</v>
      </c>
      <c r="I497" s="11" t="s">
        <v>1884</v>
      </c>
      <c r="J497" s="11" t="s">
        <v>1885</v>
      </c>
      <c r="K497" s="12" t="s">
        <v>17</v>
      </c>
      <c r="L497" s="10" t="s">
        <v>455</v>
      </c>
      <c r="M497" s="10" t="s">
        <v>15</v>
      </c>
      <c r="N497" s="2" t="s">
        <v>17</v>
      </c>
      <c r="O497" s="2" t="s">
        <v>17</v>
      </c>
      <c r="P497" s="2" t="s">
        <v>17</v>
      </c>
      <c r="S497" s="13"/>
    </row>
    <row r="498" spans="1:19" x14ac:dyDescent="0.2">
      <c r="A498" s="2">
        <v>495</v>
      </c>
      <c r="B498" s="8">
        <v>350518013</v>
      </c>
      <c r="C498" s="8" t="s">
        <v>1886</v>
      </c>
      <c r="D498" s="8" t="s">
        <v>17</v>
      </c>
      <c r="E498" s="9" t="s">
        <v>1458</v>
      </c>
      <c r="F498" s="10" t="s">
        <v>1887</v>
      </c>
      <c r="G498" s="10" t="s">
        <v>1887</v>
      </c>
      <c r="H498" s="10" t="s">
        <v>1843</v>
      </c>
      <c r="I498" s="11" t="s">
        <v>1888</v>
      </c>
      <c r="J498" s="11" t="s">
        <v>1889</v>
      </c>
      <c r="K498" s="12" t="s">
        <v>17</v>
      </c>
      <c r="L498" s="10" t="s">
        <v>455</v>
      </c>
      <c r="M498" s="10" t="s">
        <v>15</v>
      </c>
      <c r="N498" s="2" t="s">
        <v>17</v>
      </c>
      <c r="O498" s="2" t="s">
        <v>17</v>
      </c>
      <c r="P498" s="2" t="s">
        <v>17</v>
      </c>
      <c r="S498" s="13"/>
    </row>
    <row r="499" spans="1:19" x14ac:dyDescent="0.2">
      <c r="A499" s="2">
        <v>496</v>
      </c>
      <c r="B499" s="8">
        <v>350518014</v>
      </c>
      <c r="C499" s="8" t="s">
        <v>1890</v>
      </c>
      <c r="D499" s="8" t="s">
        <v>17</v>
      </c>
      <c r="E499" s="9" t="s">
        <v>1458</v>
      </c>
      <c r="F499" s="10" t="s">
        <v>1891</v>
      </c>
      <c r="G499" s="10" t="s">
        <v>1892</v>
      </c>
      <c r="H499" s="10" t="s">
        <v>1843</v>
      </c>
      <c r="I499" s="11" t="s">
        <v>1893</v>
      </c>
      <c r="J499" s="11" t="s">
        <v>1894</v>
      </c>
      <c r="K499" s="12" t="s">
        <v>17</v>
      </c>
      <c r="L499" s="10" t="s">
        <v>455</v>
      </c>
      <c r="M499" s="10" t="s">
        <v>15</v>
      </c>
      <c r="N499" s="2" t="s">
        <v>17</v>
      </c>
      <c r="O499" s="2" t="s">
        <v>17</v>
      </c>
      <c r="P499" s="2" t="s">
        <v>17</v>
      </c>
      <c r="S499" s="13"/>
    </row>
    <row r="500" spans="1:19" x14ac:dyDescent="0.2">
      <c r="A500" s="2">
        <v>497</v>
      </c>
      <c r="B500" s="8">
        <v>350518015</v>
      </c>
      <c r="C500" s="8" t="s">
        <v>1892</v>
      </c>
      <c r="D500" s="8" t="s">
        <v>17</v>
      </c>
      <c r="E500" s="9" t="s">
        <v>1458</v>
      </c>
      <c r="F500" s="10" t="s">
        <v>1591</v>
      </c>
      <c r="G500" s="10" t="s">
        <v>1892</v>
      </c>
      <c r="H500" s="10" t="s">
        <v>1843</v>
      </c>
      <c r="I500" s="11" t="s">
        <v>1895</v>
      </c>
      <c r="J500" s="11" t="s">
        <v>1896</v>
      </c>
      <c r="K500" s="12" t="s">
        <v>17</v>
      </c>
      <c r="L500" s="10" t="s">
        <v>455</v>
      </c>
      <c r="M500" s="10" t="s">
        <v>15</v>
      </c>
      <c r="N500" s="2" t="s">
        <v>17</v>
      </c>
      <c r="O500" s="2" t="s">
        <v>17</v>
      </c>
      <c r="P500" s="2" t="s">
        <v>17</v>
      </c>
      <c r="S500" s="13"/>
    </row>
    <row r="501" spans="1:19" x14ac:dyDescent="0.2">
      <c r="A501" s="2">
        <v>498</v>
      </c>
      <c r="B501" s="8">
        <v>350518016</v>
      </c>
      <c r="C501" s="8" t="s">
        <v>1897</v>
      </c>
      <c r="D501" s="8" t="s">
        <v>17</v>
      </c>
      <c r="E501" s="9" t="s">
        <v>1458</v>
      </c>
      <c r="F501" s="10" t="s">
        <v>1898</v>
      </c>
      <c r="G501" s="10" t="s">
        <v>1899</v>
      </c>
      <c r="H501" s="10" t="s">
        <v>1843</v>
      </c>
      <c r="I501" s="11" t="s">
        <v>1900</v>
      </c>
      <c r="J501" s="11" t="s">
        <v>1901</v>
      </c>
      <c r="K501" s="12" t="s">
        <v>17</v>
      </c>
      <c r="L501" s="10" t="s">
        <v>455</v>
      </c>
      <c r="M501" s="10" t="s">
        <v>15</v>
      </c>
      <c r="N501" s="2" t="s">
        <v>17</v>
      </c>
      <c r="O501" s="2" t="s">
        <v>17</v>
      </c>
      <c r="P501" s="2" t="s">
        <v>17</v>
      </c>
      <c r="S501" s="13"/>
    </row>
    <row r="502" spans="1:19" x14ac:dyDescent="0.2">
      <c r="A502" s="2">
        <v>499</v>
      </c>
      <c r="B502" s="8">
        <v>350518017</v>
      </c>
      <c r="C502" s="8" t="s">
        <v>1902</v>
      </c>
      <c r="D502" s="8" t="s">
        <v>17</v>
      </c>
      <c r="E502" s="9" t="s">
        <v>1458</v>
      </c>
      <c r="F502" s="10" t="s">
        <v>1903</v>
      </c>
      <c r="G502" s="10" t="s">
        <v>498</v>
      </c>
      <c r="H502" s="10" t="s">
        <v>1843</v>
      </c>
      <c r="I502" s="11" t="s">
        <v>1904</v>
      </c>
      <c r="J502" s="11" t="s">
        <v>1905</v>
      </c>
      <c r="K502" s="12" t="s">
        <v>17</v>
      </c>
      <c r="L502" s="10" t="s">
        <v>455</v>
      </c>
      <c r="M502" s="10" t="s">
        <v>15</v>
      </c>
      <c r="N502" s="2" t="s">
        <v>17</v>
      </c>
      <c r="O502" s="2" t="s">
        <v>17</v>
      </c>
      <c r="P502" s="2" t="s">
        <v>17</v>
      </c>
      <c r="S502" s="13"/>
    </row>
    <row r="503" spans="1:19" x14ac:dyDescent="0.2">
      <c r="A503" s="2">
        <v>500</v>
      </c>
      <c r="B503" s="8">
        <v>350518018</v>
      </c>
      <c r="C503" s="8" t="s">
        <v>1906</v>
      </c>
      <c r="D503" s="8" t="s">
        <v>17</v>
      </c>
      <c r="E503" s="9" t="s">
        <v>1458</v>
      </c>
      <c r="F503" s="10" t="s">
        <v>1903</v>
      </c>
      <c r="G503" s="10" t="s">
        <v>498</v>
      </c>
      <c r="H503" s="10" t="s">
        <v>1843</v>
      </c>
      <c r="I503" s="11" t="s">
        <v>1907</v>
      </c>
      <c r="J503" s="11" t="s">
        <v>1908</v>
      </c>
      <c r="K503" s="12" t="s">
        <v>17</v>
      </c>
      <c r="L503" s="10" t="s">
        <v>455</v>
      </c>
      <c r="M503" s="10" t="s">
        <v>15</v>
      </c>
      <c r="N503" s="2" t="s">
        <v>17</v>
      </c>
      <c r="O503" s="2" t="s">
        <v>17</v>
      </c>
      <c r="P503" s="2" t="s">
        <v>17</v>
      </c>
      <c r="S503" s="13"/>
    </row>
    <row r="504" spans="1:19" x14ac:dyDescent="0.2">
      <c r="A504" s="2">
        <v>501</v>
      </c>
      <c r="B504" s="8">
        <v>350518019</v>
      </c>
      <c r="C504" s="8" t="s">
        <v>1909</v>
      </c>
      <c r="D504" s="8" t="s">
        <v>17</v>
      </c>
      <c r="E504" s="9" t="s">
        <v>1458</v>
      </c>
      <c r="F504" s="10" t="s">
        <v>597</v>
      </c>
      <c r="G504" s="10" t="s">
        <v>498</v>
      </c>
      <c r="H504" s="10" t="s">
        <v>1843</v>
      </c>
      <c r="I504" s="11" t="s">
        <v>1910</v>
      </c>
      <c r="J504" s="11" t="s">
        <v>1911</v>
      </c>
      <c r="K504" s="12" t="s">
        <v>17</v>
      </c>
      <c r="L504" s="10" t="s">
        <v>455</v>
      </c>
      <c r="M504" s="10" t="s">
        <v>15</v>
      </c>
      <c r="N504" s="2" t="s">
        <v>17</v>
      </c>
      <c r="O504" s="2" t="s">
        <v>17</v>
      </c>
      <c r="P504" s="2" t="s">
        <v>17</v>
      </c>
      <c r="S504" s="13"/>
    </row>
    <row r="505" spans="1:19" x14ac:dyDescent="0.2">
      <c r="A505" s="2">
        <v>502</v>
      </c>
      <c r="B505" s="8">
        <v>350518020</v>
      </c>
      <c r="C505" s="8" t="s">
        <v>1912</v>
      </c>
      <c r="D505" s="8" t="s">
        <v>17</v>
      </c>
      <c r="E505" s="9" t="s">
        <v>1458</v>
      </c>
      <c r="F505" s="10" t="s">
        <v>597</v>
      </c>
      <c r="G505" s="10" t="s">
        <v>498</v>
      </c>
      <c r="H505" s="10" t="s">
        <v>1843</v>
      </c>
      <c r="I505" s="11" t="s">
        <v>1913</v>
      </c>
      <c r="J505" s="11" t="s">
        <v>1914</v>
      </c>
      <c r="K505" s="12" t="s">
        <v>17</v>
      </c>
      <c r="L505" s="10" t="s">
        <v>455</v>
      </c>
      <c r="M505" s="10" t="s">
        <v>15</v>
      </c>
      <c r="N505" s="2" t="s">
        <v>17</v>
      </c>
      <c r="O505" s="2" t="s">
        <v>17</v>
      </c>
      <c r="P505" s="2" t="s">
        <v>17</v>
      </c>
      <c r="S505" s="13"/>
    </row>
    <row r="506" spans="1:19" x14ac:dyDescent="0.2">
      <c r="A506" s="2">
        <v>503</v>
      </c>
      <c r="B506" s="8">
        <v>350518021</v>
      </c>
      <c r="C506" s="8" t="s">
        <v>1915</v>
      </c>
      <c r="D506" s="8" t="s">
        <v>17</v>
      </c>
      <c r="E506" s="9" t="s">
        <v>1458</v>
      </c>
      <c r="F506" s="10" t="s">
        <v>1863</v>
      </c>
      <c r="G506" s="10" t="s">
        <v>498</v>
      </c>
      <c r="H506" s="10" t="s">
        <v>1843</v>
      </c>
      <c r="I506" s="11" t="s">
        <v>1916</v>
      </c>
      <c r="J506" s="11" t="s">
        <v>1917</v>
      </c>
      <c r="K506" s="12" t="s">
        <v>17</v>
      </c>
      <c r="L506" s="10" t="s">
        <v>455</v>
      </c>
      <c r="M506" s="10" t="s">
        <v>15</v>
      </c>
      <c r="N506" s="2" t="s">
        <v>17</v>
      </c>
      <c r="O506" s="2" t="s">
        <v>17</v>
      </c>
      <c r="P506" s="2" t="s">
        <v>17</v>
      </c>
      <c r="S506" s="13"/>
    </row>
    <row r="507" spans="1:19" x14ac:dyDescent="0.2">
      <c r="A507" s="2">
        <v>504</v>
      </c>
      <c r="B507" s="8">
        <v>350518022</v>
      </c>
      <c r="C507" s="8" t="s">
        <v>1918</v>
      </c>
      <c r="D507" s="8" t="s">
        <v>17</v>
      </c>
      <c r="E507" s="9" t="s">
        <v>1458</v>
      </c>
      <c r="F507" s="10" t="s">
        <v>597</v>
      </c>
      <c r="G507" s="10" t="s">
        <v>498</v>
      </c>
      <c r="H507" s="10" t="s">
        <v>1843</v>
      </c>
      <c r="I507" s="11" t="s">
        <v>1919</v>
      </c>
      <c r="J507" s="11" t="s">
        <v>1920</v>
      </c>
      <c r="K507" s="12" t="s">
        <v>17</v>
      </c>
      <c r="L507" s="10" t="s">
        <v>455</v>
      </c>
      <c r="M507" s="10" t="s">
        <v>15</v>
      </c>
      <c r="N507" s="2" t="s">
        <v>17</v>
      </c>
      <c r="O507" s="2" t="s">
        <v>17</v>
      </c>
      <c r="P507" s="2" t="s">
        <v>17</v>
      </c>
      <c r="S507" s="13"/>
    </row>
    <row r="508" spans="1:19" x14ac:dyDescent="0.2">
      <c r="A508" s="2">
        <v>505</v>
      </c>
      <c r="B508" s="8">
        <v>350518023</v>
      </c>
      <c r="C508" s="8" t="s">
        <v>1921</v>
      </c>
      <c r="D508" s="8" t="s">
        <v>17</v>
      </c>
      <c r="E508" s="9" t="s">
        <v>1458</v>
      </c>
      <c r="F508" s="10" t="s">
        <v>498</v>
      </c>
      <c r="G508" s="10" t="s">
        <v>498</v>
      </c>
      <c r="H508" s="10" t="s">
        <v>1843</v>
      </c>
      <c r="I508" s="11" t="s">
        <v>1922</v>
      </c>
      <c r="J508" s="11" t="s">
        <v>1923</v>
      </c>
      <c r="K508" s="12" t="s">
        <v>17</v>
      </c>
      <c r="L508" s="10" t="s">
        <v>455</v>
      </c>
      <c r="M508" s="10" t="s">
        <v>15</v>
      </c>
      <c r="N508" s="2" t="s">
        <v>17</v>
      </c>
      <c r="O508" s="2" t="s">
        <v>17</v>
      </c>
      <c r="P508" s="2" t="s">
        <v>17</v>
      </c>
      <c r="S508" s="13"/>
    </row>
    <row r="509" spans="1:19" x14ac:dyDescent="0.2">
      <c r="A509" s="2">
        <v>506</v>
      </c>
      <c r="B509" s="8">
        <v>350518024</v>
      </c>
      <c r="C509" s="8" t="s">
        <v>1296</v>
      </c>
      <c r="D509" s="8" t="s">
        <v>17</v>
      </c>
      <c r="E509" s="9" t="s">
        <v>1458</v>
      </c>
      <c r="F509" s="10" t="s">
        <v>1924</v>
      </c>
      <c r="G509" s="10" t="s">
        <v>1880</v>
      </c>
      <c r="H509" s="10" t="s">
        <v>1843</v>
      </c>
      <c r="I509" s="11" t="s">
        <v>1925</v>
      </c>
      <c r="J509" s="11" t="s">
        <v>1926</v>
      </c>
      <c r="K509" s="12" t="s">
        <v>17</v>
      </c>
      <c r="L509" s="10" t="s">
        <v>455</v>
      </c>
      <c r="M509" s="10" t="s">
        <v>15</v>
      </c>
      <c r="N509" s="2" t="s">
        <v>17</v>
      </c>
      <c r="O509" s="2" t="s">
        <v>17</v>
      </c>
      <c r="P509" s="2" t="s">
        <v>17</v>
      </c>
      <c r="S509" s="13"/>
    </row>
    <row r="510" spans="1:19" x14ac:dyDescent="0.2">
      <c r="A510" s="2">
        <v>507</v>
      </c>
      <c r="B510" s="8">
        <v>350518025</v>
      </c>
      <c r="C510" s="8" t="s">
        <v>1927</v>
      </c>
      <c r="D510" s="8" t="s">
        <v>17</v>
      </c>
      <c r="E510" s="9" t="s">
        <v>1458</v>
      </c>
      <c r="F510" s="10" t="s">
        <v>1296</v>
      </c>
      <c r="G510" s="10" t="s">
        <v>1928</v>
      </c>
      <c r="H510" s="10" t="s">
        <v>1843</v>
      </c>
      <c r="I510" s="11" t="s">
        <v>1929</v>
      </c>
      <c r="J510" s="11" t="s">
        <v>1930</v>
      </c>
      <c r="K510" s="12" t="s">
        <v>17</v>
      </c>
      <c r="L510" s="10" t="s">
        <v>455</v>
      </c>
      <c r="M510" s="10" t="s">
        <v>15</v>
      </c>
      <c r="N510" s="2" t="s">
        <v>17</v>
      </c>
      <c r="O510" s="2" t="s">
        <v>17</v>
      </c>
      <c r="P510" s="2" t="s">
        <v>17</v>
      </c>
      <c r="S510" s="13"/>
    </row>
    <row r="511" spans="1:19" x14ac:dyDescent="0.2">
      <c r="A511" s="2">
        <v>508</v>
      </c>
      <c r="B511" s="8">
        <v>350518026</v>
      </c>
      <c r="C511" s="8" t="s">
        <v>873</v>
      </c>
      <c r="D511" s="8" t="s">
        <v>17</v>
      </c>
      <c r="E511" s="9" t="s">
        <v>1458</v>
      </c>
      <c r="F511" s="10" t="s">
        <v>1931</v>
      </c>
      <c r="G511" s="10" t="s">
        <v>873</v>
      </c>
      <c r="H511" s="10" t="s">
        <v>1843</v>
      </c>
      <c r="I511" s="11" t="s">
        <v>1932</v>
      </c>
      <c r="J511" s="11" t="s">
        <v>1933</v>
      </c>
      <c r="K511" s="12" t="s">
        <v>17</v>
      </c>
      <c r="L511" s="10" t="s">
        <v>455</v>
      </c>
      <c r="M511" s="10" t="s">
        <v>15</v>
      </c>
      <c r="N511" s="2" t="s">
        <v>17</v>
      </c>
      <c r="O511" s="2" t="s">
        <v>17</v>
      </c>
      <c r="P511" s="2" t="s">
        <v>17</v>
      </c>
      <c r="S511" s="13"/>
    </row>
    <row r="512" spans="1:19" x14ac:dyDescent="0.2">
      <c r="A512" s="2">
        <v>509</v>
      </c>
      <c r="B512" s="8">
        <v>350518027</v>
      </c>
      <c r="C512" s="8" t="s">
        <v>1934</v>
      </c>
      <c r="D512" s="8" t="s">
        <v>17</v>
      </c>
      <c r="E512" s="9" t="s">
        <v>1458</v>
      </c>
      <c r="F512" s="10" t="s">
        <v>1935</v>
      </c>
      <c r="G512" s="10" t="s">
        <v>1928</v>
      </c>
      <c r="H512" s="10" t="s">
        <v>1843</v>
      </c>
      <c r="I512" s="11" t="s">
        <v>1936</v>
      </c>
      <c r="J512" s="11" t="s">
        <v>1937</v>
      </c>
      <c r="K512" s="12" t="s">
        <v>17</v>
      </c>
      <c r="L512" s="10" t="s">
        <v>455</v>
      </c>
      <c r="M512" s="10" t="s">
        <v>15</v>
      </c>
      <c r="N512" s="2" t="s">
        <v>17</v>
      </c>
      <c r="O512" s="2" t="s">
        <v>17</v>
      </c>
      <c r="P512" s="2" t="s">
        <v>17</v>
      </c>
      <c r="S512" s="13"/>
    </row>
    <row r="513" spans="1:19" x14ac:dyDescent="0.2">
      <c r="A513" s="2">
        <v>510</v>
      </c>
      <c r="B513" s="8">
        <v>350518028</v>
      </c>
      <c r="C513" s="8" t="s">
        <v>486</v>
      </c>
      <c r="D513" s="8" t="s">
        <v>17</v>
      </c>
      <c r="E513" s="9" t="s">
        <v>1458</v>
      </c>
      <c r="F513" s="10" t="s">
        <v>1938</v>
      </c>
      <c r="G513" s="10" t="s">
        <v>486</v>
      </c>
      <c r="H513" s="10" t="s">
        <v>1843</v>
      </c>
      <c r="I513" s="11" t="s">
        <v>1939</v>
      </c>
      <c r="J513" s="11" t="s">
        <v>1940</v>
      </c>
      <c r="K513" s="12" t="s">
        <v>17</v>
      </c>
      <c r="L513" s="10" t="s">
        <v>455</v>
      </c>
      <c r="M513" s="10" t="s">
        <v>15</v>
      </c>
      <c r="N513" s="2" t="s">
        <v>17</v>
      </c>
      <c r="O513" s="2" t="s">
        <v>17</v>
      </c>
      <c r="P513" s="2" t="s">
        <v>17</v>
      </c>
      <c r="S513" s="13"/>
    </row>
    <row r="514" spans="1:19" x14ac:dyDescent="0.2">
      <c r="A514" s="2">
        <v>511</v>
      </c>
      <c r="B514" s="8">
        <v>350518029</v>
      </c>
      <c r="C514" s="8" t="s">
        <v>1941</v>
      </c>
      <c r="D514" s="8" t="s">
        <v>17</v>
      </c>
      <c r="E514" s="9" t="s">
        <v>1458</v>
      </c>
      <c r="F514" s="10" t="s">
        <v>1942</v>
      </c>
      <c r="G514" s="10" t="s">
        <v>1943</v>
      </c>
      <c r="H514" s="10" t="s">
        <v>1843</v>
      </c>
      <c r="I514" s="11" t="s">
        <v>1944</v>
      </c>
      <c r="J514" s="11" t="s">
        <v>1945</v>
      </c>
      <c r="K514" s="12" t="s">
        <v>17</v>
      </c>
      <c r="L514" s="10" t="s">
        <v>455</v>
      </c>
      <c r="M514" s="10" t="s">
        <v>15</v>
      </c>
      <c r="N514" s="2" t="s">
        <v>17</v>
      </c>
      <c r="O514" s="2" t="s">
        <v>17</v>
      </c>
      <c r="P514" s="2" t="s">
        <v>17</v>
      </c>
      <c r="S514" s="13"/>
    </row>
    <row r="515" spans="1:19" x14ac:dyDescent="0.2">
      <c r="A515" s="2">
        <v>512</v>
      </c>
      <c r="B515" s="8">
        <v>350518030</v>
      </c>
      <c r="C515" s="8" t="s">
        <v>1946</v>
      </c>
      <c r="D515" s="8" t="s">
        <v>17</v>
      </c>
      <c r="E515" s="9" t="s">
        <v>1458</v>
      </c>
      <c r="F515" s="10" t="s">
        <v>1946</v>
      </c>
      <c r="G515" s="10" t="s">
        <v>498</v>
      </c>
      <c r="H515" s="10" t="s">
        <v>1843</v>
      </c>
      <c r="I515" s="11" t="s">
        <v>1947</v>
      </c>
      <c r="J515" s="11" t="s">
        <v>1948</v>
      </c>
      <c r="K515" s="12" t="s">
        <v>17</v>
      </c>
      <c r="L515" s="10" t="s">
        <v>455</v>
      </c>
      <c r="M515" s="10" t="s">
        <v>15</v>
      </c>
      <c r="N515" s="2" t="s">
        <v>17</v>
      </c>
      <c r="O515" s="2" t="s">
        <v>17</v>
      </c>
      <c r="P515" s="2" t="s">
        <v>17</v>
      </c>
      <c r="S515" s="13"/>
    </row>
    <row r="516" spans="1:19" x14ac:dyDescent="0.2">
      <c r="A516" s="2">
        <v>513</v>
      </c>
      <c r="B516" s="8">
        <v>350518031</v>
      </c>
      <c r="C516" s="8" t="s">
        <v>115</v>
      </c>
      <c r="D516" s="8" t="s">
        <v>17</v>
      </c>
      <c r="E516" s="9" t="s">
        <v>1458</v>
      </c>
      <c r="F516" s="10" t="s">
        <v>1949</v>
      </c>
      <c r="G516" s="10" t="s">
        <v>1950</v>
      </c>
      <c r="H516" s="10" t="s">
        <v>1843</v>
      </c>
      <c r="I516" s="11" t="s">
        <v>1951</v>
      </c>
      <c r="J516" s="11" t="s">
        <v>1952</v>
      </c>
      <c r="K516" s="12" t="s">
        <v>17</v>
      </c>
      <c r="L516" s="10" t="s">
        <v>455</v>
      </c>
      <c r="M516" s="10" t="s">
        <v>15</v>
      </c>
      <c r="N516" s="2" t="s">
        <v>17</v>
      </c>
      <c r="O516" s="2" t="s">
        <v>17</v>
      </c>
      <c r="P516" s="2" t="s">
        <v>17</v>
      </c>
      <c r="S516" s="13"/>
    </row>
    <row r="517" spans="1:19" x14ac:dyDescent="0.2">
      <c r="A517" s="2">
        <v>514</v>
      </c>
      <c r="B517" s="8">
        <v>350518032</v>
      </c>
      <c r="C517" s="8" t="s">
        <v>1953</v>
      </c>
      <c r="D517" s="8" t="s">
        <v>17</v>
      </c>
      <c r="E517" s="9" t="s">
        <v>1458</v>
      </c>
      <c r="F517" s="10" t="s">
        <v>1954</v>
      </c>
      <c r="G517" s="10" t="s">
        <v>1950</v>
      </c>
      <c r="H517" s="10" t="s">
        <v>1843</v>
      </c>
      <c r="I517" s="11" t="s">
        <v>1698</v>
      </c>
      <c r="J517" s="11" t="s">
        <v>1955</v>
      </c>
      <c r="K517" s="12" t="s">
        <v>17</v>
      </c>
      <c r="L517" s="10" t="s">
        <v>455</v>
      </c>
      <c r="M517" s="10" t="s">
        <v>15</v>
      </c>
      <c r="N517" s="2" t="s">
        <v>17</v>
      </c>
      <c r="O517" s="2" t="s">
        <v>17</v>
      </c>
      <c r="P517" s="2" t="s">
        <v>17</v>
      </c>
      <c r="S517" s="13"/>
    </row>
    <row r="518" spans="1:19" x14ac:dyDescent="0.2">
      <c r="A518" s="2">
        <v>515</v>
      </c>
      <c r="B518" s="8">
        <v>350518033</v>
      </c>
      <c r="C518" s="8" t="s">
        <v>1956</v>
      </c>
      <c r="D518" s="8" t="s">
        <v>17</v>
      </c>
      <c r="E518" s="9" t="s">
        <v>1458</v>
      </c>
      <c r="F518" s="10" t="s">
        <v>1957</v>
      </c>
      <c r="G518" s="10" t="s">
        <v>1958</v>
      </c>
      <c r="H518" s="10" t="s">
        <v>1843</v>
      </c>
      <c r="I518" s="11" t="s">
        <v>1959</v>
      </c>
      <c r="J518" s="11" t="s">
        <v>1960</v>
      </c>
      <c r="K518" s="12" t="s">
        <v>17</v>
      </c>
      <c r="L518" s="10" t="s">
        <v>455</v>
      </c>
      <c r="M518" s="10" t="s">
        <v>15</v>
      </c>
      <c r="N518" s="2" t="s">
        <v>17</v>
      </c>
      <c r="O518" s="2" t="s">
        <v>17</v>
      </c>
      <c r="P518" s="2" t="s">
        <v>17</v>
      </c>
      <c r="S518" s="13"/>
    </row>
    <row r="519" spans="1:19" x14ac:dyDescent="0.2">
      <c r="A519" s="2">
        <v>516</v>
      </c>
      <c r="B519" s="8">
        <v>350518034</v>
      </c>
      <c r="C519" s="8" t="s">
        <v>1961</v>
      </c>
      <c r="D519" s="8" t="s">
        <v>17</v>
      </c>
      <c r="E519" s="9" t="s">
        <v>1458</v>
      </c>
      <c r="F519" s="10" t="s">
        <v>396</v>
      </c>
      <c r="G519" s="10" t="s">
        <v>1961</v>
      </c>
      <c r="H519" s="10" t="s">
        <v>1843</v>
      </c>
      <c r="I519" s="11" t="s">
        <v>1962</v>
      </c>
      <c r="J519" s="11" t="s">
        <v>1963</v>
      </c>
      <c r="K519" s="12" t="s">
        <v>17</v>
      </c>
      <c r="L519" s="10" t="s">
        <v>455</v>
      </c>
      <c r="M519" s="10" t="s">
        <v>15</v>
      </c>
      <c r="N519" s="2" t="s">
        <v>17</v>
      </c>
      <c r="O519" s="2" t="s">
        <v>17</v>
      </c>
      <c r="P519" s="2" t="s">
        <v>17</v>
      </c>
      <c r="S519" s="13"/>
    </row>
    <row r="520" spans="1:19" x14ac:dyDescent="0.2">
      <c r="A520" s="2">
        <v>517</v>
      </c>
      <c r="B520" s="8">
        <v>350518035</v>
      </c>
      <c r="C520" s="8" t="s">
        <v>1964</v>
      </c>
      <c r="D520" s="8" t="s">
        <v>17</v>
      </c>
      <c r="E520" s="9" t="s">
        <v>1458</v>
      </c>
      <c r="F520" s="10" t="s">
        <v>1965</v>
      </c>
      <c r="G520" s="10" t="s">
        <v>1887</v>
      </c>
      <c r="H520" s="10" t="s">
        <v>1843</v>
      </c>
      <c r="I520" s="11" t="s">
        <v>1966</v>
      </c>
      <c r="J520" s="11" t="s">
        <v>1967</v>
      </c>
      <c r="K520" s="12" t="s">
        <v>17</v>
      </c>
      <c r="L520" s="10" t="s">
        <v>455</v>
      </c>
      <c r="M520" s="10" t="s">
        <v>15</v>
      </c>
      <c r="N520" s="2" t="s">
        <v>17</v>
      </c>
      <c r="O520" s="2" t="s">
        <v>17</v>
      </c>
      <c r="P520" s="2" t="s">
        <v>17</v>
      </c>
      <c r="S520" s="13"/>
    </row>
    <row r="521" spans="1:19" x14ac:dyDescent="0.2">
      <c r="A521" s="2">
        <v>518</v>
      </c>
      <c r="B521" s="8">
        <v>350518036</v>
      </c>
      <c r="C521" s="8" t="s">
        <v>1924</v>
      </c>
      <c r="D521" s="8" t="s">
        <v>17</v>
      </c>
      <c r="E521" s="9" t="s">
        <v>1458</v>
      </c>
      <c r="F521" s="10" t="s">
        <v>1924</v>
      </c>
      <c r="G521" s="10" t="s">
        <v>1880</v>
      </c>
      <c r="H521" s="10" t="s">
        <v>1843</v>
      </c>
      <c r="I521" s="11" t="s">
        <v>1968</v>
      </c>
      <c r="J521" s="11" t="s">
        <v>1969</v>
      </c>
      <c r="K521" s="12" t="s">
        <v>17</v>
      </c>
      <c r="L521" s="10" t="s">
        <v>455</v>
      </c>
      <c r="M521" s="10" t="s">
        <v>15</v>
      </c>
      <c r="N521" s="2" t="s">
        <v>17</v>
      </c>
      <c r="O521" s="2" t="s">
        <v>17</v>
      </c>
      <c r="P521" s="2" t="s">
        <v>17</v>
      </c>
      <c r="S521" s="13"/>
    </row>
    <row r="522" spans="1:19" x14ac:dyDescent="0.2">
      <c r="A522" s="2">
        <v>519</v>
      </c>
      <c r="B522" s="8">
        <v>350518037</v>
      </c>
      <c r="C522" s="8" t="s">
        <v>1970</v>
      </c>
      <c r="D522" s="8" t="s">
        <v>17</v>
      </c>
      <c r="E522" s="9" t="s">
        <v>1458</v>
      </c>
      <c r="F522" s="10" t="s">
        <v>1971</v>
      </c>
      <c r="G522" s="10" t="s">
        <v>68</v>
      </c>
      <c r="H522" s="10" t="s">
        <v>1843</v>
      </c>
      <c r="I522" s="11" t="s">
        <v>1972</v>
      </c>
      <c r="J522" s="11" t="s">
        <v>1973</v>
      </c>
      <c r="K522" s="12" t="s">
        <v>17</v>
      </c>
      <c r="L522" s="10" t="s">
        <v>455</v>
      </c>
      <c r="M522" s="10" t="s">
        <v>15</v>
      </c>
      <c r="N522" s="2" t="s">
        <v>17</v>
      </c>
      <c r="O522" s="2" t="s">
        <v>17</v>
      </c>
      <c r="P522" s="2" t="s">
        <v>17</v>
      </c>
      <c r="S522" s="13"/>
    </row>
    <row r="523" spans="1:19" x14ac:dyDescent="0.2">
      <c r="A523" s="2">
        <v>520</v>
      </c>
      <c r="B523" s="8">
        <v>350518038</v>
      </c>
      <c r="C523" s="8" t="s">
        <v>1974</v>
      </c>
      <c r="D523" s="8" t="s">
        <v>17</v>
      </c>
      <c r="E523" s="9" t="s">
        <v>1458</v>
      </c>
      <c r="F523" s="10" t="s">
        <v>1975</v>
      </c>
      <c r="G523" s="10" t="s">
        <v>1880</v>
      </c>
      <c r="H523" s="10" t="s">
        <v>1843</v>
      </c>
      <c r="I523" s="11" t="s">
        <v>1976</v>
      </c>
      <c r="J523" s="11" t="s">
        <v>1977</v>
      </c>
      <c r="K523" s="12" t="s">
        <v>17</v>
      </c>
      <c r="L523" s="10" t="s">
        <v>455</v>
      </c>
      <c r="M523" s="10" t="s">
        <v>15</v>
      </c>
      <c r="N523" s="2" t="s">
        <v>17</v>
      </c>
      <c r="O523" s="2" t="s">
        <v>17</v>
      </c>
      <c r="P523" s="2" t="s">
        <v>17</v>
      </c>
      <c r="S523" s="13"/>
    </row>
    <row r="524" spans="1:19" x14ac:dyDescent="0.2">
      <c r="A524" s="2">
        <v>521</v>
      </c>
      <c r="B524" s="8">
        <v>350518039</v>
      </c>
      <c r="C524" s="8" t="s">
        <v>1978</v>
      </c>
      <c r="D524" s="8" t="s">
        <v>17</v>
      </c>
      <c r="E524" s="9" t="s">
        <v>1458</v>
      </c>
      <c r="F524" s="10" t="s">
        <v>1979</v>
      </c>
      <c r="G524" s="10" t="s">
        <v>1928</v>
      </c>
      <c r="H524" s="10" t="s">
        <v>1843</v>
      </c>
      <c r="I524" s="11" t="s">
        <v>1980</v>
      </c>
      <c r="J524" s="11" t="s">
        <v>1981</v>
      </c>
      <c r="K524" s="12" t="s">
        <v>17</v>
      </c>
      <c r="L524" s="10" t="s">
        <v>455</v>
      </c>
      <c r="M524" s="10" t="s">
        <v>15</v>
      </c>
      <c r="N524" s="2" t="s">
        <v>17</v>
      </c>
      <c r="O524" s="2" t="s">
        <v>17</v>
      </c>
      <c r="P524" s="2" t="s">
        <v>17</v>
      </c>
      <c r="S524" s="13"/>
    </row>
    <row r="525" spans="1:19" x14ac:dyDescent="0.2">
      <c r="A525" s="2">
        <v>522</v>
      </c>
      <c r="B525" s="8">
        <v>350518040</v>
      </c>
      <c r="C525" s="8" t="s">
        <v>1982</v>
      </c>
      <c r="D525" s="8" t="s">
        <v>17</v>
      </c>
      <c r="E525" s="9" t="s">
        <v>1458</v>
      </c>
      <c r="F525" s="10" t="s">
        <v>1982</v>
      </c>
      <c r="G525" s="10" t="s">
        <v>1883</v>
      </c>
      <c r="H525" s="10" t="s">
        <v>1843</v>
      </c>
      <c r="I525" s="11" t="s">
        <v>1983</v>
      </c>
      <c r="J525" s="11" t="s">
        <v>1984</v>
      </c>
      <c r="K525" s="12" t="s">
        <v>17</v>
      </c>
      <c r="L525" s="10" t="s">
        <v>455</v>
      </c>
      <c r="M525" s="10" t="s">
        <v>15</v>
      </c>
      <c r="N525" s="2" t="s">
        <v>17</v>
      </c>
      <c r="O525" s="2" t="s">
        <v>17</v>
      </c>
      <c r="P525" s="2" t="s">
        <v>17</v>
      </c>
      <c r="S525" s="13"/>
    </row>
    <row r="526" spans="1:19" x14ac:dyDescent="0.2">
      <c r="A526" s="2">
        <v>523</v>
      </c>
      <c r="B526" s="8">
        <v>350518041</v>
      </c>
      <c r="C526" s="8" t="s">
        <v>1985</v>
      </c>
      <c r="D526" s="8" t="s">
        <v>17</v>
      </c>
      <c r="E526" s="9" t="s">
        <v>1458</v>
      </c>
      <c r="F526" s="10" t="s">
        <v>1986</v>
      </c>
      <c r="G526" s="10" t="s">
        <v>1899</v>
      </c>
      <c r="H526" s="10" t="s">
        <v>1843</v>
      </c>
      <c r="I526" s="11" t="s">
        <v>1987</v>
      </c>
      <c r="J526" s="11" t="s">
        <v>1988</v>
      </c>
      <c r="K526" s="12" t="s">
        <v>17</v>
      </c>
      <c r="L526" s="10" t="s">
        <v>455</v>
      </c>
      <c r="M526" s="10" t="s">
        <v>15</v>
      </c>
      <c r="N526" s="2" t="s">
        <v>17</v>
      </c>
      <c r="O526" s="2" t="s">
        <v>17</v>
      </c>
      <c r="P526" s="2" t="s">
        <v>17</v>
      </c>
      <c r="S526" s="13"/>
    </row>
    <row r="527" spans="1:19" x14ac:dyDescent="0.2">
      <c r="A527" s="2">
        <v>524</v>
      </c>
      <c r="B527" s="8">
        <v>350518042</v>
      </c>
      <c r="C527" s="8" t="s">
        <v>1989</v>
      </c>
      <c r="D527" s="8" t="s">
        <v>17</v>
      </c>
      <c r="E527" s="9" t="s">
        <v>1458</v>
      </c>
      <c r="F527" s="10" t="s">
        <v>1990</v>
      </c>
      <c r="G527" s="10" t="s">
        <v>1961</v>
      </c>
      <c r="H527" s="10" t="s">
        <v>1843</v>
      </c>
      <c r="I527" s="11" t="s">
        <v>1991</v>
      </c>
      <c r="J527" s="11" t="s">
        <v>1992</v>
      </c>
      <c r="K527" s="12" t="s">
        <v>17</v>
      </c>
      <c r="L527" s="10" t="s">
        <v>455</v>
      </c>
      <c r="M527" s="10" t="s">
        <v>15</v>
      </c>
      <c r="N527" s="2" t="s">
        <v>17</v>
      </c>
      <c r="O527" s="2" t="s">
        <v>17</v>
      </c>
      <c r="P527" s="2" t="s">
        <v>17</v>
      </c>
      <c r="S527" s="13"/>
    </row>
    <row r="528" spans="1:19" x14ac:dyDescent="0.2">
      <c r="A528" s="2">
        <v>525</v>
      </c>
      <c r="B528" s="8">
        <v>350518043</v>
      </c>
      <c r="C528" s="8" t="s">
        <v>1993</v>
      </c>
      <c r="D528" s="8" t="s">
        <v>17</v>
      </c>
      <c r="E528" s="9" t="s">
        <v>1458</v>
      </c>
      <c r="F528" s="10" t="s">
        <v>1994</v>
      </c>
      <c r="G528" s="10" t="s">
        <v>1883</v>
      </c>
      <c r="H528" s="10" t="s">
        <v>1843</v>
      </c>
      <c r="I528" s="11" t="s">
        <v>1995</v>
      </c>
      <c r="J528" s="11" t="s">
        <v>1996</v>
      </c>
      <c r="K528" s="12" t="s">
        <v>17</v>
      </c>
      <c r="L528" s="10" t="s">
        <v>455</v>
      </c>
      <c r="M528" s="10" t="s">
        <v>15</v>
      </c>
      <c r="N528" s="2" t="s">
        <v>17</v>
      </c>
      <c r="O528" s="2" t="s">
        <v>17</v>
      </c>
      <c r="P528" s="2" t="s">
        <v>17</v>
      </c>
      <c r="S528" s="13"/>
    </row>
    <row r="529" spans="1:19" x14ac:dyDescent="0.2">
      <c r="A529" s="2">
        <v>526</v>
      </c>
      <c r="B529" s="8">
        <v>350518045</v>
      </c>
      <c r="C529" s="8" t="s">
        <v>1997</v>
      </c>
      <c r="D529" s="8" t="s">
        <v>17</v>
      </c>
      <c r="E529" s="9" t="s">
        <v>1458</v>
      </c>
      <c r="F529" s="10" t="s">
        <v>1997</v>
      </c>
      <c r="G529" s="10" t="s">
        <v>1054</v>
      </c>
      <c r="H529" s="10" t="s">
        <v>1843</v>
      </c>
      <c r="I529" s="11" t="s">
        <v>1998</v>
      </c>
      <c r="J529" s="11" t="s">
        <v>1999</v>
      </c>
      <c r="K529" s="12" t="s">
        <v>17</v>
      </c>
      <c r="L529" s="10" t="s">
        <v>455</v>
      </c>
      <c r="M529" s="10" t="s">
        <v>15</v>
      </c>
      <c r="N529" s="2" t="s">
        <v>17</v>
      </c>
      <c r="O529" s="2" t="s">
        <v>17</v>
      </c>
      <c r="P529" s="2" t="s">
        <v>17</v>
      </c>
      <c r="S529" s="13"/>
    </row>
    <row r="530" spans="1:19" x14ac:dyDescent="0.2">
      <c r="A530" s="2">
        <v>527</v>
      </c>
      <c r="B530" s="8">
        <v>350571001</v>
      </c>
      <c r="C530" s="8" t="s">
        <v>998</v>
      </c>
      <c r="D530" s="8" t="s">
        <v>17</v>
      </c>
      <c r="E530" s="9" t="s">
        <v>1458</v>
      </c>
      <c r="F530" s="10" t="s">
        <v>2000</v>
      </c>
      <c r="G530" s="10" t="s">
        <v>2001</v>
      </c>
      <c r="H530" s="10" t="s">
        <v>2002</v>
      </c>
      <c r="I530" s="11" t="s">
        <v>2003</v>
      </c>
      <c r="J530" s="11" t="s">
        <v>2004</v>
      </c>
      <c r="K530" s="12" t="s">
        <v>17</v>
      </c>
      <c r="L530" s="10" t="s">
        <v>455</v>
      </c>
      <c r="M530" s="10" t="s">
        <v>15</v>
      </c>
      <c r="N530" s="2" t="s">
        <v>17</v>
      </c>
      <c r="O530" s="2" t="s">
        <v>17</v>
      </c>
      <c r="P530" s="2" t="s">
        <v>17</v>
      </c>
      <c r="S530" s="13"/>
    </row>
    <row r="531" spans="1:19" x14ac:dyDescent="0.2">
      <c r="A531" s="2">
        <v>528</v>
      </c>
      <c r="B531" s="8">
        <v>350571002</v>
      </c>
      <c r="C531" s="8" t="s">
        <v>2005</v>
      </c>
      <c r="D531" s="8" t="s">
        <v>17</v>
      </c>
      <c r="E531" s="9" t="s">
        <v>1458</v>
      </c>
      <c r="F531" s="10" t="s">
        <v>2001</v>
      </c>
      <c r="G531" s="10" t="s">
        <v>2001</v>
      </c>
      <c r="H531" s="10" t="s">
        <v>2002</v>
      </c>
      <c r="I531" s="11" t="s">
        <v>2006</v>
      </c>
      <c r="J531" s="11" t="s">
        <v>2007</v>
      </c>
      <c r="K531" s="12" t="s">
        <v>17</v>
      </c>
      <c r="L531" s="10" t="s">
        <v>455</v>
      </c>
      <c r="M531" s="10" t="s">
        <v>15</v>
      </c>
      <c r="N531" s="2" t="s">
        <v>17</v>
      </c>
      <c r="O531" s="2" t="s">
        <v>17</v>
      </c>
      <c r="P531" s="2" t="s">
        <v>17</v>
      </c>
      <c r="S531" s="13"/>
    </row>
    <row r="532" spans="1:19" x14ac:dyDescent="0.2">
      <c r="A532" s="2">
        <v>529</v>
      </c>
      <c r="B532" s="8">
        <v>350571004</v>
      </c>
      <c r="C532" s="8" t="s">
        <v>2008</v>
      </c>
      <c r="D532" s="8" t="s">
        <v>17</v>
      </c>
      <c r="E532" s="9" t="s">
        <v>1458</v>
      </c>
      <c r="F532" s="10" t="s">
        <v>2009</v>
      </c>
      <c r="G532" s="10" t="s">
        <v>2009</v>
      </c>
      <c r="H532" s="10" t="s">
        <v>2002</v>
      </c>
      <c r="I532" s="11" t="s">
        <v>2010</v>
      </c>
      <c r="J532" s="11" t="s">
        <v>2011</v>
      </c>
      <c r="K532" s="12" t="s">
        <v>17</v>
      </c>
      <c r="L532" s="10" t="s">
        <v>455</v>
      </c>
      <c r="M532" s="10" t="s">
        <v>15</v>
      </c>
      <c r="N532" s="2" t="s">
        <v>17</v>
      </c>
      <c r="O532" s="2" t="s">
        <v>17</v>
      </c>
      <c r="P532" s="2" t="s">
        <v>17</v>
      </c>
      <c r="S532" s="13"/>
    </row>
    <row r="533" spans="1:19" x14ac:dyDescent="0.2">
      <c r="A533" s="2">
        <v>530</v>
      </c>
      <c r="B533" s="8">
        <v>350571005</v>
      </c>
      <c r="C533" s="8" t="s">
        <v>2012</v>
      </c>
      <c r="D533" s="8" t="s">
        <v>17</v>
      </c>
      <c r="E533" s="9" t="s">
        <v>1458</v>
      </c>
      <c r="F533" s="10" t="s">
        <v>2012</v>
      </c>
      <c r="G533" s="10" t="s">
        <v>2001</v>
      </c>
      <c r="H533" s="10" t="s">
        <v>2002</v>
      </c>
      <c r="I533" s="11" t="s">
        <v>2013</v>
      </c>
      <c r="J533" s="11" t="s">
        <v>2014</v>
      </c>
      <c r="K533" s="12" t="s">
        <v>17</v>
      </c>
      <c r="L533" s="10" t="s">
        <v>455</v>
      </c>
      <c r="M533" s="10" t="s">
        <v>15</v>
      </c>
      <c r="N533" s="2" t="s">
        <v>17</v>
      </c>
      <c r="O533" s="2" t="s">
        <v>17</v>
      </c>
      <c r="P533" s="2" t="s">
        <v>17</v>
      </c>
      <c r="S533" s="13"/>
    </row>
    <row r="534" spans="1:19" x14ac:dyDescent="0.2">
      <c r="A534" s="2">
        <v>531</v>
      </c>
      <c r="B534" s="8">
        <v>350601001</v>
      </c>
      <c r="C534" s="8" t="s">
        <v>2015</v>
      </c>
      <c r="D534" s="8" t="s">
        <v>17</v>
      </c>
      <c r="E534" s="9" t="s">
        <v>2016</v>
      </c>
      <c r="F534" s="10" t="s">
        <v>2015</v>
      </c>
      <c r="G534" s="10" t="s">
        <v>2015</v>
      </c>
      <c r="H534" s="10" t="s">
        <v>2015</v>
      </c>
      <c r="I534" s="11" t="s">
        <v>2017</v>
      </c>
      <c r="J534" s="11" t="s">
        <v>2018</v>
      </c>
      <c r="K534" s="12" t="s">
        <v>17</v>
      </c>
      <c r="L534" s="10" t="s">
        <v>5</v>
      </c>
      <c r="M534" s="10" t="s">
        <v>15</v>
      </c>
      <c r="N534" s="2" t="s">
        <v>17</v>
      </c>
      <c r="O534" s="2" t="s">
        <v>17</v>
      </c>
      <c r="P534" s="2" t="s">
        <v>17</v>
      </c>
      <c r="S534" s="13"/>
    </row>
    <row r="535" spans="1:19" x14ac:dyDescent="0.2">
      <c r="A535" s="2">
        <v>532</v>
      </c>
      <c r="B535" s="8">
        <v>350601002</v>
      </c>
      <c r="C535" s="8" t="s">
        <v>193</v>
      </c>
      <c r="D535" s="8" t="s">
        <v>17</v>
      </c>
      <c r="E535" s="9" t="s">
        <v>2016</v>
      </c>
      <c r="F535" s="10" t="s">
        <v>193</v>
      </c>
      <c r="G535" s="10" t="s">
        <v>193</v>
      </c>
      <c r="H535" s="10" t="s">
        <v>2015</v>
      </c>
      <c r="I535" s="11" t="s">
        <v>2019</v>
      </c>
      <c r="J535" s="11" t="s">
        <v>2020</v>
      </c>
      <c r="K535" s="12" t="s">
        <v>17</v>
      </c>
      <c r="L535" s="10" t="s">
        <v>5</v>
      </c>
      <c r="M535" s="10" t="s">
        <v>15</v>
      </c>
      <c r="N535" s="2" t="s">
        <v>17</v>
      </c>
      <c r="O535" s="2" t="s">
        <v>17</v>
      </c>
      <c r="P535" s="2" t="s">
        <v>17</v>
      </c>
      <c r="S535" s="13"/>
    </row>
    <row r="536" spans="1:19" x14ac:dyDescent="0.2">
      <c r="A536" s="2">
        <v>533</v>
      </c>
      <c r="B536" s="8">
        <v>350601003</v>
      </c>
      <c r="C536" s="8" t="s">
        <v>2021</v>
      </c>
      <c r="D536" s="8" t="s">
        <v>17</v>
      </c>
      <c r="E536" s="9" t="s">
        <v>2016</v>
      </c>
      <c r="F536" s="10" t="s">
        <v>2021</v>
      </c>
      <c r="G536" s="10" t="s">
        <v>2021</v>
      </c>
      <c r="H536" s="10" t="s">
        <v>2015</v>
      </c>
      <c r="I536" s="11" t="s">
        <v>2022</v>
      </c>
      <c r="J536" s="11" t="s">
        <v>2023</v>
      </c>
      <c r="K536" s="12" t="s">
        <v>17</v>
      </c>
      <c r="L536" s="10" t="s">
        <v>5</v>
      </c>
      <c r="M536" s="10" t="s">
        <v>15</v>
      </c>
      <c r="N536" s="2" t="s">
        <v>17</v>
      </c>
      <c r="O536" s="2" t="s">
        <v>17</v>
      </c>
      <c r="P536" s="2" t="s">
        <v>17</v>
      </c>
      <c r="S536" s="13"/>
    </row>
    <row r="537" spans="1:19" x14ac:dyDescent="0.2">
      <c r="A537" s="2">
        <v>534</v>
      </c>
      <c r="B537" s="8">
        <v>350601004</v>
      </c>
      <c r="C537" s="8" t="s">
        <v>2024</v>
      </c>
      <c r="D537" s="8" t="s">
        <v>17</v>
      </c>
      <c r="E537" s="9" t="s">
        <v>2016</v>
      </c>
      <c r="F537" s="10" t="s">
        <v>2024</v>
      </c>
      <c r="G537" s="10" t="s">
        <v>2021</v>
      </c>
      <c r="H537" s="10" t="s">
        <v>2015</v>
      </c>
      <c r="I537" s="11" t="s">
        <v>2025</v>
      </c>
      <c r="J537" s="11" t="s">
        <v>2026</v>
      </c>
      <c r="K537" s="12" t="s">
        <v>17</v>
      </c>
      <c r="L537" s="10" t="s">
        <v>5</v>
      </c>
      <c r="M537" s="10" t="s">
        <v>15</v>
      </c>
      <c r="N537" s="2" t="s">
        <v>17</v>
      </c>
      <c r="O537" s="2" t="s">
        <v>17</v>
      </c>
      <c r="P537" s="2" t="s">
        <v>17</v>
      </c>
      <c r="S537" s="13"/>
    </row>
    <row r="538" spans="1:19" x14ac:dyDescent="0.2">
      <c r="A538" s="2">
        <v>535</v>
      </c>
      <c r="B538" s="8">
        <v>350601005</v>
      </c>
      <c r="C538" s="8" t="s">
        <v>2027</v>
      </c>
      <c r="D538" s="8" t="s">
        <v>17</v>
      </c>
      <c r="E538" s="9" t="s">
        <v>2016</v>
      </c>
      <c r="F538" s="10" t="s">
        <v>2027</v>
      </c>
      <c r="G538" s="10" t="s">
        <v>2027</v>
      </c>
      <c r="H538" s="10" t="s">
        <v>2015</v>
      </c>
      <c r="I538" s="11" t="s">
        <v>2028</v>
      </c>
      <c r="J538" s="11" t="s">
        <v>2029</v>
      </c>
      <c r="K538" s="12" t="s">
        <v>17</v>
      </c>
      <c r="L538" s="10" t="s">
        <v>5</v>
      </c>
      <c r="M538" s="10" t="s">
        <v>15</v>
      </c>
      <c r="N538" s="2" t="s">
        <v>17</v>
      </c>
      <c r="O538" s="2" t="s">
        <v>17</v>
      </c>
      <c r="P538" s="2" t="s">
        <v>17</v>
      </c>
      <c r="S538" s="13"/>
    </row>
    <row r="539" spans="1:19" x14ac:dyDescent="0.2">
      <c r="A539" s="2">
        <v>536</v>
      </c>
      <c r="B539" s="8">
        <v>350601006</v>
      </c>
      <c r="C539" s="8" t="s">
        <v>2030</v>
      </c>
      <c r="D539" s="8" t="s">
        <v>17</v>
      </c>
      <c r="E539" s="9" t="s">
        <v>2016</v>
      </c>
      <c r="F539" s="10" t="s">
        <v>2030</v>
      </c>
      <c r="G539" s="10" t="s">
        <v>2030</v>
      </c>
      <c r="H539" s="10" t="s">
        <v>2015</v>
      </c>
      <c r="I539" s="11" t="s">
        <v>2031</v>
      </c>
      <c r="J539" s="11" t="s">
        <v>2032</v>
      </c>
      <c r="K539" s="12" t="s">
        <v>17</v>
      </c>
      <c r="L539" s="10" t="s">
        <v>5</v>
      </c>
      <c r="M539" s="10" t="s">
        <v>15</v>
      </c>
      <c r="N539" s="2" t="s">
        <v>17</v>
      </c>
      <c r="O539" s="2" t="s">
        <v>17</v>
      </c>
      <c r="P539" s="2" t="s">
        <v>17</v>
      </c>
      <c r="S539" s="13"/>
    </row>
    <row r="540" spans="1:19" x14ac:dyDescent="0.2">
      <c r="A540" s="2">
        <v>537</v>
      </c>
      <c r="B540" s="8">
        <v>350601007</v>
      </c>
      <c r="C540" s="8" t="s">
        <v>2033</v>
      </c>
      <c r="D540" s="8" t="s">
        <v>17</v>
      </c>
      <c r="E540" s="9" t="s">
        <v>2016</v>
      </c>
      <c r="F540" s="10" t="s">
        <v>2033</v>
      </c>
      <c r="G540" s="10" t="s">
        <v>2033</v>
      </c>
      <c r="H540" s="10" t="s">
        <v>2015</v>
      </c>
      <c r="I540" s="11" t="s">
        <v>2034</v>
      </c>
      <c r="J540" s="11" t="s">
        <v>2035</v>
      </c>
      <c r="K540" s="12" t="s">
        <v>17</v>
      </c>
      <c r="L540" s="10" t="s">
        <v>5</v>
      </c>
      <c r="M540" s="10" t="s">
        <v>15</v>
      </c>
      <c r="N540" s="2" t="s">
        <v>17</v>
      </c>
      <c r="O540" s="2" t="s">
        <v>17</v>
      </c>
      <c r="P540" s="2" t="s">
        <v>17</v>
      </c>
      <c r="S540" s="13"/>
    </row>
    <row r="541" spans="1:19" x14ac:dyDescent="0.2">
      <c r="A541" s="2">
        <v>538</v>
      </c>
      <c r="B541" s="8">
        <v>350601008</v>
      </c>
      <c r="C541" s="8" t="s">
        <v>2036</v>
      </c>
      <c r="D541" s="8" t="s">
        <v>17</v>
      </c>
      <c r="E541" s="9" t="s">
        <v>2016</v>
      </c>
      <c r="F541" s="10" t="s">
        <v>2037</v>
      </c>
      <c r="G541" s="10" t="s">
        <v>2038</v>
      </c>
      <c r="H541" s="10" t="s">
        <v>2015</v>
      </c>
      <c r="I541" s="11" t="s">
        <v>2039</v>
      </c>
      <c r="J541" s="11" t="s">
        <v>2040</v>
      </c>
      <c r="K541" s="12" t="s">
        <v>17</v>
      </c>
      <c r="L541" s="10" t="s">
        <v>5</v>
      </c>
      <c r="M541" s="10" t="s">
        <v>15</v>
      </c>
      <c r="N541" s="2" t="s">
        <v>17</v>
      </c>
      <c r="O541" s="2" t="s">
        <v>17</v>
      </c>
      <c r="P541" s="2" t="s">
        <v>17</v>
      </c>
      <c r="S541" s="13"/>
    </row>
    <row r="542" spans="1:19" x14ac:dyDescent="0.2">
      <c r="A542" s="2">
        <v>539</v>
      </c>
      <c r="B542" s="8">
        <v>350601009</v>
      </c>
      <c r="C542" s="8" t="s">
        <v>2041</v>
      </c>
      <c r="D542" s="8" t="s">
        <v>17</v>
      </c>
      <c r="E542" s="9" t="s">
        <v>2016</v>
      </c>
      <c r="F542" s="10" t="s">
        <v>2041</v>
      </c>
      <c r="G542" s="10" t="s">
        <v>2041</v>
      </c>
      <c r="H542" s="10" t="s">
        <v>2015</v>
      </c>
      <c r="I542" s="11" t="s">
        <v>2042</v>
      </c>
      <c r="J542" s="11" t="s">
        <v>2043</v>
      </c>
      <c r="K542" s="12" t="s">
        <v>17</v>
      </c>
      <c r="L542" s="10" t="s">
        <v>5</v>
      </c>
      <c r="M542" s="10" t="s">
        <v>15</v>
      </c>
      <c r="N542" s="2" t="s">
        <v>17</v>
      </c>
      <c r="O542" s="2" t="s">
        <v>17</v>
      </c>
      <c r="P542" s="2" t="s">
        <v>17</v>
      </c>
      <c r="S542" s="13"/>
    </row>
    <row r="543" spans="1:19" x14ac:dyDescent="0.2">
      <c r="A543" s="2">
        <v>540</v>
      </c>
      <c r="B543" s="8">
        <v>350601010</v>
      </c>
      <c r="C543" s="8" t="s">
        <v>2044</v>
      </c>
      <c r="D543" s="8" t="s">
        <v>17</v>
      </c>
      <c r="E543" s="9" t="s">
        <v>2016</v>
      </c>
      <c r="F543" s="10" t="s">
        <v>2044</v>
      </c>
      <c r="G543" s="10" t="s">
        <v>2044</v>
      </c>
      <c r="H543" s="10" t="s">
        <v>2015</v>
      </c>
      <c r="I543" s="11" t="s">
        <v>2045</v>
      </c>
      <c r="J543" s="11" t="s">
        <v>2046</v>
      </c>
      <c r="K543" s="12" t="s">
        <v>17</v>
      </c>
      <c r="L543" s="10" t="s">
        <v>5</v>
      </c>
      <c r="M543" s="10" t="s">
        <v>15</v>
      </c>
      <c r="N543" s="2" t="s">
        <v>17</v>
      </c>
      <c r="O543" s="2" t="s">
        <v>17</v>
      </c>
      <c r="P543" s="2" t="s">
        <v>17</v>
      </c>
      <c r="S543" s="13"/>
    </row>
    <row r="544" spans="1:19" x14ac:dyDescent="0.2">
      <c r="A544" s="2">
        <v>541</v>
      </c>
      <c r="B544" s="8">
        <v>350601011</v>
      </c>
      <c r="C544" s="8" t="s">
        <v>2047</v>
      </c>
      <c r="D544" s="8" t="s">
        <v>17</v>
      </c>
      <c r="E544" s="9" t="s">
        <v>2016</v>
      </c>
      <c r="F544" s="10" t="s">
        <v>2047</v>
      </c>
      <c r="G544" s="10" t="s">
        <v>2047</v>
      </c>
      <c r="H544" s="10" t="s">
        <v>2015</v>
      </c>
      <c r="I544" s="11" t="s">
        <v>2048</v>
      </c>
      <c r="J544" s="11" t="s">
        <v>2049</v>
      </c>
      <c r="K544" s="12" t="s">
        <v>17</v>
      </c>
      <c r="L544" s="10" t="s">
        <v>5</v>
      </c>
      <c r="M544" s="10" t="s">
        <v>15</v>
      </c>
      <c r="N544" s="2" t="s">
        <v>17</v>
      </c>
      <c r="O544" s="2" t="s">
        <v>17</v>
      </c>
      <c r="P544" s="2" t="s">
        <v>17</v>
      </c>
      <c r="S544" s="13"/>
    </row>
    <row r="545" spans="1:19" x14ac:dyDescent="0.2">
      <c r="A545" s="2">
        <v>542</v>
      </c>
      <c r="B545" s="8">
        <v>350601012</v>
      </c>
      <c r="C545" s="8" t="s">
        <v>2050</v>
      </c>
      <c r="D545" s="8" t="s">
        <v>17</v>
      </c>
      <c r="E545" s="9" t="s">
        <v>2016</v>
      </c>
      <c r="F545" s="10" t="s">
        <v>2050</v>
      </c>
      <c r="G545" s="10" t="s">
        <v>2047</v>
      </c>
      <c r="H545" s="10" t="s">
        <v>2015</v>
      </c>
      <c r="I545" s="11" t="s">
        <v>2051</v>
      </c>
      <c r="J545" s="11" t="s">
        <v>2052</v>
      </c>
      <c r="K545" s="12" t="s">
        <v>17</v>
      </c>
      <c r="L545" s="10" t="s">
        <v>5</v>
      </c>
      <c r="M545" s="10" t="s">
        <v>15</v>
      </c>
      <c r="N545" s="2" t="s">
        <v>17</v>
      </c>
      <c r="O545" s="2" t="s">
        <v>17</v>
      </c>
      <c r="P545" s="2" t="s">
        <v>17</v>
      </c>
      <c r="S545" s="13"/>
    </row>
    <row r="546" spans="1:19" x14ac:dyDescent="0.2">
      <c r="A546" s="2">
        <v>543</v>
      </c>
      <c r="B546" s="8">
        <v>350601013</v>
      </c>
      <c r="C546" s="8" t="s">
        <v>2053</v>
      </c>
      <c r="D546" s="8" t="s">
        <v>17</v>
      </c>
      <c r="E546" s="9" t="s">
        <v>2016</v>
      </c>
      <c r="F546" s="10" t="s">
        <v>2053</v>
      </c>
      <c r="G546" s="10" t="s">
        <v>2053</v>
      </c>
      <c r="H546" s="10" t="s">
        <v>2015</v>
      </c>
      <c r="I546" s="11" t="s">
        <v>2054</v>
      </c>
      <c r="J546" s="11" t="s">
        <v>2055</v>
      </c>
      <c r="K546" s="12" t="s">
        <v>17</v>
      </c>
      <c r="L546" s="10" t="s">
        <v>5</v>
      </c>
      <c r="M546" s="10" t="s">
        <v>15</v>
      </c>
      <c r="N546" s="2" t="s">
        <v>17</v>
      </c>
      <c r="O546" s="2" t="s">
        <v>17</v>
      </c>
      <c r="P546" s="2" t="s">
        <v>17</v>
      </c>
      <c r="S546" s="13"/>
    </row>
    <row r="547" spans="1:19" x14ac:dyDescent="0.2">
      <c r="A547" s="2">
        <v>544</v>
      </c>
      <c r="B547" s="8">
        <v>350601014</v>
      </c>
      <c r="C547" s="8" t="s">
        <v>2056</v>
      </c>
      <c r="D547" s="8" t="s">
        <v>17</v>
      </c>
      <c r="E547" s="9" t="s">
        <v>2016</v>
      </c>
      <c r="F547" s="10" t="s">
        <v>2056</v>
      </c>
      <c r="G547" s="10" t="s">
        <v>2056</v>
      </c>
      <c r="H547" s="10" t="s">
        <v>2015</v>
      </c>
      <c r="I547" s="11" t="s">
        <v>2057</v>
      </c>
      <c r="J547" s="11" t="s">
        <v>2058</v>
      </c>
      <c r="K547" s="12" t="s">
        <v>17</v>
      </c>
      <c r="L547" s="10" t="s">
        <v>5</v>
      </c>
      <c r="M547" s="10" t="s">
        <v>15</v>
      </c>
      <c r="N547" s="2" t="s">
        <v>17</v>
      </c>
      <c r="O547" s="2" t="s">
        <v>17</v>
      </c>
      <c r="P547" s="2" t="s">
        <v>17</v>
      </c>
      <c r="S547" s="13"/>
    </row>
    <row r="548" spans="1:19" x14ac:dyDescent="0.2">
      <c r="A548" s="2">
        <v>545</v>
      </c>
      <c r="B548" s="8">
        <v>350601015</v>
      </c>
      <c r="C548" s="8" t="s">
        <v>2059</v>
      </c>
      <c r="D548" s="8" t="s">
        <v>17</v>
      </c>
      <c r="E548" s="9" t="s">
        <v>2016</v>
      </c>
      <c r="F548" s="10" t="s">
        <v>2059</v>
      </c>
      <c r="G548" s="10" t="s">
        <v>2027</v>
      </c>
      <c r="H548" s="10" t="s">
        <v>2015</v>
      </c>
      <c r="I548" s="11" t="s">
        <v>2060</v>
      </c>
      <c r="J548" s="11" t="s">
        <v>2061</v>
      </c>
      <c r="K548" s="12" t="s">
        <v>17</v>
      </c>
      <c r="L548" s="10" t="s">
        <v>5</v>
      </c>
      <c r="M548" s="10" t="s">
        <v>15</v>
      </c>
      <c r="N548" s="2" t="s">
        <v>17</v>
      </c>
      <c r="O548" s="2" t="s">
        <v>17</v>
      </c>
      <c r="P548" s="2" t="s">
        <v>17</v>
      </c>
      <c r="S548" s="13"/>
    </row>
    <row r="549" spans="1:19" x14ac:dyDescent="0.2">
      <c r="A549" s="2">
        <v>546</v>
      </c>
      <c r="B549" s="8">
        <v>350602001</v>
      </c>
      <c r="C549" s="8" t="s">
        <v>2062</v>
      </c>
      <c r="D549" s="8" t="s">
        <v>17</v>
      </c>
      <c r="E549" s="9" t="s">
        <v>2016</v>
      </c>
      <c r="F549" s="10" t="s">
        <v>2063</v>
      </c>
      <c r="G549" s="10" t="s">
        <v>2062</v>
      </c>
      <c r="H549" s="10" t="s">
        <v>2062</v>
      </c>
      <c r="I549" s="11" t="s">
        <v>2064</v>
      </c>
      <c r="J549" s="11" t="s">
        <v>2065</v>
      </c>
      <c r="K549" s="12" t="s">
        <v>17</v>
      </c>
      <c r="L549" s="10" t="s">
        <v>5</v>
      </c>
      <c r="M549" s="10" t="s">
        <v>15</v>
      </c>
      <c r="N549" s="2" t="s">
        <v>17</v>
      </c>
      <c r="O549" s="2" t="s">
        <v>17</v>
      </c>
      <c r="P549" s="2" t="s">
        <v>17</v>
      </c>
      <c r="S549" s="13"/>
    </row>
    <row r="550" spans="1:19" x14ac:dyDescent="0.2">
      <c r="A550" s="2">
        <v>547</v>
      </c>
      <c r="B550" s="8">
        <v>350602002</v>
      </c>
      <c r="C550" s="8" t="s">
        <v>2066</v>
      </c>
      <c r="D550" s="8" t="s">
        <v>17</v>
      </c>
      <c r="E550" s="9" t="s">
        <v>2016</v>
      </c>
      <c r="F550" s="10" t="s">
        <v>2067</v>
      </c>
      <c r="G550" s="10" t="s">
        <v>1245</v>
      </c>
      <c r="H550" s="10" t="s">
        <v>2062</v>
      </c>
      <c r="I550" s="11" t="s">
        <v>2068</v>
      </c>
      <c r="J550" s="11" t="s">
        <v>2069</v>
      </c>
      <c r="K550" s="12" t="s">
        <v>17</v>
      </c>
      <c r="L550" s="10" t="s">
        <v>5</v>
      </c>
      <c r="M550" s="10" t="s">
        <v>15</v>
      </c>
      <c r="N550" s="2" t="s">
        <v>17</v>
      </c>
      <c r="O550" s="2" t="s">
        <v>17</v>
      </c>
      <c r="P550" s="2" t="s">
        <v>17</v>
      </c>
      <c r="S550" s="13"/>
    </row>
    <row r="551" spans="1:19" x14ac:dyDescent="0.2">
      <c r="A551" s="2">
        <v>548</v>
      </c>
      <c r="B551" s="8">
        <v>350602003</v>
      </c>
      <c r="C551" s="8" t="s">
        <v>2070</v>
      </c>
      <c r="D551" s="8" t="s">
        <v>17</v>
      </c>
      <c r="E551" s="9" t="s">
        <v>2016</v>
      </c>
      <c r="F551" s="10" t="s">
        <v>2071</v>
      </c>
      <c r="G551" s="10" t="s">
        <v>2072</v>
      </c>
      <c r="H551" s="10" t="s">
        <v>2062</v>
      </c>
      <c r="I551" s="11" t="s">
        <v>2073</v>
      </c>
      <c r="J551" s="11" t="s">
        <v>2074</v>
      </c>
      <c r="K551" s="12" t="s">
        <v>17</v>
      </c>
      <c r="L551" s="10" t="s">
        <v>5</v>
      </c>
      <c r="M551" s="10" t="s">
        <v>15</v>
      </c>
      <c r="N551" s="2" t="s">
        <v>17</v>
      </c>
      <c r="O551" s="2" t="s">
        <v>17</v>
      </c>
      <c r="P551" s="2" t="s">
        <v>17</v>
      </c>
      <c r="S551" s="13"/>
    </row>
    <row r="552" spans="1:19" x14ac:dyDescent="0.2">
      <c r="A552" s="2">
        <v>549</v>
      </c>
      <c r="B552" s="8">
        <v>350602004</v>
      </c>
      <c r="C552" s="8" t="s">
        <v>2072</v>
      </c>
      <c r="D552" s="8" t="s">
        <v>17</v>
      </c>
      <c r="E552" s="9" t="s">
        <v>2016</v>
      </c>
      <c r="F552" s="10" t="s">
        <v>2072</v>
      </c>
      <c r="G552" s="10" t="s">
        <v>2072</v>
      </c>
      <c r="H552" s="10" t="s">
        <v>2062</v>
      </c>
      <c r="I552" s="11" t="s">
        <v>2075</v>
      </c>
      <c r="J552" s="11" t="s">
        <v>2076</v>
      </c>
      <c r="K552" s="12" t="s">
        <v>17</v>
      </c>
      <c r="L552" s="10" t="s">
        <v>5</v>
      </c>
      <c r="M552" s="10" t="s">
        <v>15</v>
      </c>
      <c r="N552" s="2" t="s">
        <v>17</v>
      </c>
      <c r="O552" s="2" t="s">
        <v>17</v>
      </c>
      <c r="P552" s="2" t="s">
        <v>17</v>
      </c>
      <c r="S552" s="13"/>
    </row>
    <row r="553" spans="1:19" x14ac:dyDescent="0.2">
      <c r="A553" s="2">
        <v>550</v>
      </c>
      <c r="B553" s="8">
        <v>350602005</v>
      </c>
      <c r="C553" s="8" t="s">
        <v>2077</v>
      </c>
      <c r="D553" s="8" t="s">
        <v>17</v>
      </c>
      <c r="E553" s="9" t="s">
        <v>2016</v>
      </c>
      <c r="F553" s="10" t="s">
        <v>2077</v>
      </c>
      <c r="G553" s="10" t="s">
        <v>630</v>
      </c>
      <c r="H553" s="10" t="s">
        <v>2062</v>
      </c>
      <c r="I553" s="11" t="s">
        <v>2078</v>
      </c>
      <c r="J553" s="11" t="s">
        <v>2079</v>
      </c>
      <c r="K553" s="12" t="s">
        <v>17</v>
      </c>
      <c r="L553" s="10" t="s">
        <v>5</v>
      </c>
      <c r="M553" s="10" t="s">
        <v>15</v>
      </c>
      <c r="N553" s="2" t="s">
        <v>17</v>
      </c>
      <c r="O553" s="2" t="s">
        <v>17</v>
      </c>
      <c r="P553" s="2" t="s">
        <v>17</v>
      </c>
      <c r="S553" s="13"/>
    </row>
    <row r="554" spans="1:19" x14ac:dyDescent="0.2">
      <c r="A554" s="2">
        <v>551</v>
      </c>
      <c r="B554" s="8">
        <v>350602006</v>
      </c>
      <c r="C554" s="8" t="s">
        <v>630</v>
      </c>
      <c r="D554" s="8" t="s">
        <v>17</v>
      </c>
      <c r="E554" s="9" t="s">
        <v>2016</v>
      </c>
      <c r="F554" s="10" t="s">
        <v>630</v>
      </c>
      <c r="G554" s="10" t="s">
        <v>630</v>
      </c>
      <c r="H554" s="10" t="s">
        <v>2062</v>
      </c>
      <c r="I554" s="11" t="s">
        <v>2080</v>
      </c>
      <c r="J554" s="11" t="s">
        <v>2081</v>
      </c>
      <c r="K554" s="12" t="s">
        <v>17</v>
      </c>
      <c r="L554" s="10" t="s">
        <v>5</v>
      </c>
      <c r="M554" s="10" t="s">
        <v>15</v>
      </c>
      <c r="N554" s="2" t="s">
        <v>17</v>
      </c>
      <c r="O554" s="2" t="s">
        <v>17</v>
      </c>
      <c r="P554" s="2" t="s">
        <v>17</v>
      </c>
      <c r="S554" s="13"/>
    </row>
    <row r="555" spans="1:19" x14ac:dyDescent="0.2">
      <c r="A555" s="2">
        <v>552</v>
      </c>
      <c r="B555" s="8">
        <v>350602007</v>
      </c>
      <c r="C555" s="8" t="s">
        <v>2082</v>
      </c>
      <c r="D555" s="8" t="s">
        <v>17</v>
      </c>
      <c r="E555" s="9" t="s">
        <v>2016</v>
      </c>
      <c r="F555" s="10" t="s">
        <v>1946</v>
      </c>
      <c r="G555" s="10" t="s">
        <v>630</v>
      </c>
      <c r="H555" s="10" t="s">
        <v>2062</v>
      </c>
      <c r="I555" s="11" t="s">
        <v>2083</v>
      </c>
      <c r="J555" s="11" t="s">
        <v>2084</v>
      </c>
      <c r="K555" s="12" t="s">
        <v>17</v>
      </c>
      <c r="L555" s="10" t="s">
        <v>5</v>
      </c>
      <c r="M555" s="10" t="s">
        <v>15</v>
      </c>
      <c r="N555" s="2" t="s">
        <v>17</v>
      </c>
      <c r="O555" s="2" t="s">
        <v>17</v>
      </c>
      <c r="P555" s="2" t="s">
        <v>17</v>
      </c>
      <c r="S555" s="13"/>
    </row>
    <row r="556" spans="1:19" x14ac:dyDescent="0.2">
      <c r="A556" s="2">
        <v>553</v>
      </c>
      <c r="B556" s="8">
        <v>350602008</v>
      </c>
      <c r="C556" s="8" t="s">
        <v>2085</v>
      </c>
      <c r="D556" s="8" t="s">
        <v>17</v>
      </c>
      <c r="E556" s="9" t="s">
        <v>2016</v>
      </c>
      <c r="F556" s="10" t="s">
        <v>2085</v>
      </c>
      <c r="G556" s="10" t="s">
        <v>2086</v>
      </c>
      <c r="H556" s="10" t="s">
        <v>2062</v>
      </c>
      <c r="I556" s="11" t="s">
        <v>2087</v>
      </c>
      <c r="J556" s="11" t="s">
        <v>2088</v>
      </c>
      <c r="K556" s="12" t="s">
        <v>17</v>
      </c>
      <c r="L556" s="10" t="s">
        <v>5</v>
      </c>
      <c r="M556" s="10" t="s">
        <v>15</v>
      </c>
      <c r="N556" s="2" t="s">
        <v>17</v>
      </c>
      <c r="O556" s="2" t="s">
        <v>17</v>
      </c>
      <c r="P556" s="2" t="s">
        <v>17</v>
      </c>
      <c r="S556" s="13"/>
    </row>
    <row r="557" spans="1:19" x14ac:dyDescent="0.2">
      <c r="A557" s="2">
        <v>554</v>
      </c>
      <c r="B557" s="8">
        <v>350602009</v>
      </c>
      <c r="C557" s="8" t="s">
        <v>2089</v>
      </c>
      <c r="D557" s="8" t="s">
        <v>17</v>
      </c>
      <c r="E557" s="9" t="s">
        <v>2016</v>
      </c>
      <c r="F557" s="10" t="s">
        <v>2090</v>
      </c>
      <c r="G557" s="10" t="s">
        <v>2091</v>
      </c>
      <c r="H557" s="10" t="s">
        <v>2062</v>
      </c>
      <c r="I557" s="11" t="s">
        <v>2092</v>
      </c>
      <c r="J557" s="11" t="s">
        <v>2093</v>
      </c>
      <c r="K557" s="12" t="s">
        <v>17</v>
      </c>
      <c r="L557" s="10" t="s">
        <v>5</v>
      </c>
      <c r="M557" s="10" t="s">
        <v>15</v>
      </c>
      <c r="N557" s="2" t="s">
        <v>17</v>
      </c>
      <c r="O557" s="2" t="s">
        <v>17</v>
      </c>
      <c r="P557" s="2" t="s">
        <v>17</v>
      </c>
      <c r="S557" s="13"/>
    </row>
    <row r="558" spans="1:19" x14ac:dyDescent="0.2">
      <c r="A558" s="2">
        <v>555</v>
      </c>
      <c r="B558" s="8">
        <v>350602010</v>
      </c>
      <c r="C558" s="8" t="s">
        <v>2094</v>
      </c>
      <c r="D558" s="8" t="s">
        <v>17</v>
      </c>
      <c r="E558" s="9" t="s">
        <v>2016</v>
      </c>
      <c r="F558" s="10" t="s">
        <v>2094</v>
      </c>
      <c r="G558" s="10" t="s">
        <v>2094</v>
      </c>
      <c r="H558" s="10" t="s">
        <v>2062</v>
      </c>
      <c r="I558" s="11" t="s">
        <v>2095</v>
      </c>
      <c r="J558" s="11" t="s">
        <v>2096</v>
      </c>
      <c r="K558" s="12" t="s">
        <v>17</v>
      </c>
      <c r="L558" s="10" t="s">
        <v>5</v>
      </c>
      <c r="M558" s="10" t="s">
        <v>15</v>
      </c>
      <c r="N558" s="2" t="s">
        <v>17</v>
      </c>
      <c r="O558" s="2" t="s">
        <v>17</v>
      </c>
      <c r="P558" s="2" t="s">
        <v>17</v>
      </c>
      <c r="S558" s="13"/>
    </row>
    <row r="559" spans="1:19" x14ac:dyDescent="0.2">
      <c r="A559" s="2">
        <v>556</v>
      </c>
      <c r="B559" s="8">
        <v>350602011</v>
      </c>
      <c r="C559" s="8" t="s">
        <v>2097</v>
      </c>
      <c r="D559" s="8" t="s">
        <v>17</v>
      </c>
      <c r="E559" s="9" t="s">
        <v>2016</v>
      </c>
      <c r="F559" s="10" t="s">
        <v>2097</v>
      </c>
      <c r="G559" s="10" t="s">
        <v>2097</v>
      </c>
      <c r="H559" s="10" t="s">
        <v>2062</v>
      </c>
      <c r="I559" s="11" t="s">
        <v>2098</v>
      </c>
      <c r="J559" s="11" t="s">
        <v>2099</v>
      </c>
      <c r="K559" s="12" t="s">
        <v>17</v>
      </c>
      <c r="L559" s="10" t="s">
        <v>5</v>
      </c>
      <c r="M559" s="10" t="s">
        <v>15</v>
      </c>
      <c r="N559" s="2" t="s">
        <v>17</v>
      </c>
      <c r="O559" s="2" t="s">
        <v>17</v>
      </c>
      <c r="P559" s="2" t="s">
        <v>17</v>
      </c>
      <c r="S559" s="13"/>
    </row>
    <row r="560" spans="1:19" x14ac:dyDescent="0.2">
      <c r="A560" s="2">
        <v>557</v>
      </c>
      <c r="B560" s="8">
        <v>350602012</v>
      </c>
      <c r="C560" s="8" t="s">
        <v>2100</v>
      </c>
      <c r="D560" s="8" t="s">
        <v>17</v>
      </c>
      <c r="E560" s="9" t="s">
        <v>2016</v>
      </c>
      <c r="F560" s="10" t="s">
        <v>2100</v>
      </c>
      <c r="G560" s="10" t="s">
        <v>2100</v>
      </c>
      <c r="H560" s="10" t="s">
        <v>2062</v>
      </c>
      <c r="I560" s="11" t="s">
        <v>2101</v>
      </c>
      <c r="J560" s="11" t="s">
        <v>2102</v>
      </c>
      <c r="K560" s="12" t="s">
        <v>17</v>
      </c>
      <c r="L560" s="10" t="s">
        <v>5</v>
      </c>
      <c r="M560" s="10" t="s">
        <v>15</v>
      </c>
      <c r="N560" s="2" t="s">
        <v>17</v>
      </c>
      <c r="O560" s="2" t="s">
        <v>17</v>
      </c>
      <c r="P560" s="2" t="s">
        <v>17</v>
      </c>
      <c r="S560" s="13"/>
    </row>
    <row r="561" spans="1:19" x14ac:dyDescent="0.2">
      <c r="A561" s="2">
        <v>558</v>
      </c>
      <c r="B561" s="8">
        <v>350602013</v>
      </c>
      <c r="C561" s="8" t="s">
        <v>2103</v>
      </c>
      <c r="D561" s="8" t="s">
        <v>17</v>
      </c>
      <c r="E561" s="9" t="s">
        <v>2016</v>
      </c>
      <c r="F561" s="10" t="s">
        <v>2104</v>
      </c>
      <c r="G561" s="10" t="s">
        <v>2105</v>
      </c>
      <c r="H561" s="10" t="s">
        <v>2062</v>
      </c>
      <c r="I561" s="11" t="s">
        <v>2106</v>
      </c>
      <c r="J561" s="11" t="s">
        <v>2107</v>
      </c>
      <c r="K561" s="12" t="s">
        <v>17</v>
      </c>
      <c r="L561" s="10" t="s">
        <v>5</v>
      </c>
      <c r="M561" s="10" t="s">
        <v>15</v>
      </c>
      <c r="N561" s="2" t="s">
        <v>17</v>
      </c>
      <c r="O561" s="2" t="s">
        <v>17</v>
      </c>
      <c r="P561" s="2" t="s">
        <v>17</v>
      </c>
      <c r="S561" s="13"/>
    </row>
    <row r="562" spans="1:19" x14ac:dyDescent="0.2">
      <c r="A562" s="2">
        <v>559</v>
      </c>
      <c r="B562" s="8">
        <v>350602014</v>
      </c>
      <c r="C562" s="8" t="s">
        <v>1426</v>
      </c>
      <c r="D562" s="8" t="s">
        <v>17</v>
      </c>
      <c r="E562" s="9" t="s">
        <v>2016</v>
      </c>
      <c r="F562" s="10" t="s">
        <v>1426</v>
      </c>
      <c r="G562" s="10" t="s">
        <v>1426</v>
      </c>
      <c r="H562" s="10" t="s">
        <v>2062</v>
      </c>
      <c r="I562" s="11" t="s">
        <v>2108</v>
      </c>
      <c r="J562" s="11" t="s">
        <v>2109</v>
      </c>
      <c r="K562" s="12" t="s">
        <v>17</v>
      </c>
      <c r="L562" s="10" t="s">
        <v>5</v>
      </c>
      <c r="M562" s="10" t="s">
        <v>15</v>
      </c>
      <c r="N562" s="2" t="s">
        <v>17</v>
      </c>
      <c r="O562" s="2" t="s">
        <v>17</v>
      </c>
      <c r="P562" s="2" t="s">
        <v>17</v>
      </c>
      <c r="S562" s="13"/>
    </row>
    <row r="563" spans="1:19" x14ac:dyDescent="0.2">
      <c r="A563" s="2">
        <v>560</v>
      </c>
      <c r="B563" s="8">
        <v>350602015</v>
      </c>
      <c r="C563" s="8" t="s">
        <v>2110</v>
      </c>
      <c r="D563" s="8" t="s">
        <v>17</v>
      </c>
      <c r="E563" s="9" t="s">
        <v>2016</v>
      </c>
      <c r="F563" s="10" t="s">
        <v>2111</v>
      </c>
      <c r="G563" s="10" t="s">
        <v>2110</v>
      </c>
      <c r="H563" s="10" t="s">
        <v>2062</v>
      </c>
      <c r="I563" s="11" t="s">
        <v>2112</v>
      </c>
      <c r="J563" s="11" t="s">
        <v>2113</v>
      </c>
      <c r="K563" s="12" t="s">
        <v>17</v>
      </c>
      <c r="L563" s="10" t="s">
        <v>5</v>
      </c>
      <c r="M563" s="10" t="s">
        <v>15</v>
      </c>
      <c r="N563" s="2" t="s">
        <v>17</v>
      </c>
      <c r="O563" s="2" t="s">
        <v>17</v>
      </c>
      <c r="P563" s="2" t="s">
        <v>17</v>
      </c>
      <c r="S563" s="13"/>
    </row>
    <row r="564" spans="1:19" x14ac:dyDescent="0.2">
      <c r="A564" s="2">
        <v>561</v>
      </c>
      <c r="B564" s="8">
        <v>350602016</v>
      </c>
      <c r="C564" s="8" t="s">
        <v>2114</v>
      </c>
      <c r="D564" s="8" t="s">
        <v>17</v>
      </c>
      <c r="E564" s="9" t="s">
        <v>2016</v>
      </c>
      <c r="F564" s="10" t="s">
        <v>1212</v>
      </c>
      <c r="G564" s="10" t="s">
        <v>2110</v>
      </c>
      <c r="H564" s="10" t="s">
        <v>2062</v>
      </c>
      <c r="I564" s="11" t="s">
        <v>2115</v>
      </c>
      <c r="J564" s="11" t="s">
        <v>2116</v>
      </c>
      <c r="K564" s="12" t="s">
        <v>17</v>
      </c>
      <c r="L564" s="10" t="s">
        <v>5</v>
      </c>
      <c r="M564" s="10" t="s">
        <v>15</v>
      </c>
      <c r="N564" s="2" t="s">
        <v>17</v>
      </c>
      <c r="O564" s="2" t="s">
        <v>17</v>
      </c>
      <c r="P564" s="2" t="s">
        <v>17</v>
      </c>
      <c r="S564" s="13"/>
    </row>
    <row r="565" spans="1:19" x14ac:dyDescent="0.2">
      <c r="A565" s="2">
        <v>562</v>
      </c>
      <c r="B565" s="8">
        <v>350602017</v>
      </c>
      <c r="C565" s="8" t="s">
        <v>2117</v>
      </c>
      <c r="D565" s="8" t="s">
        <v>17</v>
      </c>
      <c r="E565" s="9" t="s">
        <v>2016</v>
      </c>
      <c r="F565" s="10" t="s">
        <v>2118</v>
      </c>
      <c r="G565" s="10" t="s">
        <v>2118</v>
      </c>
      <c r="H565" s="10" t="s">
        <v>2062</v>
      </c>
      <c r="I565" s="11" t="s">
        <v>2119</v>
      </c>
      <c r="J565" s="11" t="s">
        <v>2120</v>
      </c>
      <c r="K565" s="12" t="s">
        <v>17</v>
      </c>
      <c r="L565" s="10" t="s">
        <v>5</v>
      </c>
      <c r="M565" s="10" t="s">
        <v>15</v>
      </c>
      <c r="N565" s="2" t="s">
        <v>17</v>
      </c>
      <c r="O565" s="2" t="s">
        <v>17</v>
      </c>
      <c r="P565" s="2" t="s">
        <v>17</v>
      </c>
      <c r="S565" s="13"/>
    </row>
    <row r="566" spans="1:19" x14ac:dyDescent="0.2">
      <c r="A566" s="2">
        <v>563</v>
      </c>
      <c r="B566" s="8">
        <v>350602018</v>
      </c>
      <c r="C566" s="8" t="s">
        <v>1880</v>
      </c>
      <c r="D566" s="8" t="s">
        <v>17</v>
      </c>
      <c r="E566" s="9" t="s">
        <v>2016</v>
      </c>
      <c r="F566" s="10" t="s">
        <v>1880</v>
      </c>
      <c r="G566" s="10" t="s">
        <v>2086</v>
      </c>
      <c r="H566" s="10" t="s">
        <v>2062</v>
      </c>
      <c r="I566" s="11" t="s">
        <v>2121</v>
      </c>
      <c r="J566" s="11" t="s">
        <v>2122</v>
      </c>
      <c r="K566" s="12" t="s">
        <v>17</v>
      </c>
      <c r="L566" s="10" t="s">
        <v>5</v>
      </c>
      <c r="M566" s="10" t="s">
        <v>15</v>
      </c>
      <c r="N566" s="2" t="s">
        <v>17</v>
      </c>
      <c r="O566" s="2" t="s">
        <v>17</v>
      </c>
      <c r="P566" s="2" t="s">
        <v>17</v>
      </c>
      <c r="S566" s="13"/>
    </row>
    <row r="567" spans="1:19" x14ac:dyDescent="0.2">
      <c r="A567" s="2">
        <v>564</v>
      </c>
      <c r="B567" s="8">
        <v>350602019</v>
      </c>
      <c r="C567" s="8" t="s">
        <v>2123</v>
      </c>
      <c r="D567" s="8" t="s">
        <v>17</v>
      </c>
      <c r="E567" s="9" t="s">
        <v>2016</v>
      </c>
      <c r="F567" s="10" t="s">
        <v>2124</v>
      </c>
      <c r="G567" s="10" t="s">
        <v>2094</v>
      </c>
      <c r="H567" s="10" t="s">
        <v>2062</v>
      </c>
      <c r="I567" s="11" t="s">
        <v>2125</v>
      </c>
      <c r="J567" s="11" t="s">
        <v>2126</v>
      </c>
      <c r="K567" s="12" t="s">
        <v>17</v>
      </c>
      <c r="L567" s="10" t="s">
        <v>5</v>
      </c>
      <c r="M567" s="10" t="s">
        <v>15</v>
      </c>
      <c r="N567" s="2" t="s">
        <v>17</v>
      </c>
      <c r="O567" s="2" t="s">
        <v>17</v>
      </c>
      <c r="P567" s="2" t="s">
        <v>17</v>
      </c>
      <c r="S567" s="13"/>
    </row>
    <row r="568" spans="1:19" x14ac:dyDescent="0.2">
      <c r="A568" s="2">
        <v>565</v>
      </c>
      <c r="B568" s="8">
        <v>350602020</v>
      </c>
      <c r="C568" s="8" t="s">
        <v>2127</v>
      </c>
      <c r="D568" s="8" t="s">
        <v>17</v>
      </c>
      <c r="E568" s="9" t="s">
        <v>2016</v>
      </c>
      <c r="F568" s="10" t="s">
        <v>1113</v>
      </c>
      <c r="G568" s="10" t="s">
        <v>1113</v>
      </c>
      <c r="H568" s="10" t="s">
        <v>2062</v>
      </c>
      <c r="I568" s="11" t="s">
        <v>2128</v>
      </c>
      <c r="J568" s="11" t="s">
        <v>2129</v>
      </c>
      <c r="K568" s="12" t="s">
        <v>17</v>
      </c>
      <c r="L568" s="10" t="s">
        <v>5</v>
      </c>
      <c r="M568" s="10" t="s">
        <v>15</v>
      </c>
      <c r="N568" s="2" t="s">
        <v>17</v>
      </c>
      <c r="O568" s="2" t="s">
        <v>17</v>
      </c>
      <c r="P568" s="2" t="s">
        <v>17</v>
      </c>
      <c r="S568" s="13"/>
    </row>
    <row r="569" spans="1:19" x14ac:dyDescent="0.2">
      <c r="A569" s="2">
        <v>566</v>
      </c>
      <c r="B569" s="8">
        <v>350602021</v>
      </c>
      <c r="C569" s="8" t="s">
        <v>2105</v>
      </c>
      <c r="D569" s="8" t="s">
        <v>17</v>
      </c>
      <c r="E569" s="9" t="s">
        <v>2016</v>
      </c>
      <c r="F569" s="10" t="s">
        <v>2105</v>
      </c>
      <c r="G569" s="10" t="s">
        <v>2105</v>
      </c>
      <c r="H569" s="10" t="s">
        <v>2062</v>
      </c>
      <c r="I569" s="11" t="s">
        <v>2130</v>
      </c>
      <c r="J569" s="11" t="s">
        <v>2131</v>
      </c>
      <c r="K569" s="12" t="s">
        <v>17</v>
      </c>
      <c r="L569" s="10" t="s">
        <v>5</v>
      </c>
      <c r="M569" s="10" t="s">
        <v>15</v>
      </c>
      <c r="N569" s="2" t="s">
        <v>17</v>
      </c>
      <c r="O569" s="2" t="s">
        <v>17</v>
      </c>
      <c r="P569" s="2" t="s">
        <v>17</v>
      </c>
      <c r="S569" s="13"/>
    </row>
    <row r="570" spans="1:19" x14ac:dyDescent="0.2">
      <c r="A570" s="2">
        <v>567</v>
      </c>
      <c r="B570" s="8">
        <v>350602022</v>
      </c>
      <c r="C570" s="8" t="s">
        <v>2132</v>
      </c>
      <c r="D570" s="8" t="s">
        <v>17</v>
      </c>
      <c r="E570" s="9" t="s">
        <v>2016</v>
      </c>
      <c r="F570" s="10" t="s">
        <v>2132</v>
      </c>
      <c r="G570" s="10" t="s">
        <v>2097</v>
      </c>
      <c r="H570" s="10" t="s">
        <v>2062</v>
      </c>
      <c r="I570" s="11" t="s">
        <v>2133</v>
      </c>
      <c r="J570" s="11" t="s">
        <v>2134</v>
      </c>
      <c r="K570" s="12" t="s">
        <v>17</v>
      </c>
      <c r="L570" s="10" t="s">
        <v>5</v>
      </c>
      <c r="M570" s="10" t="s">
        <v>15</v>
      </c>
      <c r="N570" s="2" t="s">
        <v>17</v>
      </c>
      <c r="O570" s="2" t="s">
        <v>17</v>
      </c>
      <c r="P570" s="2" t="s">
        <v>17</v>
      </c>
      <c r="S570" s="13"/>
    </row>
    <row r="571" spans="1:19" x14ac:dyDescent="0.2">
      <c r="A571" s="2">
        <v>568</v>
      </c>
      <c r="B571" s="8">
        <v>350602023</v>
      </c>
      <c r="C571" s="8" t="s">
        <v>2135</v>
      </c>
      <c r="D571" s="8" t="s">
        <v>17</v>
      </c>
      <c r="E571" s="9" t="s">
        <v>2016</v>
      </c>
      <c r="F571" s="10" t="s">
        <v>2135</v>
      </c>
      <c r="G571" s="10" t="s">
        <v>2135</v>
      </c>
      <c r="H571" s="10" t="s">
        <v>2062</v>
      </c>
      <c r="I571" s="11" t="s">
        <v>2136</v>
      </c>
      <c r="J571" s="11" t="s">
        <v>2137</v>
      </c>
      <c r="K571" s="12" t="s">
        <v>17</v>
      </c>
      <c r="L571" s="10" t="s">
        <v>5</v>
      </c>
      <c r="M571" s="10" t="s">
        <v>15</v>
      </c>
      <c r="N571" s="2" t="s">
        <v>17</v>
      </c>
      <c r="O571" s="2" t="s">
        <v>17</v>
      </c>
      <c r="P571" s="2" t="s">
        <v>17</v>
      </c>
      <c r="S571" s="13"/>
    </row>
    <row r="572" spans="1:19" x14ac:dyDescent="0.2">
      <c r="A572" s="2">
        <v>569</v>
      </c>
      <c r="B572" s="8">
        <v>350619001</v>
      </c>
      <c r="C572" s="8" t="s">
        <v>2138</v>
      </c>
      <c r="D572" s="8" t="s">
        <v>17</v>
      </c>
      <c r="E572" s="9" t="s">
        <v>2016</v>
      </c>
      <c r="F572" s="10" t="s">
        <v>2139</v>
      </c>
      <c r="G572" s="10" t="s">
        <v>2139</v>
      </c>
      <c r="H572" s="10" t="s">
        <v>2140</v>
      </c>
      <c r="I572" s="11" t="s">
        <v>2141</v>
      </c>
      <c r="J572" s="11" t="s">
        <v>2142</v>
      </c>
      <c r="K572" s="12" t="s">
        <v>17</v>
      </c>
      <c r="L572" s="10" t="s">
        <v>5</v>
      </c>
      <c r="M572" s="10" t="s">
        <v>15</v>
      </c>
      <c r="N572" s="2" t="s">
        <v>17</v>
      </c>
      <c r="O572" s="2" t="s">
        <v>17</v>
      </c>
      <c r="P572" s="2" t="s">
        <v>17</v>
      </c>
      <c r="S572" s="13"/>
    </row>
    <row r="573" spans="1:19" x14ac:dyDescent="0.2">
      <c r="A573" s="2">
        <v>570</v>
      </c>
      <c r="B573" s="8">
        <v>350619002</v>
      </c>
      <c r="C573" s="8" t="s">
        <v>2143</v>
      </c>
      <c r="D573" s="8" t="s">
        <v>17</v>
      </c>
      <c r="E573" s="9" t="s">
        <v>2016</v>
      </c>
      <c r="F573" s="10" t="s">
        <v>2144</v>
      </c>
      <c r="G573" s="10" t="s">
        <v>2145</v>
      </c>
      <c r="H573" s="10" t="s">
        <v>2146</v>
      </c>
      <c r="I573" s="11" t="s">
        <v>2147</v>
      </c>
      <c r="J573" s="11" t="s">
        <v>2148</v>
      </c>
      <c r="K573" s="12" t="s">
        <v>17</v>
      </c>
      <c r="L573" s="10" t="s">
        <v>5</v>
      </c>
      <c r="M573" s="10" t="s">
        <v>15</v>
      </c>
      <c r="N573" s="2" t="s">
        <v>17</v>
      </c>
      <c r="O573" s="2" t="s">
        <v>17</v>
      </c>
      <c r="P573" s="2" t="s">
        <v>17</v>
      </c>
      <c r="S573" s="13"/>
    </row>
    <row r="574" spans="1:19" x14ac:dyDescent="0.2">
      <c r="A574" s="2">
        <v>571</v>
      </c>
      <c r="B574" s="8">
        <v>350619003</v>
      </c>
      <c r="C574" s="8" t="s">
        <v>2149</v>
      </c>
      <c r="D574" s="8" t="s">
        <v>17</v>
      </c>
      <c r="E574" s="9" t="s">
        <v>2016</v>
      </c>
      <c r="F574" s="10" t="s">
        <v>2150</v>
      </c>
      <c r="G574" s="10" t="s">
        <v>2150</v>
      </c>
      <c r="H574" s="10" t="s">
        <v>2146</v>
      </c>
      <c r="I574" s="11" t="s">
        <v>2151</v>
      </c>
      <c r="J574" s="11" t="s">
        <v>2152</v>
      </c>
      <c r="K574" s="12" t="s">
        <v>17</v>
      </c>
      <c r="L574" s="10" t="s">
        <v>5</v>
      </c>
      <c r="M574" s="10" t="s">
        <v>15</v>
      </c>
      <c r="N574" s="2" t="s">
        <v>17</v>
      </c>
      <c r="O574" s="2" t="s">
        <v>17</v>
      </c>
      <c r="P574" s="2" t="s">
        <v>17</v>
      </c>
      <c r="S574" s="13"/>
    </row>
    <row r="575" spans="1:19" x14ac:dyDescent="0.2">
      <c r="A575" s="2">
        <v>572</v>
      </c>
      <c r="B575" s="8">
        <v>350619004</v>
      </c>
      <c r="C575" s="8" t="s">
        <v>2150</v>
      </c>
      <c r="D575" s="8" t="s">
        <v>17</v>
      </c>
      <c r="E575" s="9" t="s">
        <v>2016</v>
      </c>
      <c r="F575" s="10" t="s">
        <v>64</v>
      </c>
      <c r="G575" s="10" t="s">
        <v>2150</v>
      </c>
      <c r="H575" s="10" t="s">
        <v>2146</v>
      </c>
      <c r="I575" s="11" t="s">
        <v>2153</v>
      </c>
      <c r="J575" s="11" t="s">
        <v>2154</v>
      </c>
      <c r="K575" s="12" t="s">
        <v>17</v>
      </c>
      <c r="L575" s="10" t="s">
        <v>5</v>
      </c>
      <c r="M575" s="10" t="s">
        <v>15</v>
      </c>
      <c r="N575" s="2" t="s">
        <v>17</v>
      </c>
      <c r="O575" s="2" t="s">
        <v>17</v>
      </c>
      <c r="P575" s="2" t="s">
        <v>17</v>
      </c>
      <c r="S575" s="13"/>
    </row>
    <row r="576" spans="1:19" x14ac:dyDescent="0.2">
      <c r="A576" s="2">
        <v>573</v>
      </c>
      <c r="B576" s="8">
        <v>350619005</v>
      </c>
      <c r="C576" s="8" t="s">
        <v>2155</v>
      </c>
      <c r="D576" s="8" t="s">
        <v>17</v>
      </c>
      <c r="E576" s="9" t="s">
        <v>2016</v>
      </c>
      <c r="F576" s="10" t="s">
        <v>2156</v>
      </c>
      <c r="G576" s="10" t="s">
        <v>2145</v>
      </c>
      <c r="H576" s="10" t="s">
        <v>2146</v>
      </c>
      <c r="I576" s="11" t="s">
        <v>2157</v>
      </c>
      <c r="J576" s="11" t="s">
        <v>2158</v>
      </c>
      <c r="K576" s="12" t="s">
        <v>17</v>
      </c>
      <c r="L576" s="10" t="s">
        <v>5</v>
      </c>
      <c r="M576" s="10" t="s">
        <v>15</v>
      </c>
      <c r="N576" s="2" t="s">
        <v>17</v>
      </c>
      <c r="O576" s="2" t="s">
        <v>17</v>
      </c>
      <c r="P576" s="2" t="s">
        <v>17</v>
      </c>
      <c r="S576" s="13"/>
    </row>
    <row r="577" spans="1:19" x14ac:dyDescent="0.2">
      <c r="A577" s="2">
        <v>574</v>
      </c>
      <c r="B577" s="8">
        <v>350619006</v>
      </c>
      <c r="C577" s="8" t="s">
        <v>2159</v>
      </c>
      <c r="D577" s="8" t="s">
        <v>17</v>
      </c>
      <c r="E577" s="9" t="s">
        <v>2016</v>
      </c>
      <c r="F577" s="10" t="s">
        <v>1467</v>
      </c>
      <c r="G577" s="10" t="s">
        <v>2145</v>
      </c>
      <c r="H577" s="10" t="s">
        <v>2146</v>
      </c>
      <c r="I577" s="11" t="s">
        <v>2160</v>
      </c>
      <c r="J577" s="11" t="s">
        <v>2161</v>
      </c>
      <c r="K577" s="12" t="s">
        <v>17</v>
      </c>
      <c r="L577" s="10" t="s">
        <v>5</v>
      </c>
      <c r="M577" s="10" t="s">
        <v>15</v>
      </c>
      <c r="N577" s="2" t="s">
        <v>17</v>
      </c>
      <c r="O577" s="2" t="s">
        <v>17</v>
      </c>
      <c r="P577" s="2" t="s">
        <v>17</v>
      </c>
      <c r="S577" s="13"/>
    </row>
    <row r="578" spans="1:19" x14ac:dyDescent="0.2">
      <c r="A578" s="2">
        <v>575</v>
      </c>
      <c r="B578" s="8">
        <v>350619007</v>
      </c>
      <c r="C578" s="8" t="s">
        <v>2162</v>
      </c>
      <c r="D578" s="8" t="s">
        <v>17</v>
      </c>
      <c r="E578" s="9" t="s">
        <v>2016</v>
      </c>
      <c r="F578" s="10" t="s">
        <v>2162</v>
      </c>
      <c r="G578" s="10" t="s">
        <v>2150</v>
      </c>
      <c r="H578" s="10" t="s">
        <v>2146</v>
      </c>
      <c r="I578" s="11" t="s">
        <v>2163</v>
      </c>
      <c r="J578" s="11" t="s">
        <v>2164</v>
      </c>
      <c r="K578" s="12" t="s">
        <v>17</v>
      </c>
      <c r="L578" s="10" t="s">
        <v>5</v>
      </c>
      <c r="M578" s="10" t="s">
        <v>15</v>
      </c>
      <c r="N578" s="2" t="s">
        <v>17</v>
      </c>
      <c r="O578" s="2" t="s">
        <v>17</v>
      </c>
      <c r="P578" s="2" t="s">
        <v>17</v>
      </c>
      <c r="S578" s="13"/>
    </row>
    <row r="579" spans="1:19" x14ac:dyDescent="0.2">
      <c r="A579" s="2">
        <v>576</v>
      </c>
      <c r="B579" s="8">
        <v>350619008</v>
      </c>
      <c r="C579" s="8" t="s">
        <v>2165</v>
      </c>
      <c r="D579" s="8" t="s">
        <v>17</v>
      </c>
      <c r="E579" s="9" t="s">
        <v>2016</v>
      </c>
      <c r="F579" s="10" t="s">
        <v>2165</v>
      </c>
      <c r="G579" s="10" t="s">
        <v>2166</v>
      </c>
      <c r="H579" s="10" t="s">
        <v>2146</v>
      </c>
      <c r="I579" s="11" t="s">
        <v>2167</v>
      </c>
      <c r="J579" s="11" t="s">
        <v>2168</v>
      </c>
      <c r="K579" s="12" t="s">
        <v>17</v>
      </c>
      <c r="L579" s="10" t="s">
        <v>5</v>
      </c>
      <c r="M579" s="10" t="s">
        <v>15</v>
      </c>
      <c r="N579" s="2" t="s">
        <v>17</v>
      </c>
      <c r="O579" s="2" t="s">
        <v>17</v>
      </c>
      <c r="P579" s="2" t="s">
        <v>17</v>
      </c>
      <c r="S579" s="13"/>
    </row>
    <row r="580" spans="1:19" x14ac:dyDescent="0.2">
      <c r="A580" s="2">
        <v>577</v>
      </c>
      <c r="B580" s="8">
        <v>350619009</v>
      </c>
      <c r="C580" s="8" t="s">
        <v>2169</v>
      </c>
      <c r="D580" s="8" t="s">
        <v>17</v>
      </c>
      <c r="E580" s="9" t="s">
        <v>2016</v>
      </c>
      <c r="F580" s="10" t="s">
        <v>738</v>
      </c>
      <c r="G580" s="10" t="s">
        <v>2145</v>
      </c>
      <c r="H580" s="10" t="s">
        <v>2146</v>
      </c>
      <c r="I580" s="11" t="s">
        <v>2170</v>
      </c>
      <c r="J580" s="11" t="s">
        <v>2171</v>
      </c>
      <c r="K580" s="12" t="s">
        <v>17</v>
      </c>
      <c r="L580" s="10" t="s">
        <v>5</v>
      </c>
      <c r="M580" s="10" t="s">
        <v>15</v>
      </c>
      <c r="N580" s="2" t="s">
        <v>17</v>
      </c>
      <c r="O580" s="2" t="s">
        <v>17</v>
      </c>
      <c r="P580" s="2" t="s">
        <v>17</v>
      </c>
      <c r="S580" s="13"/>
    </row>
    <row r="581" spans="1:19" x14ac:dyDescent="0.2">
      <c r="A581" s="2">
        <v>578</v>
      </c>
      <c r="B581" s="8">
        <v>350619010</v>
      </c>
      <c r="C581" s="8" t="s">
        <v>2172</v>
      </c>
      <c r="D581" s="8" t="s">
        <v>17</v>
      </c>
      <c r="E581" s="9" t="s">
        <v>2016</v>
      </c>
      <c r="F581" s="10" t="s">
        <v>2172</v>
      </c>
      <c r="G581" s="10" t="s">
        <v>2166</v>
      </c>
      <c r="H581" s="10" t="s">
        <v>2146</v>
      </c>
      <c r="I581" s="11" t="s">
        <v>2173</v>
      </c>
      <c r="J581" s="11" t="s">
        <v>2174</v>
      </c>
      <c r="K581" s="12" t="s">
        <v>17</v>
      </c>
      <c r="L581" s="10" t="s">
        <v>5</v>
      </c>
      <c r="M581" s="10" t="s">
        <v>15</v>
      </c>
      <c r="N581" s="2" t="s">
        <v>17</v>
      </c>
      <c r="O581" s="2" t="s">
        <v>17</v>
      </c>
      <c r="P581" s="2" t="s">
        <v>17</v>
      </c>
      <c r="S581" s="13"/>
    </row>
    <row r="582" spans="1:19" x14ac:dyDescent="0.2">
      <c r="A582" s="2">
        <v>579</v>
      </c>
      <c r="B582" s="8">
        <v>350619011</v>
      </c>
      <c r="C582" s="8" t="s">
        <v>865</v>
      </c>
      <c r="D582" s="8" t="s">
        <v>17</v>
      </c>
      <c r="E582" s="9" t="s">
        <v>2016</v>
      </c>
      <c r="F582" s="10" t="s">
        <v>2175</v>
      </c>
      <c r="G582" s="10" t="s">
        <v>2150</v>
      </c>
      <c r="H582" s="10" t="s">
        <v>2146</v>
      </c>
      <c r="I582" s="11" t="s">
        <v>2176</v>
      </c>
      <c r="J582" s="11" t="s">
        <v>2177</v>
      </c>
      <c r="K582" s="12" t="s">
        <v>17</v>
      </c>
      <c r="L582" s="10" t="s">
        <v>5</v>
      </c>
      <c r="M582" s="10" t="s">
        <v>15</v>
      </c>
      <c r="N582" s="2" t="s">
        <v>17</v>
      </c>
      <c r="O582" s="2" t="s">
        <v>17</v>
      </c>
      <c r="P582" s="2" t="s">
        <v>17</v>
      </c>
      <c r="S582" s="13"/>
    </row>
    <row r="583" spans="1:19" x14ac:dyDescent="0.2">
      <c r="A583" s="2">
        <v>580</v>
      </c>
      <c r="B583" s="8">
        <v>350619012</v>
      </c>
      <c r="C583" s="8" t="s">
        <v>2178</v>
      </c>
      <c r="D583" s="8" t="s">
        <v>17</v>
      </c>
      <c r="E583" s="9" t="s">
        <v>2016</v>
      </c>
      <c r="F583" s="10" t="s">
        <v>1296</v>
      </c>
      <c r="G583" s="10" t="s">
        <v>2145</v>
      </c>
      <c r="H583" s="10" t="s">
        <v>2146</v>
      </c>
      <c r="I583" s="11" t="s">
        <v>2179</v>
      </c>
      <c r="J583" s="11" t="s">
        <v>2180</v>
      </c>
      <c r="K583" s="12" t="s">
        <v>17</v>
      </c>
      <c r="L583" s="10" t="s">
        <v>5</v>
      </c>
      <c r="M583" s="10" t="s">
        <v>15</v>
      </c>
      <c r="N583" s="2" t="s">
        <v>17</v>
      </c>
      <c r="O583" s="2" t="s">
        <v>17</v>
      </c>
      <c r="P583" s="2" t="s">
        <v>17</v>
      </c>
      <c r="S583" s="13"/>
    </row>
    <row r="584" spans="1:19" x14ac:dyDescent="0.2">
      <c r="A584" s="2">
        <v>581</v>
      </c>
      <c r="B584" s="8">
        <v>350619013</v>
      </c>
      <c r="C584" s="8" t="s">
        <v>2181</v>
      </c>
      <c r="D584" s="8" t="s">
        <v>17</v>
      </c>
      <c r="E584" s="9" t="s">
        <v>2016</v>
      </c>
      <c r="F584" s="10" t="s">
        <v>2181</v>
      </c>
      <c r="G584" s="10" t="s">
        <v>2181</v>
      </c>
      <c r="H584" s="10" t="s">
        <v>2146</v>
      </c>
      <c r="I584" s="11" t="s">
        <v>2182</v>
      </c>
      <c r="J584" s="11" t="s">
        <v>2183</v>
      </c>
      <c r="K584" s="12" t="s">
        <v>17</v>
      </c>
      <c r="L584" s="10" t="s">
        <v>5</v>
      </c>
      <c r="M584" s="10" t="s">
        <v>15</v>
      </c>
      <c r="N584" s="2" t="s">
        <v>17</v>
      </c>
      <c r="O584" s="2" t="s">
        <v>17</v>
      </c>
      <c r="P584" s="2" t="s">
        <v>17</v>
      </c>
      <c r="S584" s="13"/>
    </row>
    <row r="585" spans="1:19" x14ac:dyDescent="0.2">
      <c r="A585" s="2">
        <v>582</v>
      </c>
      <c r="B585" s="8">
        <v>350619014</v>
      </c>
      <c r="C585" s="8" t="s">
        <v>2184</v>
      </c>
      <c r="D585" s="8" t="s">
        <v>17</v>
      </c>
      <c r="E585" s="9" t="s">
        <v>2016</v>
      </c>
      <c r="F585" s="10" t="s">
        <v>816</v>
      </c>
      <c r="G585" s="10" t="s">
        <v>2185</v>
      </c>
      <c r="H585" s="10" t="s">
        <v>2146</v>
      </c>
      <c r="I585" s="11" t="s">
        <v>2186</v>
      </c>
      <c r="J585" s="11" t="s">
        <v>2187</v>
      </c>
      <c r="K585" s="12" t="s">
        <v>17</v>
      </c>
      <c r="L585" s="10" t="s">
        <v>5</v>
      </c>
      <c r="M585" s="10" t="s">
        <v>15</v>
      </c>
      <c r="N585" s="2" t="s">
        <v>17</v>
      </c>
      <c r="O585" s="2" t="s">
        <v>17</v>
      </c>
      <c r="P585" s="2" t="s">
        <v>17</v>
      </c>
      <c r="S585" s="13"/>
    </row>
    <row r="586" spans="1:19" x14ac:dyDescent="0.2">
      <c r="A586" s="2">
        <v>583</v>
      </c>
      <c r="B586" s="8">
        <v>350619015</v>
      </c>
      <c r="C586" s="8" t="s">
        <v>2188</v>
      </c>
      <c r="D586" s="8" t="s">
        <v>17</v>
      </c>
      <c r="E586" s="9" t="s">
        <v>2016</v>
      </c>
      <c r="F586" s="10" t="s">
        <v>2189</v>
      </c>
      <c r="G586" s="10" t="s">
        <v>2190</v>
      </c>
      <c r="H586" s="10" t="s">
        <v>2146</v>
      </c>
      <c r="I586" s="11" t="s">
        <v>2191</v>
      </c>
      <c r="J586" s="11" t="s">
        <v>2192</v>
      </c>
      <c r="K586" s="12" t="s">
        <v>17</v>
      </c>
      <c r="L586" s="10" t="s">
        <v>5</v>
      </c>
      <c r="M586" s="10" t="s">
        <v>15</v>
      </c>
      <c r="N586" s="2" t="s">
        <v>17</v>
      </c>
      <c r="O586" s="2" t="s">
        <v>17</v>
      </c>
      <c r="P586" s="2" t="s">
        <v>17</v>
      </c>
      <c r="S586" s="13"/>
    </row>
    <row r="587" spans="1:19" x14ac:dyDescent="0.2">
      <c r="A587" s="2">
        <v>584</v>
      </c>
      <c r="B587" s="8">
        <v>350619016</v>
      </c>
      <c r="C587" s="8" t="s">
        <v>2193</v>
      </c>
      <c r="D587" s="8" t="s">
        <v>17</v>
      </c>
      <c r="E587" s="9" t="s">
        <v>2016</v>
      </c>
      <c r="F587" s="10" t="s">
        <v>193</v>
      </c>
      <c r="G587" s="10" t="s">
        <v>2190</v>
      </c>
      <c r="H587" s="10" t="s">
        <v>2146</v>
      </c>
      <c r="I587" s="11" t="s">
        <v>2194</v>
      </c>
      <c r="J587" s="11" t="s">
        <v>2195</v>
      </c>
      <c r="K587" s="12" t="s">
        <v>17</v>
      </c>
      <c r="L587" s="10" t="s">
        <v>5</v>
      </c>
      <c r="M587" s="10" t="s">
        <v>15</v>
      </c>
      <c r="N587" s="2" t="s">
        <v>17</v>
      </c>
      <c r="O587" s="2" t="s">
        <v>17</v>
      </c>
      <c r="P587" s="2" t="s">
        <v>17</v>
      </c>
      <c r="S587" s="13"/>
    </row>
    <row r="588" spans="1:19" x14ac:dyDescent="0.2">
      <c r="A588" s="2">
        <v>585</v>
      </c>
      <c r="B588" s="8">
        <v>350619017</v>
      </c>
      <c r="C588" s="8" t="s">
        <v>2166</v>
      </c>
      <c r="D588" s="8" t="s">
        <v>17</v>
      </c>
      <c r="E588" s="9" t="s">
        <v>2016</v>
      </c>
      <c r="F588" s="10" t="s">
        <v>2166</v>
      </c>
      <c r="G588" s="10" t="s">
        <v>2166</v>
      </c>
      <c r="H588" s="10" t="s">
        <v>2146</v>
      </c>
      <c r="I588" s="11" t="s">
        <v>2196</v>
      </c>
      <c r="J588" s="11" t="s">
        <v>2197</v>
      </c>
      <c r="K588" s="12" t="s">
        <v>17</v>
      </c>
      <c r="L588" s="10" t="s">
        <v>5</v>
      </c>
      <c r="M588" s="10" t="s">
        <v>15</v>
      </c>
      <c r="N588" s="2" t="s">
        <v>17</v>
      </c>
      <c r="O588" s="2" t="s">
        <v>17</v>
      </c>
      <c r="P588" s="2" t="s">
        <v>17</v>
      </c>
      <c r="S588" s="13"/>
    </row>
    <row r="589" spans="1:19" x14ac:dyDescent="0.2">
      <c r="A589" s="2">
        <v>586</v>
      </c>
      <c r="B589" s="8">
        <v>350619018</v>
      </c>
      <c r="C589" s="8" t="s">
        <v>2198</v>
      </c>
      <c r="D589" s="8" t="s">
        <v>17</v>
      </c>
      <c r="E589" s="9" t="s">
        <v>2016</v>
      </c>
      <c r="F589" s="10" t="s">
        <v>2198</v>
      </c>
      <c r="G589" s="10" t="s">
        <v>2199</v>
      </c>
      <c r="H589" s="10" t="s">
        <v>2146</v>
      </c>
      <c r="I589" s="11" t="s">
        <v>2200</v>
      </c>
      <c r="J589" s="11" t="s">
        <v>2201</v>
      </c>
      <c r="K589" s="12" t="s">
        <v>17</v>
      </c>
      <c r="L589" s="10" t="s">
        <v>5</v>
      </c>
      <c r="M589" s="10" t="s">
        <v>15</v>
      </c>
      <c r="N589" s="2" t="s">
        <v>17</v>
      </c>
      <c r="O589" s="2" t="s">
        <v>17</v>
      </c>
      <c r="P589" s="2" t="s">
        <v>17</v>
      </c>
      <c r="S589" s="13"/>
    </row>
    <row r="590" spans="1:19" x14ac:dyDescent="0.2">
      <c r="A590" s="2">
        <v>587</v>
      </c>
      <c r="B590" s="8">
        <v>350619019</v>
      </c>
      <c r="C590" s="8" t="s">
        <v>1263</v>
      </c>
      <c r="D590" s="8" t="s">
        <v>17</v>
      </c>
      <c r="E590" s="9" t="s">
        <v>2016</v>
      </c>
      <c r="F590" s="10" t="s">
        <v>816</v>
      </c>
      <c r="G590" s="10" t="s">
        <v>2185</v>
      </c>
      <c r="H590" s="10" t="s">
        <v>2146</v>
      </c>
      <c r="I590" s="11" t="s">
        <v>2202</v>
      </c>
      <c r="J590" s="11" t="s">
        <v>2203</v>
      </c>
      <c r="K590" s="12" t="s">
        <v>17</v>
      </c>
      <c r="L590" s="10" t="s">
        <v>5</v>
      </c>
      <c r="M590" s="10" t="s">
        <v>15</v>
      </c>
      <c r="N590" s="2" t="s">
        <v>17</v>
      </c>
      <c r="O590" s="2" t="s">
        <v>17</v>
      </c>
      <c r="P590" s="2" t="s">
        <v>17</v>
      </c>
      <c r="S590" s="13"/>
    </row>
    <row r="591" spans="1:19" x14ac:dyDescent="0.2">
      <c r="A591" s="2">
        <v>588</v>
      </c>
      <c r="B591" s="8">
        <v>350619020</v>
      </c>
      <c r="C591" s="8" t="s">
        <v>2204</v>
      </c>
      <c r="D591" s="8" t="s">
        <v>17</v>
      </c>
      <c r="E591" s="9" t="s">
        <v>2016</v>
      </c>
      <c r="F591" s="10" t="s">
        <v>1245</v>
      </c>
      <c r="G591" s="10" t="s">
        <v>2146</v>
      </c>
      <c r="H591" s="10" t="s">
        <v>2146</v>
      </c>
      <c r="I591" s="11" t="s">
        <v>2205</v>
      </c>
      <c r="J591" s="11" t="s">
        <v>2206</v>
      </c>
      <c r="K591" s="12" t="s">
        <v>17</v>
      </c>
      <c r="L591" s="10" t="s">
        <v>5</v>
      </c>
      <c r="M591" s="10" t="s">
        <v>15</v>
      </c>
      <c r="N591" s="2" t="s">
        <v>17</v>
      </c>
      <c r="O591" s="2" t="s">
        <v>17</v>
      </c>
      <c r="P591" s="2" t="s">
        <v>17</v>
      </c>
      <c r="S591" s="13"/>
    </row>
    <row r="592" spans="1:19" x14ac:dyDescent="0.2">
      <c r="A592" s="2">
        <v>589</v>
      </c>
      <c r="B592" s="8">
        <v>350619021</v>
      </c>
      <c r="C592" s="8" t="s">
        <v>2207</v>
      </c>
      <c r="D592" s="8" t="s">
        <v>17</v>
      </c>
      <c r="E592" s="9" t="s">
        <v>2016</v>
      </c>
      <c r="F592" s="10" t="s">
        <v>2208</v>
      </c>
      <c r="G592" s="10" t="s">
        <v>2199</v>
      </c>
      <c r="H592" s="10" t="s">
        <v>2146</v>
      </c>
      <c r="I592" s="11" t="s">
        <v>2209</v>
      </c>
      <c r="J592" s="11" t="s">
        <v>2210</v>
      </c>
      <c r="K592" s="12" t="s">
        <v>17</v>
      </c>
      <c r="L592" s="10" t="s">
        <v>5</v>
      </c>
      <c r="M592" s="10" t="s">
        <v>15</v>
      </c>
      <c r="N592" s="2" t="s">
        <v>17</v>
      </c>
      <c r="O592" s="2" t="s">
        <v>17</v>
      </c>
      <c r="P592" s="2" t="s">
        <v>17</v>
      </c>
      <c r="S592" s="13"/>
    </row>
    <row r="593" spans="1:19" x14ac:dyDescent="0.2">
      <c r="A593" s="2">
        <v>590</v>
      </c>
      <c r="B593" s="8">
        <v>350619022</v>
      </c>
      <c r="C593" s="8" t="s">
        <v>689</v>
      </c>
      <c r="D593" s="8" t="s">
        <v>17</v>
      </c>
      <c r="E593" s="9" t="s">
        <v>2016</v>
      </c>
      <c r="F593" s="10" t="s">
        <v>689</v>
      </c>
      <c r="G593" s="10" t="s">
        <v>2199</v>
      </c>
      <c r="H593" s="10" t="s">
        <v>2146</v>
      </c>
      <c r="I593" s="11" t="s">
        <v>2211</v>
      </c>
      <c r="J593" s="11" t="s">
        <v>2212</v>
      </c>
      <c r="K593" s="12" t="s">
        <v>17</v>
      </c>
      <c r="L593" s="10" t="s">
        <v>5</v>
      </c>
      <c r="M593" s="10" t="s">
        <v>15</v>
      </c>
      <c r="N593" s="2" t="s">
        <v>17</v>
      </c>
      <c r="O593" s="2" t="s">
        <v>17</v>
      </c>
      <c r="P593" s="2" t="s">
        <v>17</v>
      </c>
      <c r="S593" s="13"/>
    </row>
    <row r="594" spans="1:19" x14ac:dyDescent="0.2">
      <c r="A594" s="2">
        <v>591</v>
      </c>
      <c r="B594" s="8">
        <v>350619023</v>
      </c>
      <c r="C594" s="8" t="s">
        <v>2213</v>
      </c>
      <c r="D594" s="8" t="s">
        <v>17</v>
      </c>
      <c r="E594" s="9" t="s">
        <v>2016</v>
      </c>
      <c r="F594" s="10" t="s">
        <v>2199</v>
      </c>
      <c r="G594" s="10" t="s">
        <v>2199</v>
      </c>
      <c r="H594" s="10" t="s">
        <v>2146</v>
      </c>
      <c r="I594" s="11" t="s">
        <v>2214</v>
      </c>
      <c r="J594" s="11" t="s">
        <v>2215</v>
      </c>
      <c r="K594" s="12" t="s">
        <v>17</v>
      </c>
      <c r="L594" s="10" t="s">
        <v>5</v>
      </c>
      <c r="M594" s="10" t="s">
        <v>15</v>
      </c>
      <c r="N594" s="2" t="s">
        <v>17</v>
      </c>
      <c r="O594" s="2" t="s">
        <v>17</v>
      </c>
      <c r="P594" s="2" t="s">
        <v>17</v>
      </c>
      <c r="S594" s="13"/>
    </row>
    <row r="595" spans="1:19" x14ac:dyDescent="0.2">
      <c r="A595" s="2">
        <v>592</v>
      </c>
      <c r="B595" s="8">
        <v>350619024</v>
      </c>
      <c r="C595" s="8" t="s">
        <v>2216</v>
      </c>
      <c r="D595" s="8" t="s">
        <v>17</v>
      </c>
      <c r="E595" s="9" t="s">
        <v>2016</v>
      </c>
      <c r="F595" s="10" t="s">
        <v>2199</v>
      </c>
      <c r="G595" s="10" t="s">
        <v>2199</v>
      </c>
      <c r="H595" s="10" t="s">
        <v>2146</v>
      </c>
      <c r="I595" s="11" t="s">
        <v>2217</v>
      </c>
      <c r="J595" s="11" t="s">
        <v>2218</v>
      </c>
      <c r="K595" s="12" t="s">
        <v>17</v>
      </c>
      <c r="L595" s="10" t="s">
        <v>5</v>
      </c>
      <c r="M595" s="10" t="s">
        <v>15</v>
      </c>
      <c r="N595" s="2" t="s">
        <v>17</v>
      </c>
      <c r="O595" s="2" t="s">
        <v>17</v>
      </c>
      <c r="P595" s="2" t="s">
        <v>17</v>
      </c>
      <c r="S595" s="13"/>
    </row>
    <row r="596" spans="1:19" x14ac:dyDescent="0.2">
      <c r="A596" s="2">
        <v>593</v>
      </c>
      <c r="B596" s="8">
        <v>350619025</v>
      </c>
      <c r="C596" s="8" t="s">
        <v>2219</v>
      </c>
      <c r="D596" s="8" t="s">
        <v>17</v>
      </c>
      <c r="E596" s="9" t="s">
        <v>2016</v>
      </c>
      <c r="F596" s="10" t="s">
        <v>2219</v>
      </c>
      <c r="G596" s="10" t="s">
        <v>2220</v>
      </c>
      <c r="H596" s="10" t="s">
        <v>2146</v>
      </c>
      <c r="I596" s="11" t="s">
        <v>2221</v>
      </c>
      <c r="J596" s="11" t="s">
        <v>2222</v>
      </c>
      <c r="K596" s="12" t="s">
        <v>17</v>
      </c>
      <c r="L596" s="10" t="s">
        <v>5</v>
      </c>
      <c r="M596" s="10" t="s">
        <v>15</v>
      </c>
      <c r="N596" s="2" t="s">
        <v>17</v>
      </c>
      <c r="O596" s="2" t="s">
        <v>17</v>
      </c>
      <c r="P596" s="2" t="s">
        <v>17</v>
      </c>
      <c r="S596" s="13"/>
    </row>
    <row r="597" spans="1:19" x14ac:dyDescent="0.2">
      <c r="A597" s="2">
        <v>594</v>
      </c>
      <c r="B597" s="8">
        <v>350619026</v>
      </c>
      <c r="C597" s="8" t="s">
        <v>2199</v>
      </c>
      <c r="D597" s="8" t="s">
        <v>17</v>
      </c>
      <c r="E597" s="9" t="s">
        <v>2016</v>
      </c>
      <c r="F597" s="10" t="s">
        <v>2223</v>
      </c>
      <c r="G597" s="10" t="s">
        <v>2199</v>
      </c>
      <c r="H597" s="10" t="s">
        <v>2146</v>
      </c>
      <c r="I597" s="11" t="s">
        <v>2224</v>
      </c>
      <c r="J597" s="11" t="s">
        <v>2225</v>
      </c>
      <c r="K597" s="12" t="s">
        <v>17</v>
      </c>
      <c r="L597" s="10" t="s">
        <v>5</v>
      </c>
      <c r="M597" s="10" t="s">
        <v>15</v>
      </c>
      <c r="N597" s="2" t="s">
        <v>17</v>
      </c>
      <c r="O597" s="2" t="s">
        <v>17</v>
      </c>
      <c r="P597" s="2" t="s">
        <v>17</v>
      </c>
      <c r="S597" s="13"/>
    </row>
    <row r="598" spans="1:19" x14ac:dyDescent="0.2">
      <c r="A598" s="2">
        <v>595</v>
      </c>
      <c r="B598" s="8">
        <v>350619027</v>
      </c>
      <c r="C598" s="8" t="s">
        <v>2226</v>
      </c>
      <c r="D598" s="8" t="s">
        <v>17</v>
      </c>
      <c r="E598" s="9" t="s">
        <v>2016</v>
      </c>
      <c r="F598" s="10" t="s">
        <v>1982</v>
      </c>
      <c r="G598" s="10" t="s">
        <v>2227</v>
      </c>
      <c r="H598" s="10" t="s">
        <v>2140</v>
      </c>
      <c r="I598" s="11" t="s">
        <v>2228</v>
      </c>
      <c r="J598" s="11" t="s">
        <v>2229</v>
      </c>
      <c r="K598" s="12" t="s">
        <v>17</v>
      </c>
      <c r="L598" s="10" t="s">
        <v>5</v>
      </c>
      <c r="M598" s="10" t="s">
        <v>15</v>
      </c>
      <c r="N598" s="2" t="s">
        <v>17</v>
      </c>
      <c r="O598" s="2" t="s">
        <v>17</v>
      </c>
      <c r="P598" s="2" t="s">
        <v>17</v>
      </c>
      <c r="S598" s="13"/>
    </row>
    <row r="599" spans="1:19" x14ac:dyDescent="0.2">
      <c r="A599" s="2">
        <v>596</v>
      </c>
      <c r="B599" s="8">
        <v>350619028</v>
      </c>
      <c r="C599" s="8" t="s">
        <v>2230</v>
      </c>
      <c r="D599" s="8" t="s">
        <v>17</v>
      </c>
      <c r="E599" s="9" t="s">
        <v>2016</v>
      </c>
      <c r="F599" s="10" t="s">
        <v>1218</v>
      </c>
      <c r="G599" s="10" t="s">
        <v>2231</v>
      </c>
      <c r="H599" s="10" t="s">
        <v>2146</v>
      </c>
      <c r="I599" s="11" t="s">
        <v>2232</v>
      </c>
      <c r="J599" s="11" t="s">
        <v>2233</v>
      </c>
      <c r="K599" s="12" t="s">
        <v>17</v>
      </c>
      <c r="L599" s="10" t="s">
        <v>5</v>
      </c>
      <c r="M599" s="10" t="s">
        <v>15</v>
      </c>
      <c r="N599" s="2" t="s">
        <v>17</v>
      </c>
      <c r="O599" s="2" t="s">
        <v>17</v>
      </c>
      <c r="P599" s="2" t="s">
        <v>17</v>
      </c>
      <c r="S599" s="13"/>
    </row>
    <row r="600" spans="1:19" x14ac:dyDescent="0.2">
      <c r="A600" s="2">
        <v>597</v>
      </c>
      <c r="B600" s="8">
        <v>350619029</v>
      </c>
      <c r="C600" s="8" t="s">
        <v>2234</v>
      </c>
      <c r="D600" s="8" t="s">
        <v>17</v>
      </c>
      <c r="E600" s="9" t="s">
        <v>2016</v>
      </c>
      <c r="F600" s="10" t="s">
        <v>2234</v>
      </c>
      <c r="G600" s="10" t="s">
        <v>2231</v>
      </c>
      <c r="H600" s="10" t="s">
        <v>2146</v>
      </c>
      <c r="I600" s="11" t="s">
        <v>2235</v>
      </c>
      <c r="J600" s="11" t="s">
        <v>2236</v>
      </c>
      <c r="K600" s="12" t="s">
        <v>17</v>
      </c>
      <c r="L600" s="10" t="s">
        <v>5</v>
      </c>
      <c r="M600" s="10" t="s">
        <v>15</v>
      </c>
      <c r="N600" s="2" t="s">
        <v>17</v>
      </c>
      <c r="O600" s="2" t="s">
        <v>17</v>
      </c>
      <c r="P600" s="2" t="s">
        <v>17</v>
      </c>
      <c r="S600" s="13"/>
    </row>
    <row r="601" spans="1:19" x14ac:dyDescent="0.2">
      <c r="A601" s="2">
        <v>598</v>
      </c>
      <c r="B601" s="8">
        <v>350619030</v>
      </c>
      <c r="C601" s="8" t="s">
        <v>596</v>
      </c>
      <c r="D601" s="8" t="s">
        <v>17</v>
      </c>
      <c r="E601" s="9" t="s">
        <v>2016</v>
      </c>
      <c r="F601" s="10" t="s">
        <v>596</v>
      </c>
      <c r="G601" s="10" t="s">
        <v>2139</v>
      </c>
      <c r="H601" s="10" t="s">
        <v>2140</v>
      </c>
      <c r="I601" s="11" t="s">
        <v>2237</v>
      </c>
      <c r="J601" s="11" t="s">
        <v>2238</v>
      </c>
      <c r="K601" s="12" t="s">
        <v>17</v>
      </c>
      <c r="L601" s="10" t="s">
        <v>5</v>
      </c>
      <c r="M601" s="10" t="s">
        <v>15</v>
      </c>
      <c r="N601" s="2" t="s">
        <v>17</v>
      </c>
      <c r="O601" s="2" t="s">
        <v>17</v>
      </c>
      <c r="P601" s="2" t="s">
        <v>17</v>
      </c>
      <c r="S601" s="13"/>
    </row>
    <row r="602" spans="1:19" x14ac:dyDescent="0.2">
      <c r="A602" s="2">
        <v>599</v>
      </c>
      <c r="B602" s="8">
        <v>350619031</v>
      </c>
      <c r="C602" s="8" t="s">
        <v>2239</v>
      </c>
      <c r="D602" s="8" t="s">
        <v>17</v>
      </c>
      <c r="E602" s="9" t="s">
        <v>2016</v>
      </c>
      <c r="F602" s="10" t="s">
        <v>2240</v>
      </c>
      <c r="G602" s="10" t="s">
        <v>2231</v>
      </c>
      <c r="H602" s="10" t="s">
        <v>2146</v>
      </c>
      <c r="I602" s="11" t="s">
        <v>2241</v>
      </c>
      <c r="J602" s="11" t="s">
        <v>2242</v>
      </c>
      <c r="K602" s="12" t="s">
        <v>17</v>
      </c>
      <c r="L602" s="10" t="s">
        <v>5</v>
      </c>
      <c r="M602" s="10" t="s">
        <v>15</v>
      </c>
      <c r="N602" s="2" t="s">
        <v>17</v>
      </c>
      <c r="O602" s="2" t="s">
        <v>17</v>
      </c>
      <c r="P602" s="2" t="s">
        <v>17</v>
      </c>
      <c r="S602" s="13"/>
    </row>
    <row r="603" spans="1:19" x14ac:dyDescent="0.2">
      <c r="A603" s="2">
        <v>600</v>
      </c>
      <c r="B603" s="8">
        <v>350619032</v>
      </c>
      <c r="C603" s="8" t="s">
        <v>2243</v>
      </c>
      <c r="D603" s="8" t="s">
        <v>17</v>
      </c>
      <c r="E603" s="9" t="s">
        <v>2016</v>
      </c>
      <c r="F603" s="10" t="s">
        <v>1964</v>
      </c>
      <c r="G603" s="10" t="s">
        <v>2244</v>
      </c>
      <c r="H603" s="10" t="s">
        <v>2146</v>
      </c>
      <c r="I603" s="11" t="s">
        <v>2245</v>
      </c>
      <c r="J603" s="11" t="s">
        <v>2246</v>
      </c>
      <c r="K603" s="12" t="s">
        <v>17</v>
      </c>
      <c r="L603" s="10" t="s">
        <v>5</v>
      </c>
      <c r="M603" s="10" t="s">
        <v>15</v>
      </c>
      <c r="N603" s="2" t="s">
        <v>17</v>
      </c>
      <c r="O603" s="2" t="s">
        <v>17</v>
      </c>
      <c r="P603" s="2" t="s">
        <v>17</v>
      </c>
      <c r="S603" s="13"/>
    </row>
    <row r="604" spans="1:19" x14ac:dyDescent="0.2">
      <c r="A604" s="2">
        <v>601</v>
      </c>
      <c r="B604" s="8">
        <v>350619033</v>
      </c>
      <c r="C604" s="8" t="s">
        <v>2247</v>
      </c>
      <c r="D604" s="8" t="s">
        <v>17</v>
      </c>
      <c r="E604" s="9" t="s">
        <v>2016</v>
      </c>
      <c r="F604" s="10" t="s">
        <v>2247</v>
      </c>
      <c r="G604" s="10" t="s">
        <v>2231</v>
      </c>
      <c r="H604" s="10" t="s">
        <v>2146</v>
      </c>
      <c r="I604" s="11" t="s">
        <v>2248</v>
      </c>
      <c r="J604" s="11" t="s">
        <v>2249</v>
      </c>
      <c r="K604" s="12" t="s">
        <v>17</v>
      </c>
      <c r="L604" s="10" t="s">
        <v>5</v>
      </c>
      <c r="M604" s="10" t="s">
        <v>15</v>
      </c>
      <c r="N604" s="2" t="s">
        <v>17</v>
      </c>
      <c r="O604" s="2" t="s">
        <v>17</v>
      </c>
      <c r="P604" s="2" t="s">
        <v>17</v>
      </c>
      <c r="S604" s="13"/>
    </row>
    <row r="605" spans="1:19" x14ac:dyDescent="0.2">
      <c r="A605" s="2">
        <v>602</v>
      </c>
      <c r="B605" s="8">
        <v>350619034</v>
      </c>
      <c r="C605" s="8" t="s">
        <v>2244</v>
      </c>
      <c r="D605" s="8" t="s">
        <v>17</v>
      </c>
      <c r="E605" s="9" t="s">
        <v>2016</v>
      </c>
      <c r="F605" s="10" t="s">
        <v>2244</v>
      </c>
      <c r="G605" s="10" t="s">
        <v>2244</v>
      </c>
      <c r="H605" s="10" t="s">
        <v>2146</v>
      </c>
      <c r="I605" s="11" t="s">
        <v>2250</v>
      </c>
      <c r="J605" s="11" t="s">
        <v>2251</v>
      </c>
      <c r="K605" s="12" t="s">
        <v>17</v>
      </c>
      <c r="L605" s="10" t="s">
        <v>5</v>
      </c>
      <c r="M605" s="10" t="s">
        <v>15</v>
      </c>
      <c r="N605" s="2" t="s">
        <v>17</v>
      </c>
      <c r="O605" s="2" t="s">
        <v>17</v>
      </c>
      <c r="P605" s="2" t="s">
        <v>17</v>
      </c>
      <c r="S605" s="13"/>
    </row>
    <row r="606" spans="1:19" x14ac:dyDescent="0.2">
      <c r="A606" s="2">
        <v>603</v>
      </c>
      <c r="B606" s="8">
        <v>350619035</v>
      </c>
      <c r="C606" s="8" t="s">
        <v>2252</v>
      </c>
      <c r="D606" s="8" t="s">
        <v>17</v>
      </c>
      <c r="E606" s="9" t="s">
        <v>2016</v>
      </c>
      <c r="F606" s="10" t="s">
        <v>2253</v>
      </c>
      <c r="G606" s="10" t="s">
        <v>1892</v>
      </c>
      <c r="H606" s="10" t="s">
        <v>2146</v>
      </c>
      <c r="I606" s="11" t="s">
        <v>2254</v>
      </c>
      <c r="J606" s="11" t="s">
        <v>2255</v>
      </c>
      <c r="K606" s="12" t="s">
        <v>17</v>
      </c>
      <c r="L606" s="10" t="s">
        <v>5</v>
      </c>
      <c r="M606" s="10" t="s">
        <v>15</v>
      </c>
      <c r="N606" s="2" t="s">
        <v>17</v>
      </c>
      <c r="O606" s="2" t="s">
        <v>17</v>
      </c>
      <c r="P606" s="2" t="s">
        <v>17</v>
      </c>
      <c r="S606" s="13"/>
    </row>
    <row r="607" spans="1:19" x14ac:dyDescent="0.2">
      <c r="A607" s="2">
        <v>604</v>
      </c>
      <c r="B607" s="8">
        <v>350619036</v>
      </c>
      <c r="C607" s="8" t="s">
        <v>2256</v>
      </c>
      <c r="D607" s="8" t="s">
        <v>17</v>
      </c>
      <c r="E607" s="9" t="s">
        <v>2016</v>
      </c>
      <c r="F607" s="10" t="s">
        <v>2256</v>
      </c>
      <c r="G607" s="10" t="s">
        <v>2220</v>
      </c>
      <c r="H607" s="10" t="s">
        <v>2146</v>
      </c>
      <c r="I607" s="11" t="s">
        <v>2257</v>
      </c>
      <c r="J607" s="11" t="s">
        <v>2258</v>
      </c>
      <c r="K607" s="12" t="s">
        <v>17</v>
      </c>
      <c r="L607" s="10" t="s">
        <v>5</v>
      </c>
      <c r="M607" s="10" t="s">
        <v>15</v>
      </c>
      <c r="N607" s="2" t="s">
        <v>17</v>
      </c>
      <c r="O607" s="2" t="s">
        <v>17</v>
      </c>
      <c r="P607" s="2" t="s">
        <v>17</v>
      </c>
      <c r="S607" s="13"/>
    </row>
    <row r="608" spans="1:19" x14ac:dyDescent="0.2">
      <c r="A608" s="2">
        <v>605</v>
      </c>
      <c r="B608" s="8">
        <v>350620001</v>
      </c>
      <c r="C608" s="8" t="s">
        <v>2259</v>
      </c>
      <c r="D608" s="8" t="s">
        <v>17</v>
      </c>
      <c r="E608" s="9" t="s">
        <v>2016</v>
      </c>
      <c r="F608" s="10" t="s">
        <v>2260</v>
      </c>
      <c r="G608" s="10" t="s">
        <v>2261</v>
      </c>
      <c r="H608" s="10" t="s">
        <v>2262</v>
      </c>
      <c r="I608" s="11" t="s">
        <v>2263</v>
      </c>
      <c r="J608" s="11" t="s">
        <v>2264</v>
      </c>
      <c r="K608" s="12" t="s">
        <v>17</v>
      </c>
      <c r="L608" s="10" t="s">
        <v>5</v>
      </c>
      <c r="M608" s="10" t="s">
        <v>15</v>
      </c>
      <c r="N608" s="2" t="s">
        <v>17</v>
      </c>
      <c r="O608" s="2" t="s">
        <v>17</v>
      </c>
      <c r="P608" s="2" t="s">
        <v>17</v>
      </c>
      <c r="S608" s="13"/>
    </row>
    <row r="609" spans="1:19" x14ac:dyDescent="0.2">
      <c r="A609" s="2">
        <v>606</v>
      </c>
      <c r="B609" s="8">
        <v>350620002</v>
      </c>
      <c r="C609" s="8" t="s">
        <v>2265</v>
      </c>
      <c r="D609" s="8" t="s">
        <v>17</v>
      </c>
      <c r="E609" s="9" t="s">
        <v>2016</v>
      </c>
      <c r="F609" s="10" t="s">
        <v>2265</v>
      </c>
      <c r="G609" s="10" t="s">
        <v>2139</v>
      </c>
      <c r="H609" s="10" t="s">
        <v>2262</v>
      </c>
      <c r="I609" s="11" t="s">
        <v>2266</v>
      </c>
      <c r="J609" s="11" t="s">
        <v>2267</v>
      </c>
      <c r="K609" s="12" t="s">
        <v>17</v>
      </c>
      <c r="L609" s="10" t="s">
        <v>5</v>
      </c>
      <c r="M609" s="10" t="s">
        <v>15</v>
      </c>
      <c r="N609" s="2" t="s">
        <v>17</v>
      </c>
      <c r="O609" s="2" t="s">
        <v>17</v>
      </c>
      <c r="P609" s="2" t="s">
        <v>17</v>
      </c>
      <c r="S609" s="13"/>
    </row>
    <row r="610" spans="1:19" x14ac:dyDescent="0.2">
      <c r="A610" s="2">
        <v>607</v>
      </c>
      <c r="B610" s="8">
        <v>350620003</v>
      </c>
      <c r="C610" s="8" t="s">
        <v>2268</v>
      </c>
      <c r="D610" s="8" t="s">
        <v>17</v>
      </c>
      <c r="E610" s="9" t="s">
        <v>2016</v>
      </c>
      <c r="F610" s="10" t="s">
        <v>2268</v>
      </c>
      <c r="G610" s="10" t="s">
        <v>1625</v>
      </c>
      <c r="H610" s="10" t="s">
        <v>2262</v>
      </c>
      <c r="I610" s="11" t="s">
        <v>2269</v>
      </c>
      <c r="J610" s="11" t="s">
        <v>2270</v>
      </c>
      <c r="K610" s="12" t="s">
        <v>17</v>
      </c>
      <c r="L610" s="10" t="s">
        <v>5</v>
      </c>
      <c r="M610" s="10" t="s">
        <v>15</v>
      </c>
      <c r="N610" s="2" t="s">
        <v>17</v>
      </c>
      <c r="O610" s="2" t="s">
        <v>17</v>
      </c>
      <c r="P610" s="2" t="s">
        <v>17</v>
      </c>
      <c r="S610" s="13"/>
    </row>
    <row r="611" spans="1:19" x14ac:dyDescent="0.2">
      <c r="A611" s="2">
        <v>608</v>
      </c>
      <c r="B611" s="8">
        <v>350620004</v>
      </c>
      <c r="C611" s="8" t="s">
        <v>2271</v>
      </c>
      <c r="D611" s="8" t="s">
        <v>17</v>
      </c>
      <c r="E611" s="9" t="s">
        <v>2016</v>
      </c>
      <c r="F611" s="10" t="s">
        <v>2272</v>
      </c>
      <c r="G611" s="10" t="s">
        <v>1625</v>
      </c>
      <c r="H611" s="10" t="s">
        <v>2262</v>
      </c>
      <c r="I611" s="11" t="s">
        <v>2273</v>
      </c>
      <c r="J611" s="11" t="s">
        <v>2274</v>
      </c>
      <c r="K611" s="12" t="s">
        <v>17</v>
      </c>
      <c r="L611" s="10" t="s">
        <v>5</v>
      </c>
      <c r="M611" s="10" t="s">
        <v>15</v>
      </c>
      <c r="N611" s="2" t="s">
        <v>17</v>
      </c>
      <c r="O611" s="2" t="s">
        <v>17</v>
      </c>
      <c r="P611" s="2" t="s">
        <v>17</v>
      </c>
      <c r="S611" s="13"/>
    </row>
    <row r="612" spans="1:19" x14ac:dyDescent="0.2">
      <c r="A612" s="2">
        <v>609</v>
      </c>
      <c r="B612" s="8">
        <v>350620005</v>
      </c>
      <c r="C612" s="8" t="s">
        <v>2275</v>
      </c>
      <c r="D612" s="8" t="s">
        <v>17</v>
      </c>
      <c r="E612" s="9" t="s">
        <v>2016</v>
      </c>
      <c r="F612" s="10" t="s">
        <v>2276</v>
      </c>
      <c r="G612" s="10" t="s">
        <v>1625</v>
      </c>
      <c r="H612" s="10" t="s">
        <v>2262</v>
      </c>
      <c r="I612" s="11" t="s">
        <v>2277</v>
      </c>
      <c r="J612" s="11" t="s">
        <v>2278</v>
      </c>
      <c r="K612" s="12" t="s">
        <v>17</v>
      </c>
      <c r="L612" s="10" t="s">
        <v>5</v>
      </c>
      <c r="M612" s="10" t="s">
        <v>15</v>
      </c>
      <c r="N612" s="2" t="s">
        <v>17</v>
      </c>
      <c r="O612" s="2" t="s">
        <v>17</v>
      </c>
      <c r="P612" s="2" t="s">
        <v>17</v>
      </c>
      <c r="S612" s="13"/>
    </row>
    <row r="613" spans="1:19" x14ac:dyDescent="0.2">
      <c r="A613" s="2">
        <v>610</v>
      </c>
      <c r="B613" s="8">
        <v>350620006</v>
      </c>
      <c r="C613" s="8" t="s">
        <v>2279</v>
      </c>
      <c r="D613" s="8" t="s">
        <v>17</v>
      </c>
      <c r="E613" s="9" t="s">
        <v>2016</v>
      </c>
      <c r="F613" s="10" t="s">
        <v>64</v>
      </c>
      <c r="G613" s="10" t="s">
        <v>2280</v>
      </c>
      <c r="H613" s="10" t="s">
        <v>2262</v>
      </c>
      <c r="I613" s="11" t="s">
        <v>2281</v>
      </c>
      <c r="J613" s="11" t="s">
        <v>2282</v>
      </c>
      <c r="K613" s="12" t="s">
        <v>17</v>
      </c>
      <c r="L613" s="10" t="s">
        <v>5</v>
      </c>
      <c r="M613" s="10" t="s">
        <v>15</v>
      </c>
      <c r="N613" s="2" t="s">
        <v>17</v>
      </c>
      <c r="O613" s="2" t="s">
        <v>17</v>
      </c>
      <c r="P613" s="2" t="s">
        <v>17</v>
      </c>
      <c r="S613" s="13"/>
    </row>
    <row r="614" spans="1:19" x14ac:dyDescent="0.2">
      <c r="A614" s="2">
        <v>611</v>
      </c>
      <c r="B614" s="8">
        <v>350620007</v>
      </c>
      <c r="C614" s="8" t="s">
        <v>2283</v>
      </c>
      <c r="D614" s="8" t="s">
        <v>17</v>
      </c>
      <c r="E614" s="9" t="s">
        <v>2016</v>
      </c>
      <c r="F614" s="10" t="s">
        <v>73</v>
      </c>
      <c r="G614" s="10" t="s">
        <v>73</v>
      </c>
      <c r="H614" s="10" t="s">
        <v>2262</v>
      </c>
      <c r="I614" s="11" t="s">
        <v>2284</v>
      </c>
      <c r="J614" s="11" t="s">
        <v>2285</v>
      </c>
      <c r="K614" s="12" t="s">
        <v>17</v>
      </c>
      <c r="L614" s="10" t="s">
        <v>5</v>
      </c>
      <c r="M614" s="10" t="s">
        <v>15</v>
      </c>
      <c r="N614" s="2" t="s">
        <v>17</v>
      </c>
      <c r="O614" s="2" t="s">
        <v>17</v>
      </c>
      <c r="P614" s="2" t="s">
        <v>17</v>
      </c>
      <c r="S614" s="13"/>
    </row>
    <row r="615" spans="1:19" x14ac:dyDescent="0.2">
      <c r="A615" s="2">
        <v>612</v>
      </c>
      <c r="B615" s="8">
        <v>350620008</v>
      </c>
      <c r="C615" s="8" t="s">
        <v>2286</v>
      </c>
      <c r="D615" s="8" t="s">
        <v>17</v>
      </c>
      <c r="E615" s="9" t="s">
        <v>2016</v>
      </c>
      <c r="F615" s="10" t="s">
        <v>1744</v>
      </c>
      <c r="G615" s="10" t="s">
        <v>73</v>
      </c>
      <c r="H615" s="10" t="s">
        <v>2262</v>
      </c>
      <c r="I615" s="11" t="s">
        <v>2287</v>
      </c>
      <c r="J615" s="11" t="s">
        <v>2288</v>
      </c>
      <c r="K615" s="12" t="s">
        <v>17</v>
      </c>
      <c r="L615" s="10" t="s">
        <v>5</v>
      </c>
      <c r="M615" s="10" t="s">
        <v>15</v>
      </c>
      <c r="N615" s="2" t="s">
        <v>17</v>
      </c>
      <c r="O615" s="2" t="s">
        <v>17</v>
      </c>
      <c r="P615" s="2" t="s">
        <v>17</v>
      </c>
      <c r="S615" s="13"/>
    </row>
    <row r="616" spans="1:19" x14ac:dyDescent="0.2">
      <c r="A616" s="2">
        <v>613</v>
      </c>
      <c r="B616" s="8">
        <v>350620009</v>
      </c>
      <c r="C616" s="8" t="s">
        <v>2289</v>
      </c>
      <c r="D616" s="8" t="s">
        <v>17</v>
      </c>
      <c r="E616" s="9" t="s">
        <v>2016</v>
      </c>
      <c r="F616" s="10" t="s">
        <v>2290</v>
      </c>
      <c r="G616" s="10" t="s">
        <v>2262</v>
      </c>
      <c r="H616" s="10" t="s">
        <v>2262</v>
      </c>
      <c r="I616" s="11" t="s">
        <v>2291</v>
      </c>
      <c r="J616" s="11" t="s">
        <v>2292</v>
      </c>
      <c r="K616" s="12" t="s">
        <v>17</v>
      </c>
      <c r="L616" s="10" t="s">
        <v>5</v>
      </c>
      <c r="M616" s="10" t="s">
        <v>15</v>
      </c>
      <c r="N616" s="2" t="s">
        <v>17</v>
      </c>
      <c r="O616" s="2" t="s">
        <v>17</v>
      </c>
      <c r="P616" s="2" t="s">
        <v>17</v>
      </c>
      <c r="S616" s="13"/>
    </row>
    <row r="617" spans="1:19" x14ac:dyDescent="0.2">
      <c r="A617" s="2">
        <v>614</v>
      </c>
      <c r="B617" s="8">
        <v>350620010</v>
      </c>
      <c r="C617" s="8" t="s">
        <v>2293</v>
      </c>
      <c r="D617" s="8" t="s">
        <v>17</v>
      </c>
      <c r="E617" s="9" t="s">
        <v>2016</v>
      </c>
      <c r="F617" s="10" t="s">
        <v>2293</v>
      </c>
      <c r="G617" s="10" t="s">
        <v>2294</v>
      </c>
      <c r="H617" s="10" t="s">
        <v>2262</v>
      </c>
      <c r="I617" s="11" t="s">
        <v>2295</v>
      </c>
      <c r="J617" s="11" t="s">
        <v>2296</v>
      </c>
      <c r="K617" s="12" t="s">
        <v>17</v>
      </c>
      <c r="L617" s="10" t="s">
        <v>5</v>
      </c>
      <c r="M617" s="10" t="s">
        <v>15</v>
      </c>
      <c r="N617" s="2" t="s">
        <v>17</v>
      </c>
      <c r="O617" s="2" t="s">
        <v>17</v>
      </c>
      <c r="P617" s="2" t="s">
        <v>17</v>
      </c>
      <c r="S617" s="13"/>
    </row>
    <row r="618" spans="1:19" x14ac:dyDescent="0.2">
      <c r="A618" s="2">
        <v>615</v>
      </c>
      <c r="B618" s="8">
        <v>350620011</v>
      </c>
      <c r="C618" s="8" t="s">
        <v>2297</v>
      </c>
      <c r="D618" s="8" t="s">
        <v>17</v>
      </c>
      <c r="E618" s="9" t="s">
        <v>2016</v>
      </c>
      <c r="F618" s="10" t="s">
        <v>2184</v>
      </c>
      <c r="G618" s="10" t="s">
        <v>2298</v>
      </c>
      <c r="H618" s="10" t="s">
        <v>2262</v>
      </c>
      <c r="I618" s="11" t="s">
        <v>2299</v>
      </c>
      <c r="J618" s="11" t="s">
        <v>2300</v>
      </c>
      <c r="K618" s="12" t="s">
        <v>17</v>
      </c>
      <c r="L618" s="10" t="s">
        <v>5</v>
      </c>
      <c r="M618" s="10" t="s">
        <v>15</v>
      </c>
      <c r="N618" s="2" t="s">
        <v>17</v>
      </c>
      <c r="O618" s="2" t="s">
        <v>17</v>
      </c>
      <c r="P618" s="2" t="s">
        <v>17</v>
      </c>
      <c r="S618" s="13"/>
    </row>
    <row r="619" spans="1:19" x14ac:dyDescent="0.2">
      <c r="A619" s="2">
        <v>616</v>
      </c>
      <c r="B619" s="8">
        <v>350620012</v>
      </c>
      <c r="C619" s="8" t="s">
        <v>2301</v>
      </c>
      <c r="D619" s="8" t="s">
        <v>17</v>
      </c>
      <c r="E619" s="9" t="s">
        <v>2016</v>
      </c>
      <c r="F619" s="10" t="s">
        <v>2301</v>
      </c>
      <c r="G619" s="10" t="s">
        <v>2298</v>
      </c>
      <c r="H619" s="10" t="s">
        <v>2262</v>
      </c>
      <c r="I619" s="11" t="s">
        <v>2302</v>
      </c>
      <c r="J619" s="11" t="s">
        <v>2303</v>
      </c>
      <c r="K619" s="12" t="s">
        <v>17</v>
      </c>
      <c r="L619" s="10" t="s">
        <v>5</v>
      </c>
      <c r="M619" s="10" t="s">
        <v>15</v>
      </c>
      <c r="N619" s="2" t="s">
        <v>17</v>
      </c>
      <c r="O619" s="2" t="s">
        <v>17</v>
      </c>
      <c r="P619" s="2" t="s">
        <v>17</v>
      </c>
      <c r="S619" s="13"/>
    </row>
    <row r="620" spans="1:19" x14ac:dyDescent="0.2">
      <c r="A620" s="2">
        <v>617</v>
      </c>
      <c r="B620" s="8">
        <v>350620013</v>
      </c>
      <c r="C620" s="8" t="s">
        <v>2304</v>
      </c>
      <c r="D620" s="8" t="s">
        <v>17</v>
      </c>
      <c r="E620" s="9" t="s">
        <v>2016</v>
      </c>
      <c r="F620" s="10" t="s">
        <v>1591</v>
      </c>
      <c r="G620" s="10" t="s">
        <v>2298</v>
      </c>
      <c r="H620" s="10" t="s">
        <v>2262</v>
      </c>
      <c r="I620" s="11" t="s">
        <v>2305</v>
      </c>
      <c r="J620" s="11" t="s">
        <v>2306</v>
      </c>
      <c r="K620" s="12" t="s">
        <v>17</v>
      </c>
      <c r="L620" s="10" t="s">
        <v>5</v>
      </c>
      <c r="M620" s="10" t="s">
        <v>15</v>
      </c>
      <c r="N620" s="2" t="s">
        <v>17</v>
      </c>
      <c r="O620" s="2" t="s">
        <v>17</v>
      </c>
      <c r="P620" s="2" t="s">
        <v>17</v>
      </c>
      <c r="S620" s="13"/>
    </row>
    <row r="621" spans="1:19" x14ac:dyDescent="0.2">
      <c r="A621" s="2">
        <v>618</v>
      </c>
      <c r="B621" s="8">
        <v>350620014</v>
      </c>
      <c r="C621" s="8" t="s">
        <v>1472</v>
      </c>
      <c r="D621" s="8" t="s">
        <v>17</v>
      </c>
      <c r="E621" s="9" t="s">
        <v>2016</v>
      </c>
      <c r="F621" s="10" t="s">
        <v>2307</v>
      </c>
      <c r="G621" s="10" t="s">
        <v>373</v>
      </c>
      <c r="H621" s="10" t="s">
        <v>2262</v>
      </c>
      <c r="I621" s="11" t="s">
        <v>2308</v>
      </c>
      <c r="J621" s="11" t="s">
        <v>2309</v>
      </c>
      <c r="K621" s="12" t="s">
        <v>17</v>
      </c>
      <c r="L621" s="10" t="s">
        <v>5</v>
      </c>
      <c r="M621" s="10" t="s">
        <v>15</v>
      </c>
      <c r="N621" s="2" t="s">
        <v>17</v>
      </c>
      <c r="O621" s="2" t="s">
        <v>17</v>
      </c>
      <c r="P621" s="2" t="s">
        <v>17</v>
      </c>
      <c r="S621" s="13"/>
    </row>
    <row r="622" spans="1:19" x14ac:dyDescent="0.2">
      <c r="A622" s="2">
        <v>619</v>
      </c>
      <c r="B622" s="8">
        <v>350620015</v>
      </c>
      <c r="C622" s="8" t="s">
        <v>2310</v>
      </c>
      <c r="D622" s="8" t="s">
        <v>17</v>
      </c>
      <c r="E622" s="9" t="s">
        <v>2016</v>
      </c>
      <c r="F622" s="10" t="s">
        <v>2149</v>
      </c>
      <c r="G622" s="10" t="s">
        <v>2310</v>
      </c>
      <c r="H622" s="10" t="s">
        <v>2262</v>
      </c>
      <c r="I622" s="11" t="s">
        <v>2311</v>
      </c>
      <c r="J622" s="11" t="s">
        <v>2312</v>
      </c>
      <c r="K622" s="12" t="s">
        <v>17</v>
      </c>
      <c r="L622" s="10" t="s">
        <v>5</v>
      </c>
      <c r="M622" s="10" t="s">
        <v>15</v>
      </c>
      <c r="N622" s="2" t="s">
        <v>17</v>
      </c>
      <c r="O622" s="2" t="s">
        <v>17</v>
      </c>
      <c r="P622" s="2" t="s">
        <v>17</v>
      </c>
      <c r="S622" s="13"/>
    </row>
    <row r="623" spans="1:19" x14ac:dyDescent="0.2">
      <c r="A623" s="2">
        <v>620</v>
      </c>
      <c r="B623" s="8">
        <v>350620016</v>
      </c>
      <c r="C623" s="8" t="s">
        <v>2313</v>
      </c>
      <c r="D623" s="8" t="s">
        <v>17</v>
      </c>
      <c r="E623" s="9" t="s">
        <v>2016</v>
      </c>
      <c r="F623" s="10" t="s">
        <v>2314</v>
      </c>
      <c r="G623" s="10" t="s">
        <v>2310</v>
      </c>
      <c r="H623" s="10" t="s">
        <v>2262</v>
      </c>
      <c r="I623" s="11" t="s">
        <v>2315</v>
      </c>
      <c r="J623" s="11" t="s">
        <v>2316</v>
      </c>
      <c r="K623" s="12" t="s">
        <v>17</v>
      </c>
      <c r="L623" s="10" t="s">
        <v>5</v>
      </c>
      <c r="M623" s="10" t="s">
        <v>15</v>
      </c>
      <c r="N623" s="2" t="s">
        <v>17</v>
      </c>
      <c r="O623" s="2" t="s">
        <v>17</v>
      </c>
      <c r="P623" s="2" t="s">
        <v>17</v>
      </c>
      <c r="S623" s="13"/>
    </row>
    <row r="624" spans="1:19" x14ac:dyDescent="0.2">
      <c r="A624" s="2">
        <v>621</v>
      </c>
      <c r="B624" s="8">
        <v>350620017</v>
      </c>
      <c r="C624" s="8" t="s">
        <v>2317</v>
      </c>
      <c r="D624" s="8" t="s">
        <v>17</v>
      </c>
      <c r="E624" s="9" t="s">
        <v>2016</v>
      </c>
      <c r="F624" s="10" t="s">
        <v>2317</v>
      </c>
      <c r="G624" s="10" t="s">
        <v>2317</v>
      </c>
      <c r="H624" s="10" t="s">
        <v>2262</v>
      </c>
      <c r="I624" s="11" t="s">
        <v>2318</v>
      </c>
      <c r="J624" s="11" t="s">
        <v>2319</v>
      </c>
      <c r="K624" s="12" t="s">
        <v>17</v>
      </c>
      <c r="L624" s="10" t="s">
        <v>5</v>
      </c>
      <c r="M624" s="10" t="s">
        <v>15</v>
      </c>
      <c r="N624" s="2" t="s">
        <v>17</v>
      </c>
      <c r="O624" s="2" t="s">
        <v>17</v>
      </c>
      <c r="P624" s="2" t="s">
        <v>17</v>
      </c>
      <c r="S624" s="13"/>
    </row>
    <row r="625" spans="1:19" x14ac:dyDescent="0.2">
      <c r="A625" s="2">
        <v>622</v>
      </c>
      <c r="B625" s="8">
        <v>350620018</v>
      </c>
      <c r="C625" s="8" t="s">
        <v>2320</v>
      </c>
      <c r="D625" s="8" t="s">
        <v>17</v>
      </c>
      <c r="E625" s="9" t="s">
        <v>2016</v>
      </c>
      <c r="F625" s="10" t="s">
        <v>2320</v>
      </c>
      <c r="G625" s="10" t="s">
        <v>2320</v>
      </c>
      <c r="H625" s="10" t="s">
        <v>2262</v>
      </c>
      <c r="I625" s="11" t="s">
        <v>2321</v>
      </c>
      <c r="J625" s="11" t="s">
        <v>2322</v>
      </c>
      <c r="K625" s="12" t="s">
        <v>17</v>
      </c>
      <c r="L625" s="10" t="s">
        <v>5</v>
      </c>
      <c r="M625" s="10" t="s">
        <v>15</v>
      </c>
      <c r="N625" s="2" t="s">
        <v>17</v>
      </c>
      <c r="O625" s="2" t="s">
        <v>17</v>
      </c>
      <c r="P625" s="2" t="s">
        <v>17</v>
      </c>
      <c r="S625" s="13"/>
    </row>
    <row r="626" spans="1:19" x14ac:dyDescent="0.2">
      <c r="A626" s="2">
        <v>623</v>
      </c>
      <c r="B626" s="8">
        <v>350620019</v>
      </c>
      <c r="C626" s="8" t="s">
        <v>2323</v>
      </c>
      <c r="D626" s="8" t="s">
        <v>17</v>
      </c>
      <c r="E626" s="9" t="s">
        <v>2016</v>
      </c>
      <c r="F626" s="10" t="s">
        <v>2323</v>
      </c>
      <c r="G626" s="10" t="s">
        <v>2323</v>
      </c>
      <c r="H626" s="10" t="s">
        <v>2262</v>
      </c>
      <c r="I626" s="11" t="s">
        <v>2324</v>
      </c>
      <c r="J626" s="11" t="s">
        <v>2325</v>
      </c>
      <c r="K626" s="12" t="s">
        <v>17</v>
      </c>
      <c r="L626" s="10" t="s">
        <v>5</v>
      </c>
      <c r="M626" s="10" t="s">
        <v>15</v>
      </c>
      <c r="N626" s="2" t="s">
        <v>17</v>
      </c>
      <c r="O626" s="2" t="s">
        <v>17</v>
      </c>
      <c r="P626" s="2" t="s">
        <v>17</v>
      </c>
      <c r="S626" s="13"/>
    </row>
    <row r="627" spans="1:19" x14ac:dyDescent="0.2">
      <c r="A627" s="2">
        <v>624</v>
      </c>
      <c r="B627" s="8">
        <v>350620020</v>
      </c>
      <c r="C627" s="8" t="s">
        <v>2326</v>
      </c>
      <c r="D627" s="8" t="s">
        <v>17</v>
      </c>
      <c r="E627" s="9" t="s">
        <v>2016</v>
      </c>
      <c r="F627" s="10" t="s">
        <v>1647</v>
      </c>
      <c r="G627" s="10" t="s">
        <v>2139</v>
      </c>
      <c r="H627" s="10" t="s">
        <v>2262</v>
      </c>
      <c r="I627" s="11" t="s">
        <v>2327</v>
      </c>
      <c r="J627" s="11" t="s">
        <v>2328</v>
      </c>
      <c r="K627" s="12" t="s">
        <v>17</v>
      </c>
      <c r="L627" s="10" t="s">
        <v>5</v>
      </c>
      <c r="M627" s="10" t="s">
        <v>15</v>
      </c>
      <c r="N627" s="2" t="s">
        <v>17</v>
      </c>
      <c r="O627" s="2" t="s">
        <v>17</v>
      </c>
      <c r="P627" s="2" t="s">
        <v>17</v>
      </c>
      <c r="S627" s="13"/>
    </row>
    <row r="628" spans="1:19" x14ac:dyDescent="0.2">
      <c r="A628" s="2">
        <v>625</v>
      </c>
      <c r="B628" s="8">
        <v>350621001</v>
      </c>
      <c r="C628" s="8" t="s">
        <v>2329</v>
      </c>
      <c r="D628" s="8" t="s">
        <v>17</v>
      </c>
      <c r="E628" s="9" t="s">
        <v>2016</v>
      </c>
      <c r="F628" s="10" t="s">
        <v>1296</v>
      </c>
      <c r="G628" s="10" t="s">
        <v>2329</v>
      </c>
      <c r="H628" s="10" t="s">
        <v>2330</v>
      </c>
      <c r="I628" s="11" t="s">
        <v>2331</v>
      </c>
      <c r="J628" s="11" t="s">
        <v>2332</v>
      </c>
      <c r="K628" s="12" t="s">
        <v>17</v>
      </c>
      <c r="L628" s="10" t="s">
        <v>5</v>
      </c>
      <c r="M628" s="10" t="s">
        <v>15</v>
      </c>
      <c r="N628" s="2" t="s">
        <v>17</v>
      </c>
      <c r="O628" s="2" t="s">
        <v>17</v>
      </c>
      <c r="P628" s="2" t="s">
        <v>17</v>
      </c>
      <c r="S628" s="13"/>
    </row>
    <row r="629" spans="1:19" x14ac:dyDescent="0.2">
      <c r="A629" s="2">
        <v>626</v>
      </c>
      <c r="B629" s="8">
        <v>350621002</v>
      </c>
      <c r="C629" s="8" t="s">
        <v>2333</v>
      </c>
      <c r="D629" s="8" t="s">
        <v>17</v>
      </c>
      <c r="E629" s="9" t="s">
        <v>2016</v>
      </c>
      <c r="F629" s="10" t="s">
        <v>44</v>
      </c>
      <c r="G629" s="10" t="s">
        <v>2330</v>
      </c>
      <c r="H629" s="10" t="s">
        <v>2330</v>
      </c>
      <c r="I629" s="11" t="s">
        <v>2334</v>
      </c>
      <c r="J629" s="11" t="s">
        <v>2335</v>
      </c>
      <c r="K629" s="12" t="s">
        <v>17</v>
      </c>
      <c r="L629" s="10" t="s">
        <v>5</v>
      </c>
      <c r="M629" s="10" t="s">
        <v>15</v>
      </c>
      <c r="N629" s="2" t="s">
        <v>17</v>
      </c>
      <c r="O629" s="2" t="s">
        <v>17</v>
      </c>
      <c r="P629" s="2" t="s">
        <v>17</v>
      </c>
      <c r="S629" s="13"/>
    </row>
    <row r="630" spans="1:19" x14ac:dyDescent="0.2">
      <c r="A630" s="2">
        <v>627</v>
      </c>
      <c r="B630" s="8">
        <v>350621003</v>
      </c>
      <c r="C630" s="8" t="s">
        <v>2336</v>
      </c>
      <c r="D630" s="8" t="s">
        <v>17</v>
      </c>
      <c r="E630" s="9" t="s">
        <v>2016</v>
      </c>
      <c r="F630" s="10" t="s">
        <v>2336</v>
      </c>
      <c r="G630" s="10" t="s">
        <v>2336</v>
      </c>
      <c r="H630" s="10" t="s">
        <v>2330</v>
      </c>
      <c r="I630" s="11" t="s">
        <v>2337</v>
      </c>
      <c r="J630" s="11" t="s">
        <v>2338</v>
      </c>
      <c r="K630" s="12" t="s">
        <v>17</v>
      </c>
      <c r="L630" s="10" t="s">
        <v>5</v>
      </c>
      <c r="M630" s="10" t="s">
        <v>15</v>
      </c>
      <c r="N630" s="2" t="s">
        <v>17</v>
      </c>
      <c r="O630" s="2" t="s">
        <v>17</v>
      </c>
      <c r="P630" s="2" t="s">
        <v>17</v>
      </c>
      <c r="S630" s="13"/>
    </row>
    <row r="631" spans="1:19" x14ac:dyDescent="0.2">
      <c r="A631" s="2">
        <v>628</v>
      </c>
      <c r="B631" s="8">
        <v>350621004</v>
      </c>
      <c r="C631" s="8" t="s">
        <v>2339</v>
      </c>
      <c r="D631" s="8" t="s">
        <v>17</v>
      </c>
      <c r="E631" s="9" t="s">
        <v>2016</v>
      </c>
      <c r="F631" s="10" t="s">
        <v>2340</v>
      </c>
      <c r="G631" s="10" t="s">
        <v>2340</v>
      </c>
      <c r="H631" s="10" t="s">
        <v>2330</v>
      </c>
      <c r="I631" s="11" t="s">
        <v>2341</v>
      </c>
      <c r="J631" s="11" t="s">
        <v>2342</v>
      </c>
      <c r="K631" s="12" t="s">
        <v>17</v>
      </c>
      <c r="L631" s="10" t="s">
        <v>5</v>
      </c>
      <c r="M631" s="10" t="s">
        <v>15</v>
      </c>
      <c r="N631" s="2" t="s">
        <v>17</v>
      </c>
      <c r="O631" s="2" t="s">
        <v>17</v>
      </c>
      <c r="P631" s="2" t="s">
        <v>17</v>
      </c>
      <c r="S631" s="13"/>
    </row>
    <row r="632" spans="1:19" x14ac:dyDescent="0.2">
      <c r="A632" s="2">
        <v>629</v>
      </c>
      <c r="B632" s="8">
        <v>350621005</v>
      </c>
      <c r="C632" s="8" t="s">
        <v>2343</v>
      </c>
      <c r="D632" s="8" t="s">
        <v>17</v>
      </c>
      <c r="E632" s="9" t="s">
        <v>2016</v>
      </c>
      <c r="F632" s="10" t="s">
        <v>1866</v>
      </c>
      <c r="G632" s="10" t="s">
        <v>2344</v>
      </c>
      <c r="H632" s="10" t="s">
        <v>2330</v>
      </c>
      <c r="I632" s="11" t="s">
        <v>2345</v>
      </c>
      <c r="J632" s="11" t="s">
        <v>2346</v>
      </c>
      <c r="K632" s="12" t="s">
        <v>17</v>
      </c>
      <c r="L632" s="10" t="s">
        <v>5</v>
      </c>
      <c r="M632" s="10" t="s">
        <v>15</v>
      </c>
      <c r="N632" s="2" t="s">
        <v>17</v>
      </c>
      <c r="O632" s="2" t="s">
        <v>17</v>
      </c>
      <c r="P632" s="2" t="s">
        <v>17</v>
      </c>
      <c r="S632" s="13"/>
    </row>
    <row r="633" spans="1:19" x14ac:dyDescent="0.2">
      <c r="A633" s="2">
        <v>630</v>
      </c>
      <c r="B633" s="8">
        <v>350621006</v>
      </c>
      <c r="C633" s="8" t="s">
        <v>2347</v>
      </c>
      <c r="D633" s="8" t="s">
        <v>17</v>
      </c>
      <c r="E633" s="9" t="s">
        <v>2016</v>
      </c>
      <c r="F633" s="10" t="s">
        <v>2348</v>
      </c>
      <c r="G633" s="10" t="s">
        <v>2348</v>
      </c>
      <c r="H633" s="10" t="s">
        <v>2330</v>
      </c>
      <c r="I633" s="11" t="s">
        <v>2349</v>
      </c>
      <c r="J633" s="11" t="s">
        <v>2350</v>
      </c>
      <c r="K633" s="12" t="s">
        <v>17</v>
      </c>
      <c r="L633" s="10" t="s">
        <v>5</v>
      </c>
      <c r="M633" s="10" t="s">
        <v>15</v>
      </c>
      <c r="N633" s="2" t="s">
        <v>17</v>
      </c>
      <c r="O633" s="2" t="s">
        <v>17</v>
      </c>
      <c r="P633" s="2" t="s">
        <v>17</v>
      </c>
      <c r="S633" s="13"/>
    </row>
    <row r="634" spans="1:19" x14ac:dyDescent="0.2">
      <c r="A634" s="2">
        <v>631</v>
      </c>
      <c r="B634" s="8">
        <v>350621007</v>
      </c>
      <c r="C634" s="8" t="s">
        <v>2351</v>
      </c>
      <c r="D634" s="8" t="s">
        <v>17</v>
      </c>
      <c r="E634" s="9" t="s">
        <v>2016</v>
      </c>
      <c r="F634" s="10" t="s">
        <v>2351</v>
      </c>
      <c r="G634" s="10" t="s">
        <v>2351</v>
      </c>
      <c r="H634" s="10" t="s">
        <v>2330</v>
      </c>
      <c r="I634" s="11" t="s">
        <v>2352</v>
      </c>
      <c r="J634" s="11" t="s">
        <v>2353</v>
      </c>
      <c r="K634" s="12" t="s">
        <v>17</v>
      </c>
      <c r="L634" s="10" t="s">
        <v>5</v>
      </c>
      <c r="M634" s="10" t="s">
        <v>15</v>
      </c>
      <c r="N634" s="2" t="s">
        <v>17</v>
      </c>
      <c r="O634" s="2" t="s">
        <v>17</v>
      </c>
      <c r="P634" s="2" t="s">
        <v>17</v>
      </c>
      <c r="S634" s="13"/>
    </row>
    <row r="635" spans="1:19" x14ac:dyDescent="0.2">
      <c r="A635" s="2">
        <v>632</v>
      </c>
      <c r="B635" s="8">
        <v>350621008</v>
      </c>
      <c r="C635" s="8" t="s">
        <v>2354</v>
      </c>
      <c r="D635" s="8" t="s">
        <v>17</v>
      </c>
      <c r="E635" s="9" t="s">
        <v>2016</v>
      </c>
      <c r="F635" s="10" t="s">
        <v>2354</v>
      </c>
      <c r="G635" s="10" t="s">
        <v>2354</v>
      </c>
      <c r="H635" s="10" t="s">
        <v>2330</v>
      </c>
      <c r="I635" s="11" t="s">
        <v>2355</v>
      </c>
      <c r="J635" s="11" t="s">
        <v>2356</v>
      </c>
      <c r="K635" s="12" t="s">
        <v>17</v>
      </c>
      <c r="L635" s="10" t="s">
        <v>5</v>
      </c>
      <c r="M635" s="10" t="s">
        <v>15</v>
      </c>
      <c r="N635" s="2" t="s">
        <v>17</v>
      </c>
      <c r="O635" s="2" t="s">
        <v>17</v>
      </c>
      <c r="P635" s="2" t="s">
        <v>17</v>
      </c>
      <c r="S635" s="13"/>
    </row>
    <row r="636" spans="1:19" x14ac:dyDescent="0.2">
      <c r="A636" s="2">
        <v>633</v>
      </c>
      <c r="B636" s="8">
        <v>350621009</v>
      </c>
      <c r="C636" s="8" t="s">
        <v>2357</v>
      </c>
      <c r="D636" s="8" t="s">
        <v>17</v>
      </c>
      <c r="E636" s="9" t="s">
        <v>2016</v>
      </c>
      <c r="F636" s="10" t="s">
        <v>2358</v>
      </c>
      <c r="G636" s="10" t="s">
        <v>2358</v>
      </c>
      <c r="H636" s="10" t="s">
        <v>2330</v>
      </c>
      <c r="I636" s="11" t="s">
        <v>2359</v>
      </c>
      <c r="J636" s="11" t="s">
        <v>2360</v>
      </c>
      <c r="K636" s="12" t="s">
        <v>17</v>
      </c>
      <c r="L636" s="10" t="s">
        <v>5</v>
      </c>
      <c r="M636" s="10" t="s">
        <v>15</v>
      </c>
      <c r="N636" s="2" t="s">
        <v>17</v>
      </c>
      <c r="O636" s="2" t="s">
        <v>17</v>
      </c>
      <c r="P636" s="2" t="s">
        <v>17</v>
      </c>
      <c r="S636" s="13"/>
    </row>
    <row r="637" spans="1:19" x14ac:dyDescent="0.2">
      <c r="A637" s="2">
        <v>634</v>
      </c>
      <c r="B637" s="8">
        <v>350621010</v>
      </c>
      <c r="C637" s="8" t="s">
        <v>2361</v>
      </c>
      <c r="D637" s="8" t="s">
        <v>17</v>
      </c>
      <c r="E637" s="9" t="s">
        <v>2016</v>
      </c>
      <c r="F637" s="10" t="s">
        <v>684</v>
      </c>
      <c r="G637" s="10" t="s">
        <v>2362</v>
      </c>
      <c r="H637" s="10" t="s">
        <v>2330</v>
      </c>
      <c r="I637" s="11" t="s">
        <v>2363</v>
      </c>
      <c r="J637" s="11" t="s">
        <v>2364</v>
      </c>
      <c r="K637" s="12" t="s">
        <v>17</v>
      </c>
      <c r="L637" s="10" t="s">
        <v>5</v>
      </c>
      <c r="M637" s="10" t="s">
        <v>15</v>
      </c>
      <c r="N637" s="2" t="s">
        <v>17</v>
      </c>
      <c r="O637" s="2" t="s">
        <v>17</v>
      </c>
      <c r="P637" s="2" t="s">
        <v>17</v>
      </c>
      <c r="S637" s="13"/>
    </row>
    <row r="638" spans="1:19" x14ac:dyDescent="0.2">
      <c r="A638" s="2">
        <v>635</v>
      </c>
      <c r="B638" s="8">
        <v>350621011</v>
      </c>
      <c r="C638" s="8" t="s">
        <v>2365</v>
      </c>
      <c r="D638" s="8" t="s">
        <v>17</v>
      </c>
      <c r="E638" s="9" t="s">
        <v>2016</v>
      </c>
      <c r="F638" s="10" t="s">
        <v>2365</v>
      </c>
      <c r="G638" s="10" t="s">
        <v>2365</v>
      </c>
      <c r="H638" s="10" t="s">
        <v>2330</v>
      </c>
      <c r="I638" s="11" t="s">
        <v>2366</v>
      </c>
      <c r="J638" s="11" t="s">
        <v>2367</v>
      </c>
      <c r="K638" s="12" t="s">
        <v>17</v>
      </c>
      <c r="L638" s="10" t="s">
        <v>5</v>
      </c>
      <c r="M638" s="10" t="s">
        <v>15</v>
      </c>
      <c r="N638" s="2" t="s">
        <v>17</v>
      </c>
      <c r="O638" s="2" t="s">
        <v>17</v>
      </c>
      <c r="P638" s="2" t="s">
        <v>17</v>
      </c>
      <c r="S638" s="13"/>
    </row>
    <row r="639" spans="1:19" x14ac:dyDescent="0.2">
      <c r="A639" s="2">
        <v>636</v>
      </c>
      <c r="B639" s="8">
        <v>350621012</v>
      </c>
      <c r="C639" s="8" t="s">
        <v>2368</v>
      </c>
      <c r="D639" s="8" t="s">
        <v>17</v>
      </c>
      <c r="E639" s="9" t="s">
        <v>2016</v>
      </c>
      <c r="F639" s="10" t="s">
        <v>2368</v>
      </c>
      <c r="G639" s="10" t="s">
        <v>2365</v>
      </c>
      <c r="H639" s="10" t="s">
        <v>2330</v>
      </c>
      <c r="I639" s="11" t="s">
        <v>2369</v>
      </c>
      <c r="J639" s="11" t="s">
        <v>2370</v>
      </c>
      <c r="K639" s="12" t="s">
        <v>17</v>
      </c>
      <c r="L639" s="10" t="s">
        <v>5</v>
      </c>
      <c r="M639" s="10" t="s">
        <v>15</v>
      </c>
      <c r="N639" s="2" t="s">
        <v>17</v>
      </c>
      <c r="O639" s="2" t="s">
        <v>17</v>
      </c>
      <c r="P639" s="2" t="s">
        <v>17</v>
      </c>
      <c r="S639" s="13"/>
    </row>
    <row r="640" spans="1:19" x14ac:dyDescent="0.2">
      <c r="A640" s="2">
        <v>637</v>
      </c>
      <c r="B640" s="8">
        <v>350621013</v>
      </c>
      <c r="C640" s="8" t="s">
        <v>2371</v>
      </c>
      <c r="D640" s="8" t="s">
        <v>17</v>
      </c>
      <c r="E640" s="9" t="s">
        <v>2016</v>
      </c>
      <c r="F640" s="10" t="s">
        <v>2371</v>
      </c>
      <c r="G640" s="10" t="s">
        <v>2371</v>
      </c>
      <c r="H640" s="10" t="s">
        <v>2330</v>
      </c>
      <c r="I640" s="11" t="s">
        <v>2372</v>
      </c>
      <c r="J640" s="11" t="s">
        <v>2373</v>
      </c>
      <c r="K640" s="12" t="s">
        <v>17</v>
      </c>
      <c r="L640" s="10" t="s">
        <v>5</v>
      </c>
      <c r="M640" s="10" t="s">
        <v>15</v>
      </c>
      <c r="N640" s="2" t="s">
        <v>17</v>
      </c>
      <c r="O640" s="2" t="s">
        <v>17</v>
      </c>
      <c r="P640" s="2" t="s">
        <v>17</v>
      </c>
      <c r="S640" s="13"/>
    </row>
    <row r="641" spans="1:19" x14ac:dyDescent="0.2">
      <c r="A641" s="2">
        <v>638</v>
      </c>
      <c r="B641" s="8">
        <v>350621014</v>
      </c>
      <c r="C641" s="8" t="s">
        <v>2362</v>
      </c>
      <c r="D641" s="8" t="s">
        <v>17</v>
      </c>
      <c r="E641" s="9" t="s">
        <v>2016</v>
      </c>
      <c r="F641" s="10" t="s">
        <v>2362</v>
      </c>
      <c r="G641" s="10" t="s">
        <v>2362</v>
      </c>
      <c r="H641" s="10" t="s">
        <v>2330</v>
      </c>
      <c r="I641" s="11" t="s">
        <v>2374</v>
      </c>
      <c r="J641" s="11" t="s">
        <v>2375</v>
      </c>
      <c r="K641" s="12" t="s">
        <v>17</v>
      </c>
      <c r="L641" s="10" t="s">
        <v>5</v>
      </c>
      <c r="M641" s="10" t="s">
        <v>15</v>
      </c>
      <c r="N641" s="2" t="s">
        <v>17</v>
      </c>
      <c r="O641" s="2" t="s">
        <v>17</v>
      </c>
      <c r="P641" s="2" t="s">
        <v>17</v>
      </c>
      <c r="S641" s="13"/>
    </row>
    <row r="642" spans="1:19" x14ac:dyDescent="0.2">
      <c r="A642" s="2">
        <v>639</v>
      </c>
      <c r="B642" s="8">
        <v>350621015</v>
      </c>
      <c r="C642" s="8" t="s">
        <v>2376</v>
      </c>
      <c r="D642" s="8" t="s">
        <v>17</v>
      </c>
      <c r="E642" s="9" t="s">
        <v>2016</v>
      </c>
      <c r="F642" s="10" t="s">
        <v>2376</v>
      </c>
      <c r="G642" s="10" t="s">
        <v>2376</v>
      </c>
      <c r="H642" s="10" t="s">
        <v>2330</v>
      </c>
      <c r="I642" s="11" t="s">
        <v>2377</v>
      </c>
      <c r="J642" s="11" t="s">
        <v>2378</v>
      </c>
      <c r="K642" s="12" t="s">
        <v>17</v>
      </c>
      <c r="L642" s="10" t="s">
        <v>5</v>
      </c>
      <c r="M642" s="10" t="s">
        <v>15</v>
      </c>
      <c r="N642" s="2" t="s">
        <v>17</v>
      </c>
      <c r="O642" s="2" t="s">
        <v>17</v>
      </c>
      <c r="P642" s="2" t="s">
        <v>17</v>
      </c>
      <c r="S642" s="13"/>
    </row>
    <row r="643" spans="1:19" x14ac:dyDescent="0.2">
      <c r="A643" s="2">
        <v>640</v>
      </c>
      <c r="B643" s="8">
        <v>350621016</v>
      </c>
      <c r="C643" s="8" t="s">
        <v>2379</v>
      </c>
      <c r="D643" s="8" t="s">
        <v>17</v>
      </c>
      <c r="E643" s="9" t="s">
        <v>2016</v>
      </c>
      <c r="F643" s="10" t="s">
        <v>628</v>
      </c>
      <c r="G643" s="10" t="s">
        <v>2376</v>
      </c>
      <c r="H643" s="10" t="s">
        <v>2330</v>
      </c>
      <c r="I643" s="11" t="s">
        <v>2380</v>
      </c>
      <c r="J643" s="11" t="s">
        <v>2381</v>
      </c>
      <c r="K643" s="12" t="s">
        <v>17</v>
      </c>
      <c r="L643" s="10" t="s">
        <v>5</v>
      </c>
      <c r="M643" s="10" t="s">
        <v>15</v>
      </c>
      <c r="N643" s="2" t="s">
        <v>17</v>
      </c>
      <c r="O643" s="2" t="s">
        <v>17</v>
      </c>
      <c r="P643" s="2" t="s">
        <v>17</v>
      </c>
      <c r="S643" s="13"/>
    </row>
    <row r="644" spans="1:19" x14ac:dyDescent="0.2">
      <c r="A644" s="2">
        <v>641</v>
      </c>
      <c r="B644" s="8">
        <v>350621017</v>
      </c>
      <c r="C644" s="8" t="s">
        <v>2382</v>
      </c>
      <c r="D644" s="8" t="s">
        <v>17</v>
      </c>
      <c r="E644" s="9" t="s">
        <v>2016</v>
      </c>
      <c r="F644" s="10" t="s">
        <v>1245</v>
      </c>
      <c r="G644" s="10" t="s">
        <v>2344</v>
      </c>
      <c r="H644" s="10" t="s">
        <v>2330</v>
      </c>
      <c r="I644" s="11" t="s">
        <v>2383</v>
      </c>
      <c r="J644" s="11" t="s">
        <v>2384</v>
      </c>
      <c r="K644" s="12" t="s">
        <v>17</v>
      </c>
      <c r="L644" s="10" t="s">
        <v>5</v>
      </c>
      <c r="M644" s="10" t="s">
        <v>15</v>
      </c>
      <c r="N644" s="2" t="s">
        <v>17</v>
      </c>
      <c r="O644" s="2" t="s">
        <v>17</v>
      </c>
      <c r="P644" s="2" t="s">
        <v>17</v>
      </c>
      <c r="S644" s="13"/>
    </row>
    <row r="645" spans="1:19" x14ac:dyDescent="0.2">
      <c r="A645" s="2">
        <v>642</v>
      </c>
      <c r="B645" s="8">
        <v>350621018</v>
      </c>
      <c r="C645" s="8" t="s">
        <v>2385</v>
      </c>
      <c r="D645" s="8" t="s">
        <v>17</v>
      </c>
      <c r="E645" s="9" t="s">
        <v>2016</v>
      </c>
      <c r="F645" s="10" t="s">
        <v>2385</v>
      </c>
      <c r="G645" s="10" t="s">
        <v>2358</v>
      </c>
      <c r="H645" s="10" t="s">
        <v>2330</v>
      </c>
      <c r="I645" s="11" t="s">
        <v>2386</v>
      </c>
      <c r="J645" s="11" t="s">
        <v>2387</v>
      </c>
      <c r="K645" s="12" t="s">
        <v>17</v>
      </c>
      <c r="L645" s="10" t="s">
        <v>5</v>
      </c>
      <c r="M645" s="10" t="s">
        <v>15</v>
      </c>
      <c r="N645" s="2" t="s">
        <v>17</v>
      </c>
      <c r="O645" s="2" t="s">
        <v>17</v>
      </c>
      <c r="P645" s="2" t="s">
        <v>17</v>
      </c>
      <c r="S645" s="13"/>
    </row>
    <row r="646" spans="1:19" x14ac:dyDescent="0.2">
      <c r="A646" s="2">
        <v>643</v>
      </c>
      <c r="B646" s="8">
        <v>350621019</v>
      </c>
      <c r="C646" s="8" t="s">
        <v>2388</v>
      </c>
      <c r="D646" s="8" t="s">
        <v>17</v>
      </c>
      <c r="E646" s="9" t="s">
        <v>2016</v>
      </c>
      <c r="F646" s="10" t="s">
        <v>2389</v>
      </c>
      <c r="G646" s="10" t="s">
        <v>2365</v>
      </c>
      <c r="H646" s="10" t="s">
        <v>2330</v>
      </c>
      <c r="I646" s="11" t="s">
        <v>2390</v>
      </c>
      <c r="J646" s="11" t="s">
        <v>2391</v>
      </c>
      <c r="K646" s="12" t="s">
        <v>17</v>
      </c>
      <c r="L646" s="10" t="s">
        <v>5</v>
      </c>
      <c r="M646" s="10" t="s">
        <v>15</v>
      </c>
      <c r="N646" s="2" t="s">
        <v>17</v>
      </c>
      <c r="O646" s="2" t="s">
        <v>17</v>
      </c>
      <c r="P646" s="2" t="s">
        <v>17</v>
      </c>
      <c r="S646" s="13"/>
    </row>
    <row r="647" spans="1:19" x14ac:dyDescent="0.2">
      <c r="A647" s="2">
        <v>644</v>
      </c>
      <c r="B647" s="8">
        <v>350621020</v>
      </c>
      <c r="C647" s="8" t="s">
        <v>2392</v>
      </c>
      <c r="D647" s="8" t="s">
        <v>17</v>
      </c>
      <c r="E647" s="9" t="s">
        <v>2016</v>
      </c>
      <c r="F647" s="10" t="s">
        <v>337</v>
      </c>
      <c r="G647" s="10" t="s">
        <v>2358</v>
      </c>
      <c r="H647" s="10" t="s">
        <v>2330</v>
      </c>
      <c r="I647" s="11" t="s">
        <v>2393</v>
      </c>
      <c r="J647" s="11" t="s">
        <v>2394</v>
      </c>
      <c r="K647" s="12" t="s">
        <v>17</v>
      </c>
      <c r="L647" s="10" t="s">
        <v>5</v>
      </c>
      <c r="M647" s="10" t="s">
        <v>15</v>
      </c>
      <c r="N647" s="2" t="s">
        <v>17</v>
      </c>
      <c r="O647" s="2" t="s">
        <v>17</v>
      </c>
      <c r="P647" s="2" t="s">
        <v>17</v>
      </c>
      <c r="S647" s="13"/>
    </row>
    <row r="648" spans="1:19" x14ac:dyDescent="0.2">
      <c r="A648" s="2">
        <v>645</v>
      </c>
      <c r="B648" s="8">
        <v>350621021</v>
      </c>
      <c r="C648" s="8" t="s">
        <v>2395</v>
      </c>
      <c r="D648" s="8" t="s">
        <v>17</v>
      </c>
      <c r="E648" s="9" t="s">
        <v>2016</v>
      </c>
      <c r="F648" s="10" t="s">
        <v>337</v>
      </c>
      <c r="G648" s="10" t="s">
        <v>2358</v>
      </c>
      <c r="H648" s="10" t="s">
        <v>2330</v>
      </c>
      <c r="I648" s="11" t="s">
        <v>2396</v>
      </c>
      <c r="J648" s="11" t="s">
        <v>2397</v>
      </c>
      <c r="K648" s="12" t="s">
        <v>17</v>
      </c>
      <c r="L648" s="10" t="s">
        <v>5</v>
      </c>
      <c r="M648" s="10" t="s">
        <v>15</v>
      </c>
      <c r="N648" s="2" t="s">
        <v>17</v>
      </c>
      <c r="O648" s="2" t="s">
        <v>17</v>
      </c>
      <c r="P648" s="2" t="s">
        <v>17</v>
      </c>
      <c r="S648" s="13"/>
    </row>
    <row r="649" spans="1:19" x14ac:dyDescent="0.2">
      <c r="A649" s="2">
        <v>646</v>
      </c>
      <c r="B649" s="8">
        <v>350621022</v>
      </c>
      <c r="C649" s="8" t="s">
        <v>2398</v>
      </c>
      <c r="D649" s="8" t="s">
        <v>17</v>
      </c>
      <c r="E649" s="9" t="s">
        <v>2016</v>
      </c>
      <c r="F649" s="10" t="s">
        <v>2398</v>
      </c>
      <c r="G649" s="10" t="s">
        <v>2399</v>
      </c>
      <c r="H649" s="10" t="s">
        <v>2330</v>
      </c>
      <c r="I649" s="11" t="s">
        <v>2400</v>
      </c>
      <c r="J649" s="11" t="s">
        <v>2401</v>
      </c>
      <c r="K649" s="12" t="s">
        <v>17</v>
      </c>
      <c r="L649" s="10" t="s">
        <v>5</v>
      </c>
      <c r="M649" s="10" t="s">
        <v>15</v>
      </c>
      <c r="N649" s="2" t="s">
        <v>17</v>
      </c>
      <c r="O649" s="2" t="s">
        <v>17</v>
      </c>
      <c r="P649" s="2" t="s">
        <v>17</v>
      </c>
      <c r="S649" s="13"/>
    </row>
    <row r="650" spans="1:19" x14ac:dyDescent="0.2">
      <c r="A650" s="2">
        <v>647</v>
      </c>
      <c r="B650" s="8">
        <v>350621023</v>
      </c>
      <c r="C650" s="8" t="s">
        <v>2402</v>
      </c>
      <c r="D650" s="8" t="s">
        <v>17</v>
      </c>
      <c r="E650" s="9" t="s">
        <v>2016</v>
      </c>
      <c r="F650" s="10" t="s">
        <v>2403</v>
      </c>
      <c r="G650" s="10" t="s">
        <v>2399</v>
      </c>
      <c r="H650" s="10" t="s">
        <v>2330</v>
      </c>
      <c r="I650" s="11" t="s">
        <v>2404</v>
      </c>
      <c r="J650" s="11" t="s">
        <v>2405</v>
      </c>
      <c r="K650" s="12" t="s">
        <v>17</v>
      </c>
      <c r="L650" s="10" t="s">
        <v>5</v>
      </c>
      <c r="M650" s="10" t="s">
        <v>15</v>
      </c>
      <c r="N650" s="2" t="s">
        <v>17</v>
      </c>
      <c r="O650" s="2" t="s">
        <v>17</v>
      </c>
      <c r="P650" s="2" t="s">
        <v>17</v>
      </c>
      <c r="S650" s="13"/>
    </row>
    <row r="651" spans="1:19" x14ac:dyDescent="0.2">
      <c r="A651" s="2">
        <v>648</v>
      </c>
      <c r="B651" s="8">
        <v>350621024</v>
      </c>
      <c r="C651" s="8" t="s">
        <v>2406</v>
      </c>
      <c r="D651" s="8" t="s">
        <v>17</v>
      </c>
      <c r="E651" s="9" t="s">
        <v>2016</v>
      </c>
      <c r="F651" s="10" t="s">
        <v>227</v>
      </c>
      <c r="G651" s="10" t="s">
        <v>2358</v>
      </c>
      <c r="H651" s="10" t="s">
        <v>2330</v>
      </c>
      <c r="I651" s="11" t="s">
        <v>2407</v>
      </c>
      <c r="J651" s="11" t="s">
        <v>2408</v>
      </c>
      <c r="K651" s="12" t="s">
        <v>17</v>
      </c>
      <c r="L651" s="10" t="s">
        <v>5</v>
      </c>
      <c r="M651" s="10" t="s">
        <v>15</v>
      </c>
      <c r="N651" s="2" t="s">
        <v>17</v>
      </c>
      <c r="O651" s="2" t="s">
        <v>17</v>
      </c>
      <c r="P651" s="2" t="s">
        <v>17</v>
      </c>
      <c r="S651" s="13"/>
    </row>
    <row r="652" spans="1:19" x14ac:dyDescent="0.2">
      <c r="A652" s="2">
        <v>649</v>
      </c>
      <c r="B652" s="8">
        <v>350621025</v>
      </c>
      <c r="C652" s="8" t="s">
        <v>2409</v>
      </c>
      <c r="D652" s="8" t="s">
        <v>17</v>
      </c>
      <c r="E652" s="9" t="s">
        <v>2016</v>
      </c>
      <c r="F652" s="10" t="s">
        <v>2410</v>
      </c>
      <c r="G652" s="10" t="s">
        <v>2411</v>
      </c>
      <c r="H652" s="10" t="s">
        <v>2330</v>
      </c>
      <c r="I652" s="11" t="s">
        <v>2412</v>
      </c>
      <c r="J652" s="11" t="s">
        <v>2413</v>
      </c>
      <c r="K652" s="12" t="s">
        <v>17</v>
      </c>
      <c r="L652" s="10" t="s">
        <v>5</v>
      </c>
      <c r="M652" s="10" t="s">
        <v>15</v>
      </c>
      <c r="N652" s="2" t="s">
        <v>17</v>
      </c>
      <c r="O652" s="2" t="s">
        <v>17</v>
      </c>
      <c r="P652" s="2" t="s">
        <v>17</v>
      </c>
      <c r="S652" s="13"/>
    </row>
    <row r="653" spans="1:19" x14ac:dyDescent="0.2">
      <c r="A653" s="2">
        <v>650</v>
      </c>
      <c r="B653" s="8">
        <v>350621026</v>
      </c>
      <c r="C653" s="8" t="s">
        <v>2414</v>
      </c>
      <c r="D653" s="8" t="s">
        <v>17</v>
      </c>
      <c r="E653" s="9" t="s">
        <v>2016</v>
      </c>
      <c r="F653" s="10" t="s">
        <v>2415</v>
      </c>
      <c r="G653" s="10" t="s">
        <v>2399</v>
      </c>
      <c r="H653" s="10" t="s">
        <v>2330</v>
      </c>
      <c r="I653" s="11" t="s">
        <v>2416</v>
      </c>
      <c r="J653" s="11" t="s">
        <v>2417</v>
      </c>
      <c r="K653" s="12" t="s">
        <v>17</v>
      </c>
      <c r="L653" s="10" t="s">
        <v>5</v>
      </c>
      <c r="M653" s="10" t="s">
        <v>15</v>
      </c>
      <c r="N653" s="2" t="s">
        <v>17</v>
      </c>
      <c r="O653" s="2" t="s">
        <v>17</v>
      </c>
      <c r="P653" s="2" t="s">
        <v>17</v>
      </c>
      <c r="S653" s="13"/>
    </row>
    <row r="654" spans="1:19" x14ac:dyDescent="0.2">
      <c r="A654" s="2">
        <v>651</v>
      </c>
      <c r="B654" s="8">
        <v>350710001</v>
      </c>
      <c r="C654" s="8" t="s">
        <v>2418</v>
      </c>
      <c r="D654" s="8" t="s">
        <v>17</v>
      </c>
      <c r="E654" s="9" t="s">
        <v>2419</v>
      </c>
      <c r="F654" s="10" t="s">
        <v>2420</v>
      </c>
      <c r="G654" s="10" t="s">
        <v>2421</v>
      </c>
      <c r="H654" s="10" t="s">
        <v>2422</v>
      </c>
      <c r="I654" s="11" t="s">
        <v>2423</v>
      </c>
      <c r="J654" s="11" t="s">
        <v>2424</v>
      </c>
      <c r="K654" s="12" t="s">
        <v>17</v>
      </c>
      <c r="L654" s="10" t="s">
        <v>2425</v>
      </c>
      <c r="M654" s="10" t="s">
        <v>15</v>
      </c>
      <c r="N654" s="2" t="s">
        <v>17</v>
      </c>
      <c r="O654" s="2" t="s">
        <v>17</v>
      </c>
      <c r="P654" s="2" t="s">
        <v>17</v>
      </c>
      <c r="S654" s="13"/>
    </row>
    <row r="655" spans="1:19" x14ac:dyDescent="0.2">
      <c r="A655" s="2">
        <v>652</v>
      </c>
      <c r="B655" s="8">
        <v>350710002</v>
      </c>
      <c r="C655" s="8" t="s">
        <v>2426</v>
      </c>
      <c r="D655" s="8" t="s">
        <v>17</v>
      </c>
      <c r="E655" s="9" t="s">
        <v>2419</v>
      </c>
      <c r="F655" s="10" t="s">
        <v>2427</v>
      </c>
      <c r="G655" s="10" t="s">
        <v>2428</v>
      </c>
      <c r="H655" s="10" t="s">
        <v>2422</v>
      </c>
      <c r="I655" s="11" t="s">
        <v>2429</v>
      </c>
      <c r="J655" s="11" t="s">
        <v>2430</v>
      </c>
      <c r="K655" s="12" t="s">
        <v>17</v>
      </c>
      <c r="L655" s="10" t="s">
        <v>2425</v>
      </c>
      <c r="M655" s="10" t="s">
        <v>15</v>
      </c>
      <c r="N655" s="2" t="s">
        <v>17</v>
      </c>
      <c r="O655" s="2" t="s">
        <v>17</v>
      </c>
      <c r="P655" s="2" t="s">
        <v>17</v>
      </c>
      <c r="S655" s="13"/>
    </row>
    <row r="656" spans="1:19" x14ac:dyDescent="0.2">
      <c r="A656" s="2">
        <v>653</v>
      </c>
      <c r="B656" s="8">
        <v>350710003</v>
      </c>
      <c r="C656" s="8" t="s">
        <v>2431</v>
      </c>
      <c r="D656" s="8" t="s">
        <v>17</v>
      </c>
      <c r="E656" s="9" t="s">
        <v>2419</v>
      </c>
      <c r="F656" s="10" t="s">
        <v>2431</v>
      </c>
      <c r="G656" s="10" t="s">
        <v>2421</v>
      </c>
      <c r="H656" s="10" t="s">
        <v>2422</v>
      </c>
      <c r="I656" s="11" t="s">
        <v>2432</v>
      </c>
      <c r="J656" s="11" t="s">
        <v>2433</v>
      </c>
      <c r="K656" s="12" t="s">
        <v>17</v>
      </c>
      <c r="L656" s="10" t="s">
        <v>2425</v>
      </c>
      <c r="M656" s="10" t="s">
        <v>15</v>
      </c>
      <c r="N656" s="2" t="s">
        <v>17</v>
      </c>
      <c r="O656" s="2" t="s">
        <v>17</v>
      </c>
      <c r="P656" s="2" t="s">
        <v>17</v>
      </c>
      <c r="S656" s="13"/>
    </row>
    <row r="657" spans="1:19" x14ac:dyDescent="0.2">
      <c r="A657" s="2">
        <v>654</v>
      </c>
      <c r="B657" s="8">
        <v>350710004</v>
      </c>
      <c r="C657" s="8" t="s">
        <v>2434</v>
      </c>
      <c r="D657" s="8" t="s">
        <v>17</v>
      </c>
      <c r="E657" s="9" t="s">
        <v>2419</v>
      </c>
      <c r="F657" s="10" t="s">
        <v>1333</v>
      </c>
      <c r="G657" s="10" t="s">
        <v>2435</v>
      </c>
      <c r="H657" s="10" t="s">
        <v>2422</v>
      </c>
      <c r="I657" s="11" t="s">
        <v>2436</v>
      </c>
      <c r="J657" s="11" t="s">
        <v>2437</v>
      </c>
      <c r="K657" s="12" t="s">
        <v>17</v>
      </c>
      <c r="L657" s="10" t="s">
        <v>2425</v>
      </c>
      <c r="M657" s="10" t="s">
        <v>15</v>
      </c>
      <c r="N657" s="2" t="s">
        <v>17</v>
      </c>
      <c r="O657" s="2" t="s">
        <v>17</v>
      </c>
      <c r="P657" s="2" t="s">
        <v>17</v>
      </c>
      <c r="S657" s="13"/>
    </row>
    <row r="658" spans="1:19" x14ac:dyDescent="0.2">
      <c r="A658" s="2">
        <v>655</v>
      </c>
      <c r="B658" s="8">
        <v>350710005</v>
      </c>
      <c r="C658" s="8" t="s">
        <v>2438</v>
      </c>
      <c r="D658" s="8" t="s">
        <v>17</v>
      </c>
      <c r="E658" s="9" t="s">
        <v>2419</v>
      </c>
      <c r="F658" s="10" t="s">
        <v>2439</v>
      </c>
      <c r="G658" s="10" t="s">
        <v>2422</v>
      </c>
      <c r="H658" s="10" t="s">
        <v>2422</v>
      </c>
      <c r="I658" s="11" t="s">
        <v>2440</v>
      </c>
      <c r="J658" s="11" t="s">
        <v>2441</v>
      </c>
      <c r="K658" s="12" t="s">
        <v>17</v>
      </c>
      <c r="L658" s="10" t="s">
        <v>2425</v>
      </c>
      <c r="M658" s="10" t="s">
        <v>15</v>
      </c>
      <c r="N658" s="2" t="s">
        <v>17</v>
      </c>
      <c r="O658" s="2" t="s">
        <v>17</v>
      </c>
      <c r="P658" s="2" t="s">
        <v>17</v>
      </c>
      <c r="S658" s="13"/>
    </row>
    <row r="659" spans="1:19" x14ac:dyDescent="0.2">
      <c r="A659" s="2">
        <v>656</v>
      </c>
      <c r="B659" s="8">
        <v>350710006</v>
      </c>
      <c r="C659" s="8" t="s">
        <v>2442</v>
      </c>
      <c r="D659" s="8" t="s">
        <v>17</v>
      </c>
      <c r="E659" s="9" t="s">
        <v>2419</v>
      </c>
      <c r="F659" s="10" t="s">
        <v>2442</v>
      </c>
      <c r="G659" s="10" t="s">
        <v>2442</v>
      </c>
      <c r="H659" s="10" t="s">
        <v>2422</v>
      </c>
      <c r="I659" s="11" t="s">
        <v>2443</v>
      </c>
      <c r="J659" s="11" t="s">
        <v>2444</v>
      </c>
      <c r="K659" s="12" t="s">
        <v>17</v>
      </c>
      <c r="L659" s="10" t="s">
        <v>2425</v>
      </c>
      <c r="M659" s="10" t="s">
        <v>15</v>
      </c>
      <c r="N659" s="2" t="s">
        <v>17</v>
      </c>
      <c r="O659" s="2" t="s">
        <v>17</v>
      </c>
      <c r="P659" s="2" t="s">
        <v>17</v>
      </c>
      <c r="S659" s="13"/>
    </row>
    <row r="660" spans="1:19" x14ac:dyDescent="0.2">
      <c r="A660" s="2">
        <v>657</v>
      </c>
      <c r="B660" s="8">
        <v>350710007</v>
      </c>
      <c r="C660" s="8" t="s">
        <v>2445</v>
      </c>
      <c r="D660" s="8" t="s">
        <v>17</v>
      </c>
      <c r="E660" s="9" t="s">
        <v>2419</v>
      </c>
      <c r="F660" s="10" t="s">
        <v>2445</v>
      </c>
      <c r="G660" s="10" t="s">
        <v>2446</v>
      </c>
      <c r="H660" s="10" t="s">
        <v>2422</v>
      </c>
      <c r="I660" s="11" t="s">
        <v>2447</v>
      </c>
      <c r="J660" s="11" t="s">
        <v>2448</v>
      </c>
      <c r="K660" s="12" t="s">
        <v>17</v>
      </c>
      <c r="L660" s="10" t="s">
        <v>2425</v>
      </c>
      <c r="M660" s="10" t="s">
        <v>15</v>
      </c>
      <c r="N660" s="2" t="s">
        <v>17</v>
      </c>
      <c r="O660" s="2" t="s">
        <v>17</v>
      </c>
      <c r="P660" s="2" t="s">
        <v>17</v>
      </c>
      <c r="S660" s="13"/>
    </row>
    <row r="661" spans="1:19" x14ac:dyDescent="0.2">
      <c r="A661" s="2">
        <v>658</v>
      </c>
      <c r="B661" s="8">
        <v>350710008</v>
      </c>
      <c r="C661" s="8" t="s">
        <v>2449</v>
      </c>
      <c r="D661" s="8" t="s">
        <v>17</v>
      </c>
      <c r="E661" s="9" t="s">
        <v>2419</v>
      </c>
      <c r="F661" s="10" t="s">
        <v>2449</v>
      </c>
      <c r="G661" s="10" t="s">
        <v>2428</v>
      </c>
      <c r="H661" s="10" t="s">
        <v>2422</v>
      </c>
      <c r="I661" s="11" t="s">
        <v>2450</v>
      </c>
      <c r="J661" s="11" t="s">
        <v>2451</v>
      </c>
      <c r="K661" s="12" t="s">
        <v>17</v>
      </c>
      <c r="L661" s="10" t="s">
        <v>2425</v>
      </c>
      <c r="M661" s="10" t="s">
        <v>15</v>
      </c>
      <c r="N661" s="2" t="s">
        <v>17</v>
      </c>
      <c r="O661" s="2" t="s">
        <v>17</v>
      </c>
      <c r="P661" s="2" t="s">
        <v>17</v>
      </c>
      <c r="S661" s="13"/>
    </row>
    <row r="662" spans="1:19" x14ac:dyDescent="0.2">
      <c r="A662" s="2">
        <v>659</v>
      </c>
      <c r="B662" s="8">
        <v>350710009</v>
      </c>
      <c r="C662" s="8" t="s">
        <v>2452</v>
      </c>
      <c r="D662" s="8" t="s">
        <v>17</v>
      </c>
      <c r="E662" s="9" t="s">
        <v>2419</v>
      </c>
      <c r="F662" s="10" t="s">
        <v>2453</v>
      </c>
      <c r="G662" s="10" t="s">
        <v>680</v>
      </c>
      <c r="H662" s="10" t="s">
        <v>2422</v>
      </c>
      <c r="I662" s="11" t="s">
        <v>2454</v>
      </c>
      <c r="J662" s="11" t="s">
        <v>2455</v>
      </c>
      <c r="K662" s="12" t="s">
        <v>17</v>
      </c>
      <c r="L662" s="10" t="s">
        <v>2425</v>
      </c>
      <c r="M662" s="10" t="s">
        <v>15</v>
      </c>
      <c r="N662" s="2" t="s">
        <v>17</v>
      </c>
      <c r="O662" s="2" t="s">
        <v>17</v>
      </c>
      <c r="P662" s="2" t="s">
        <v>17</v>
      </c>
      <c r="S662" s="13"/>
    </row>
    <row r="663" spans="1:19" x14ac:dyDescent="0.2">
      <c r="A663" s="2">
        <v>660</v>
      </c>
      <c r="B663" s="8">
        <v>350710010</v>
      </c>
      <c r="C663" s="8" t="s">
        <v>2456</v>
      </c>
      <c r="D663" s="8" t="s">
        <v>17</v>
      </c>
      <c r="E663" s="9" t="s">
        <v>2419</v>
      </c>
      <c r="F663" s="10" t="s">
        <v>2453</v>
      </c>
      <c r="G663" s="10" t="s">
        <v>680</v>
      </c>
      <c r="H663" s="10" t="s">
        <v>2422</v>
      </c>
      <c r="I663" s="11" t="s">
        <v>2457</v>
      </c>
      <c r="J663" s="11" t="s">
        <v>2458</v>
      </c>
      <c r="K663" s="12" t="s">
        <v>17</v>
      </c>
      <c r="L663" s="10" t="s">
        <v>2425</v>
      </c>
      <c r="M663" s="10" t="s">
        <v>15</v>
      </c>
      <c r="N663" s="2" t="s">
        <v>17</v>
      </c>
      <c r="O663" s="2" t="s">
        <v>17</v>
      </c>
      <c r="P663" s="2" t="s">
        <v>17</v>
      </c>
      <c r="S663" s="13"/>
    </row>
    <row r="664" spans="1:19" x14ac:dyDescent="0.2">
      <c r="A664" s="2">
        <v>661</v>
      </c>
      <c r="B664" s="8">
        <v>350710011</v>
      </c>
      <c r="C664" s="8" t="s">
        <v>2459</v>
      </c>
      <c r="D664" s="8" t="s">
        <v>17</v>
      </c>
      <c r="E664" s="9" t="s">
        <v>2419</v>
      </c>
      <c r="F664" s="10" t="s">
        <v>807</v>
      </c>
      <c r="G664" s="10" t="s">
        <v>807</v>
      </c>
      <c r="H664" s="10" t="s">
        <v>2422</v>
      </c>
      <c r="I664" s="11" t="s">
        <v>2460</v>
      </c>
      <c r="J664" s="11" t="s">
        <v>2461</v>
      </c>
      <c r="K664" s="12" t="s">
        <v>17</v>
      </c>
      <c r="L664" s="10" t="s">
        <v>2425</v>
      </c>
      <c r="M664" s="10" t="s">
        <v>15</v>
      </c>
      <c r="N664" s="2" t="s">
        <v>17</v>
      </c>
      <c r="O664" s="2" t="s">
        <v>17</v>
      </c>
      <c r="P664" s="2" t="s">
        <v>17</v>
      </c>
      <c r="S664" s="13"/>
    </row>
    <row r="665" spans="1:19" x14ac:dyDescent="0.2">
      <c r="A665" s="2">
        <v>662</v>
      </c>
      <c r="B665" s="8">
        <v>350710012</v>
      </c>
      <c r="C665" s="8" t="s">
        <v>2462</v>
      </c>
      <c r="D665" s="8" t="s">
        <v>17</v>
      </c>
      <c r="E665" s="9" t="s">
        <v>2463</v>
      </c>
      <c r="F665" s="10" t="s">
        <v>2464</v>
      </c>
      <c r="G665" s="10" t="s">
        <v>2465</v>
      </c>
      <c r="H665" s="10" t="s">
        <v>2422</v>
      </c>
      <c r="I665" s="11" t="s">
        <v>2466</v>
      </c>
      <c r="J665" s="11" t="s">
        <v>2467</v>
      </c>
      <c r="K665" s="12" t="s">
        <v>17</v>
      </c>
      <c r="L665" s="10" t="s">
        <v>2425</v>
      </c>
      <c r="M665" s="10" t="s">
        <v>15</v>
      </c>
      <c r="N665" s="2" t="s">
        <v>17</v>
      </c>
      <c r="O665" s="2" t="s">
        <v>17</v>
      </c>
      <c r="P665" s="2" t="s">
        <v>17</v>
      </c>
      <c r="S665" s="13"/>
    </row>
    <row r="666" spans="1:19" x14ac:dyDescent="0.2">
      <c r="A666" s="2">
        <v>663</v>
      </c>
      <c r="B666" s="8">
        <v>350710013</v>
      </c>
      <c r="C666" s="8" t="s">
        <v>2468</v>
      </c>
      <c r="D666" s="8" t="s">
        <v>17</v>
      </c>
      <c r="E666" s="9" t="s">
        <v>2463</v>
      </c>
      <c r="F666" s="10" t="s">
        <v>2468</v>
      </c>
      <c r="G666" s="10" t="s">
        <v>2469</v>
      </c>
      <c r="H666" s="10" t="s">
        <v>2422</v>
      </c>
      <c r="I666" s="11" t="s">
        <v>2470</v>
      </c>
      <c r="J666" s="11" t="s">
        <v>2471</v>
      </c>
      <c r="K666" s="12" t="s">
        <v>17</v>
      </c>
      <c r="L666" s="10" t="s">
        <v>2425</v>
      </c>
      <c r="M666" s="10" t="s">
        <v>15</v>
      </c>
      <c r="N666" s="2" t="s">
        <v>17</v>
      </c>
      <c r="O666" s="2" t="s">
        <v>17</v>
      </c>
      <c r="P666" s="2" t="s">
        <v>17</v>
      </c>
      <c r="S666" s="13"/>
    </row>
    <row r="667" spans="1:19" x14ac:dyDescent="0.2">
      <c r="A667" s="2">
        <v>664</v>
      </c>
      <c r="B667" s="8">
        <v>350710014</v>
      </c>
      <c r="C667" s="8" t="s">
        <v>2472</v>
      </c>
      <c r="D667" s="8" t="s">
        <v>17</v>
      </c>
      <c r="E667" s="9" t="s">
        <v>2463</v>
      </c>
      <c r="F667" s="10" t="s">
        <v>2472</v>
      </c>
      <c r="G667" s="10" t="s">
        <v>2473</v>
      </c>
      <c r="H667" s="10" t="s">
        <v>2422</v>
      </c>
      <c r="I667" s="11" t="s">
        <v>2474</v>
      </c>
      <c r="J667" s="11" t="s">
        <v>2475</v>
      </c>
      <c r="K667" s="12" t="s">
        <v>17</v>
      </c>
      <c r="L667" s="10" t="s">
        <v>2425</v>
      </c>
      <c r="M667" s="10" t="s">
        <v>15</v>
      </c>
      <c r="N667" s="2" t="s">
        <v>17</v>
      </c>
      <c r="O667" s="2" t="s">
        <v>17</v>
      </c>
      <c r="P667" s="2" t="s">
        <v>17</v>
      </c>
      <c r="S667" s="13"/>
    </row>
    <row r="668" spans="1:19" x14ac:dyDescent="0.2">
      <c r="A668" s="2">
        <v>665</v>
      </c>
      <c r="B668" s="8">
        <v>350710015</v>
      </c>
      <c r="C668" s="8" t="s">
        <v>2476</v>
      </c>
      <c r="D668" s="8" t="s">
        <v>17</v>
      </c>
      <c r="E668" s="9" t="s">
        <v>2463</v>
      </c>
      <c r="F668" s="10" t="s">
        <v>2477</v>
      </c>
      <c r="G668" s="10" t="s">
        <v>2478</v>
      </c>
      <c r="H668" s="10" t="s">
        <v>2422</v>
      </c>
      <c r="I668" s="11" t="s">
        <v>2479</v>
      </c>
      <c r="J668" s="11" t="s">
        <v>2480</v>
      </c>
      <c r="K668" s="12" t="s">
        <v>17</v>
      </c>
      <c r="L668" s="10" t="s">
        <v>2425</v>
      </c>
      <c r="M668" s="10" t="s">
        <v>15</v>
      </c>
      <c r="N668" s="2" t="s">
        <v>17</v>
      </c>
      <c r="O668" s="2" t="s">
        <v>17</v>
      </c>
      <c r="P668" s="2" t="s">
        <v>17</v>
      </c>
      <c r="S668" s="13"/>
    </row>
    <row r="669" spans="1:19" x14ac:dyDescent="0.2">
      <c r="A669" s="2">
        <v>666</v>
      </c>
      <c r="B669" s="8">
        <v>350710016</v>
      </c>
      <c r="C669" s="8" t="s">
        <v>2481</v>
      </c>
      <c r="D669" s="8" t="s">
        <v>17</v>
      </c>
      <c r="E669" s="9" t="s">
        <v>2419</v>
      </c>
      <c r="F669" s="10" t="s">
        <v>2482</v>
      </c>
      <c r="G669" s="10" t="s">
        <v>2446</v>
      </c>
      <c r="H669" s="10" t="s">
        <v>2422</v>
      </c>
      <c r="I669" s="11" t="s">
        <v>2483</v>
      </c>
      <c r="J669" s="11" t="s">
        <v>2484</v>
      </c>
      <c r="K669" s="12" t="s">
        <v>17</v>
      </c>
      <c r="L669" s="10" t="s">
        <v>2425</v>
      </c>
      <c r="M669" s="10" t="s">
        <v>15</v>
      </c>
      <c r="N669" s="2" t="s">
        <v>17</v>
      </c>
      <c r="O669" s="2" t="s">
        <v>17</v>
      </c>
      <c r="P669" s="2" t="s">
        <v>17</v>
      </c>
      <c r="S669" s="13"/>
    </row>
    <row r="670" spans="1:19" x14ac:dyDescent="0.2">
      <c r="A670" s="2">
        <v>667</v>
      </c>
      <c r="B670" s="8">
        <v>350710017</v>
      </c>
      <c r="C670" s="8" t="s">
        <v>2478</v>
      </c>
      <c r="D670" s="8" t="s">
        <v>17</v>
      </c>
      <c r="E670" s="9" t="s">
        <v>2463</v>
      </c>
      <c r="F670" s="10" t="s">
        <v>2485</v>
      </c>
      <c r="G670" s="10" t="s">
        <v>2478</v>
      </c>
      <c r="H670" s="10" t="s">
        <v>2422</v>
      </c>
      <c r="I670" s="11" t="s">
        <v>2486</v>
      </c>
      <c r="J670" s="11" t="s">
        <v>2487</v>
      </c>
      <c r="K670" s="12" t="s">
        <v>17</v>
      </c>
      <c r="L670" s="10" t="s">
        <v>2425</v>
      </c>
      <c r="M670" s="10" t="s">
        <v>15</v>
      </c>
      <c r="N670" s="2" t="s">
        <v>17</v>
      </c>
      <c r="O670" s="2" t="s">
        <v>17</v>
      </c>
      <c r="P670" s="2" t="s">
        <v>17</v>
      </c>
      <c r="S670" s="13"/>
    </row>
    <row r="671" spans="1:19" x14ac:dyDescent="0.2">
      <c r="A671" s="2">
        <v>668</v>
      </c>
      <c r="B671" s="8">
        <v>350710018</v>
      </c>
      <c r="C671" s="8" t="s">
        <v>2488</v>
      </c>
      <c r="D671" s="8" t="s">
        <v>17</v>
      </c>
      <c r="E671" s="9" t="s">
        <v>2419</v>
      </c>
      <c r="F671" s="10" t="s">
        <v>2488</v>
      </c>
      <c r="G671" s="10" t="s">
        <v>2488</v>
      </c>
      <c r="H671" s="10" t="s">
        <v>2422</v>
      </c>
      <c r="I671" s="11" t="s">
        <v>2489</v>
      </c>
      <c r="J671" s="11" t="s">
        <v>2490</v>
      </c>
      <c r="K671" s="12" t="s">
        <v>17</v>
      </c>
      <c r="L671" s="10" t="s">
        <v>2425</v>
      </c>
      <c r="M671" s="10" t="s">
        <v>15</v>
      </c>
      <c r="N671" s="2" t="s">
        <v>17</v>
      </c>
      <c r="O671" s="2" t="s">
        <v>17</v>
      </c>
      <c r="P671" s="2" t="s">
        <v>17</v>
      </c>
      <c r="S671" s="13"/>
    </row>
    <row r="672" spans="1:19" x14ac:dyDescent="0.2">
      <c r="A672" s="2">
        <v>669</v>
      </c>
      <c r="B672" s="8">
        <v>350710019</v>
      </c>
      <c r="C672" s="8" t="s">
        <v>2491</v>
      </c>
      <c r="D672" s="8" t="s">
        <v>17</v>
      </c>
      <c r="E672" s="9" t="s">
        <v>2463</v>
      </c>
      <c r="F672" s="10" t="s">
        <v>2492</v>
      </c>
      <c r="G672" s="10" t="s">
        <v>2465</v>
      </c>
      <c r="H672" s="10" t="s">
        <v>2422</v>
      </c>
      <c r="I672" s="11" t="s">
        <v>2493</v>
      </c>
      <c r="J672" s="11" t="s">
        <v>2494</v>
      </c>
      <c r="K672" s="12" t="s">
        <v>17</v>
      </c>
      <c r="L672" s="10" t="s">
        <v>2425</v>
      </c>
      <c r="M672" s="10" t="s">
        <v>15</v>
      </c>
      <c r="N672" s="2" t="s">
        <v>17</v>
      </c>
      <c r="O672" s="2" t="s">
        <v>17</v>
      </c>
      <c r="P672" s="2" t="s">
        <v>17</v>
      </c>
      <c r="S672" s="13"/>
    </row>
    <row r="673" spans="1:19" x14ac:dyDescent="0.2">
      <c r="A673" s="2">
        <v>670</v>
      </c>
      <c r="B673" s="8">
        <v>350710020</v>
      </c>
      <c r="C673" s="8" t="s">
        <v>2495</v>
      </c>
      <c r="D673" s="8" t="s">
        <v>17</v>
      </c>
      <c r="E673" s="9" t="s">
        <v>2463</v>
      </c>
      <c r="F673" s="10" t="s">
        <v>2477</v>
      </c>
      <c r="G673" s="10" t="s">
        <v>2465</v>
      </c>
      <c r="H673" s="10" t="s">
        <v>2422</v>
      </c>
      <c r="I673" s="11" t="s">
        <v>2496</v>
      </c>
      <c r="J673" s="11" t="s">
        <v>2497</v>
      </c>
      <c r="K673" s="12" t="s">
        <v>17</v>
      </c>
      <c r="L673" s="10" t="s">
        <v>2425</v>
      </c>
      <c r="M673" s="10" t="s">
        <v>15</v>
      </c>
      <c r="N673" s="2" t="s">
        <v>17</v>
      </c>
      <c r="O673" s="2" t="s">
        <v>17</v>
      </c>
      <c r="P673" s="2" t="s">
        <v>17</v>
      </c>
      <c r="S673" s="13"/>
    </row>
    <row r="674" spans="1:19" x14ac:dyDescent="0.2">
      <c r="A674" s="2">
        <v>671</v>
      </c>
      <c r="B674" s="8">
        <v>350710021</v>
      </c>
      <c r="C674" s="8" t="s">
        <v>2498</v>
      </c>
      <c r="D674" s="8" t="s">
        <v>17</v>
      </c>
      <c r="E674" s="9" t="s">
        <v>2463</v>
      </c>
      <c r="F674" s="10" t="s">
        <v>2498</v>
      </c>
      <c r="G674" s="10" t="s">
        <v>2499</v>
      </c>
      <c r="H674" s="10" t="s">
        <v>2422</v>
      </c>
      <c r="I674" s="11" t="s">
        <v>2500</v>
      </c>
      <c r="J674" s="11" t="s">
        <v>2501</v>
      </c>
      <c r="K674" s="12" t="s">
        <v>17</v>
      </c>
      <c r="L674" s="10" t="s">
        <v>2425</v>
      </c>
      <c r="M674" s="10" t="s">
        <v>15</v>
      </c>
      <c r="N674" s="2" t="s">
        <v>17</v>
      </c>
      <c r="O674" s="2" t="s">
        <v>17</v>
      </c>
      <c r="P674" s="2" t="s">
        <v>17</v>
      </c>
      <c r="S674" s="13"/>
    </row>
    <row r="675" spans="1:19" x14ac:dyDescent="0.2">
      <c r="A675" s="2">
        <v>672</v>
      </c>
      <c r="B675" s="8">
        <v>350710022</v>
      </c>
      <c r="C675" s="8" t="s">
        <v>2502</v>
      </c>
      <c r="D675" s="8" t="s">
        <v>17</v>
      </c>
      <c r="E675" s="9" t="s">
        <v>2463</v>
      </c>
      <c r="F675" s="10" t="s">
        <v>689</v>
      </c>
      <c r="G675" s="10" t="s">
        <v>2503</v>
      </c>
      <c r="H675" s="10" t="s">
        <v>2422</v>
      </c>
      <c r="I675" s="11" t="s">
        <v>2504</v>
      </c>
      <c r="J675" s="11" t="s">
        <v>2505</v>
      </c>
      <c r="K675" s="12" t="s">
        <v>17</v>
      </c>
      <c r="L675" s="10" t="s">
        <v>2425</v>
      </c>
      <c r="M675" s="10" t="s">
        <v>15</v>
      </c>
      <c r="N675" s="2" t="s">
        <v>17</v>
      </c>
      <c r="O675" s="2" t="s">
        <v>17</v>
      </c>
      <c r="P675" s="2" t="s">
        <v>17</v>
      </c>
      <c r="S675" s="13"/>
    </row>
    <row r="676" spans="1:19" x14ac:dyDescent="0.2">
      <c r="A676" s="2">
        <v>673</v>
      </c>
      <c r="B676" s="8">
        <v>350710023</v>
      </c>
      <c r="C676" s="8" t="s">
        <v>2506</v>
      </c>
      <c r="D676" s="8" t="s">
        <v>17</v>
      </c>
      <c r="E676" s="9" t="s">
        <v>2419</v>
      </c>
      <c r="F676" s="10" t="s">
        <v>2507</v>
      </c>
      <c r="G676" s="10" t="s">
        <v>807</v>
      </c>
      <c r="H676" s="10" t="s">
        <v>2422</v>
      </c>
      <c r="I676" s="11" t="s">
        <v>2508</v>
      </c>
      <c r="J676" s="11" t="s">
        <v>2509</v>
      </c>
      <c r="K676" s="12" t="s">
        <v>17</v>
      </c>
      <c r="L676" s="10" t="s">
        <v>2425</v>
      </c>
      <c r="M676" s="10" t="s">
        <v>15</v>
      </c>
      <c r="N676" s="2" t="s">
        <v>17</v>
      </c>
      <c r="O676" s="2" t="s">
        <v>17</v>
      </c>
      <c r="P676" s="2" t="s">
        <v>17</v>
      </c>
      <c r="S676" s="13"/>
    </row>
    <row r="677" spans="1:19" x14ac:dyDescent="0.2">
      <c r="A677" s="2">
        <v>674</v>
      </c>
      <c r="B677" s="8">
        <v>350710024</v>
      </c>
      <c r="C677" s="8" t="s">
        <v>2510</v>
      </c>
      <c r="D677" s="8" t="s">
        <v>17</v>
      </c>
      <c r="E677" s="9" t="s">
        <v>2463</v>
      </c>
      <c r="F677" s="10" t="s">
        <v>2510</v>
      </c>
      <c r="G677" s="10" t="s">
        <v>2511</v>
      </c>
      <c r="H677" s="10" t="s">
        <v>2422</v>
      </c>
      <c r="I677" s="11" t="s">
        <v>2512</v>
      </c>
      <c r="J677" s="11" t="s">
        <v>2513</v>
      </c>
      <c r="K677" s="12" t="s">
        <v>17</v>
      </c>
      <c r="L677" s="10" t="s">
        <v>2425</v>
      </c>
      <c r="M677" s="10" t="s">
        <v>15</v>
      </c>
      <c r="N677" s="2" t="s">
        <v>17</v>
      </c>
      <c r="O677" s="2" t="s">
        <v>17</v>
      </c>
      <c r="P677" s="2" t="s">
        <v>17</v>
      </c>
      <c r="S677" s="13"/>
    </row>
    <row r="678" spans="1:19" x14ac:dyDescent="0.2">
      <c r="A678" s="2">
        <v>675</v>
      </c>
      <c r="B678" s="8">
        <v>350710025</v>
      </c>
      <c r="C678" s="8" t="s">
        <v>2514</v>
      </c>
      <c r="D678" s="8" t="s">
        <v>17</v>
      </c>
      <c r="E678" s="9" t="s">
        <v>2463</v>
      </c>
      <c r="F678" s="10" t="s">
        <v>2515</v>
      </c>
      <c r="G678" s="10" t="s">
        <v>2516</v>
      </c>
      <c r="H678" s="10" t="s">
        <v>2422</v>
      </c>
      <c r="I678" s="11" t="s">
        <v>2517</v>
      </c>
      <c r="J678" s="11" t="s">
        <v>2518</v>
      </c>
      <c r="K678" s="12" t="s">
        <v>17</v>
      </c>
      <c r="L678" s="10" t="s">
        <v>2425</v>
      </c>
      <c r="M678" s="10" t="s">
        <v>15</v>
      </c>
      <c r="N678" s="2" t="s">
        <v>17</v>
      </c>
      <c r="O678" s="2" t="s">
        <v>17</v>
      </c>
      <c r="P678" s="2" t="s">
        <v>17</v>
      </c>
      <c r="S678" s="13"/>
    </row>
    <row r="679" spans="1:19" x14ac:dyDescent="0.2">
      <c r="A679" s="2">
        <v>676</v>
      </c>
      <c r="B679" s="8">
        <v>350710026</v>
      </c>
      <c r="C679" s="8" t="s">
        <v>2519</v>
      </c>
      <c r="D679" s="8" t="s">
        <v>17</v>
      </c>
      <c r="E679" s="9" t="s">
        <v>2419</v>
      </c>
      <c r="F679" s="10" t="s">
        <v>2519</v>
      </c>
      <c r="G679" s="10" t="s">
        <v>2519</v>
      </c>
      <c r="H679" s="10" t="s">
        <v>2422</v>
      </c>
      <c r="I679" s="11" t="s">
        <v>2520</v>
      </c>
      <c r="J679" s="11" t="s">
        <v>2521</v>
      </c>
      <c r="K679" s="12" t="s">
        <v>17</v>
      </c>
      <c r="L679" s="10" t="s">
        <v>2425</v>
      </c>
      <c r="M679" s="10" t="s">
        <v>15</v>
      </c>
      <c r="N679" s="2" t="s">
        <v>17</v>
      </c>
      <c r="O679" s="2" t="s">
        <v>17</v>
      </c>
      <c r="P679" s="2" t="s">
        <v>17</v>
      </c>
      <c r="S679" s="13"/>
    </row>
    <row r="680" spans="1:19" x14ac:dyDescent="0.2">
      <c r="A680" s="2">
        <v>677</v>
      </c>
      <c r="B680" s="8">
        <v>350710027</v>
      </c>
      <c r="C680" s="8" t="s">
        <v>2522</v>
      </c>
      <c r="D680" s="8" t="s">
        <v>17</v>
      </c>
      <c r="E680" s="9" t="s">
        <v>2419</v>
      </c>
      <c r="F680" s="10" t="s">
        <v>2523</v>
      </c>
      <c r="G680" s="10" t="s">
        <v>2421</v>
      </c>
      <c r="H680" s="10" t="s">
        <v>2422</v>
      </c>
      <c r="I680" s="11" t="s">
        <v>2524</v>
      </c>
      <c r="J680" s="11" t="s">
        <v>2525</v>
      </c>
      <c r="K680" s="12" t="s">
        <v>17</v>
      </c>
      <c r="L680" s="10" t="s">
        <v>2425</v>
      </c>
      <c r="M680" s="10" t="s">
        <v>15</v>
      </c>
      <c r="N680" s="2" t="s">
        <v>17</v>
      </c>
      <c r="O680" s="2" t="s">
        <v>17</v>
      </c>
      <c r="P680" s="2" t="s">
        <v>17</v>
      </c>
      <c r="S680" s="13"/>
    </row>
    <row r="681" spans="1:19" x14ac:dyDescent="0.2">
      <c r="A681" s="2">
        <v>678</v>
      </c>
      <c r="B681" s="8">
        <v>350710028</v>
      </c>
      <c r="C681" s="8" t="s">
        <v>1278</v>
      </c>
      <c r="D681" s="8" t="s">
        <v>17</v>
      </c>
      <c r="E681" s="9" t="s">
        <v>2463</v>
      </c>
      <c r="F681" s="10" t="s">
        <v>2477</v>
      </c>
      <c r="G681" s="10" t="s">
        <v>2465</v>
      </c>
      <c r="H681" s="10" t="s">
        <v>2422</v>
      </c>
      <c r="I681" s="11" t="s">
        <v>2526</v>
      </c>
      <c r="J681" s="11" t="s">
        <v>2527</v>
      </c>
      <c r="K681" s="12" t="s">
        <v>17</v>
      </c>
      <c r="L681" s="10" t="s">
        <v>2425</v>
      </c>
      <c r="M681" s="10" t="s">
        <v>15</v>
      </c>
      <c r="N681" s="2" t="s">
        <v>17</v>
      </c>
      <c r="O681" s="2" t="s">
        <v>17</v>
      </c>
      <c r="P681" s="2" t="s">
        <v>17</v>
      </c>
      <c r="S681" s="13"/>
    </row>
    <row r="682" spans="1:19" x14ac:dyDescent="0.2">
      <c r="A682" s="2">
        <v>679</v>
      </c>
      <c r="B682" s="8">
        <v>350710029</v>
      </c>
      <c r="C682" s="8" t="s">
        <v>2528</v>
      </c>
      <c r="D682" s="8" t="s">
        <v>17</v>
      </c>
      <c r="E682" s="9" t="s">
        <v>2419</v>
      </c>
      <c r="F682" s="10" t="s">
        <v>2523</v>
      </c>
      <c r="G682" s="10" t="s">
        <v>2421</v>
      </c>
      <c r="H682" s="10" t="s">
        <v>2422</v>
      </c>
      <c r="I682" s="11" t="s">
        <v>2529</v>
      </c>
      <c r="J682" s="11" t="s">
        <v>2530</v>
      </c>
      <c r="K682" s="12" t="s">
        <v>17</v>
      </c>
      <c r="L682" s="10" t="s">
        <v>2425</v>
      </c>
      <c r="M682" s="10" t="s">
        <v>15</v>
      </c>
      <c r="N682" s="2" t="s">
        <v>17</v>
      </c>
      <c r="O682" s="2" t="s">
        <v>17</v>
      </c>
      <c r="P682" s="2" t="s">
        <v>17</v>
      </c>
      <c r="S682" s="13"/>
    </row>
    <row r="683" spans="1:19" x14ac:dyDescent="0.2">
      <c r="A683" s="2">
        <v>680</v>
      </c>
      <c r="B683" s="8">
        <v>350710030</v>
      </c>
      <c r="C683" s="8" t="s">
        <v>2503</v>
      </c>
      <c r="D683" s="8" t="s">
        <v>17</v>
      </c>
      <c r="E683" s="9" t="s">
        <v>2463</v>
      </c>
      <c r="F683" s="10" t="s">
        <v>2503</v>
      </c>
      <c r="G683" s="10" t="s">
        <v>2503</v>
      </c>
      <c r="H683" s="10" t="s">
        <v>2422</v>
      </c>
      <c r="I683" s="11" t="s">
        <v>2531</v>
      </c>
      <c r="J683" s="11" t="s">
        <v>2532</v>
      </c>
      <c r="K683" s="12" t="s">
        <v>17</v>
      </c>
      <c r="L683" s="10" t="s">
        <v>2425</v>
      </c>
      <c r="M683" s="10" t="s">
        <v>15</v>
      </c>
      <c r="N683" s="2" t="s">
        <v>17</v>
      </c>
      <c r="O683" s="2" t="s">
        <v>17</v>
      </c>
      <c r="P683" s="2" t="s">
        <v>17</v>
      </c>
      <c r="S683" s="13"/>
    </row>
    <row r="684" spans="1:19" x14ac:dyDescent="0.2">
      <c r="A684" s="2">
        <v>681</v>
      </c>
      <c r="B684" s="8">
        <v>350710031</v>
      </c>
      <c r="C684" s="8" t="s">
        <v>2533</v>
      </c>
      <c r="D684" s="8" t="s">
        <v>17</v>
      </c>
      <c r="E684" s="9" t="s">
        <v>2419</v>
      </c>
      <c r="F684" s="10" t="s">
        <v>2534</v>
      </c>
      <c r="G684" s="10" t="s">
        <v>2442</v>
      </c>
      <c r="H684" s="10" t="s">
        <v>2422</v>
      </c>
      <c r="I684" s="11" t="s">
        <v>2535</v>
      </c>
      <c r="J684" s="11" t="s">
        <v>2536</v>
      </c>
      <c r="K684" s="12" t="s">
        <v>17</v>
      </c>
      <c r="L684" s="10" t="s">
        <v>2425</v>
      </c>
      <c r="M684" s="10" t="s">
        <v>15</v>
      </c>
      <c r="N684" s="2" t="s">
        <v>17</v>
      </c>
      <c r="O684" s="2" t="s">
        <v>17</v>
      </c>
      <c r="P684" s="2" t="s">
        <v>17</v>
      </c>
      <c r="S684" s="13"/>
    </row>
    <row r="685" spans="1:19" x14ac:dyDescent="0.2">
      <c r="A685" s="2">
        <v>682</v>
      </c>
      <c r="B685" s="8">
        <v>350710032</v>
      </c>
      <c r="C685" s="8" t="s">
        <v>2469</v>
      </c>
      <c r="D685" s="8" t="s">
        <v>17</v>
      </c>
      <c r="E685" s="9" t="s">
        <v>2463</v>
      </c>
      <c r="F685" s="10" t="s">
        <v>2469</v>
      </c>
      <c r="G685" s="10" t="s">
        <v>2469</v>
      </c>
      <c r="H685" s="10" t="s">
        <v>2422</v>
      </c>
      <c r="I685" s="11" t="s">
        <v>2537</v>
      </c>
      <c r="J685" s="11" t="s">
        <v>2538</v>
      </c>
      <c r="K685" s="12" t="s">
        <v>17</v>
      </c>
      <c r="L685" s="10" t="s">
        <v>2425</v>
      </c>
      <c r="M685" s="10" t="s">
        <v>15</v>
      </c>
      <c r="N685" s="2" t="s">
        <v>17</v>
      </c>
      <c r="O685" s="2" t="s">
        <v>17</v>
      </c>
      <c r="P685" s="2" t="s">
        <v>17</v>
      </c>
      <c r="S685" s="13"/>
    </row>
    <row r="686" spans="1:19" x14ac:dyDescent="0.2">
      <c r="A686" s="2">
        <v>683</v>
      </c>
      <c r="B686" s="8">
        <v>350710033</v>
      </c>
      <c r="C686" s="8" t="s">
        <v>2539</v>
      </c>
      <c r="D686" s="8" t="s">
        <v>17</v>
      </c>
      <c r="E686" s="9" t="s">
        <v>2419</v>
      </c>
      <c r="F686" s="10" t="s">
        <v>2540</v>
      </c>
      <c r="G686" s="10" t="s">
        <v>2539</v>
      </c>
      <c r="H686" s="10" t="s">
        <v>2422</v>
      </c>
      <c r="I686" s="11" t="s">
        <v>2541</v>
      </c>
      <c r="J686" s="11" t="s">
        <v>2542</v>
      </c>
      <c r="K686" s="12" t="s">
        <v>17</v>
      </c>
      <c r="L686" s="10" t="s">
        <v>2425</v>
      </c>
      <c r="M686" s="10" t="s">
        <v>15</v>
      </c>
      <c r="N686" s="2" t="s">
        <v>17</v>
      </c>
      <c r="O686" s="2" t="s">
        <v>17</v>
      </c>
      <c r="P686" s="2" t="s">
        <v>17</v>
      </c>
      <c r="S686" s="13"/>
    </row>
    <row r="687" spans="1:19" x14ac:dyDescent="0.2">
      <c r="A687" s="2">
        <v>684</v>
      </c>
      <c r="B687" s="8">
        <v>350710034</v>
      </c>
      <c r="C687" s="8" t="s">
        <v>2543</v>
      </c>
      <c r="D687" s="8" t="s">
        <v>17</v>
      </c>
      <c r="E687" s="9" t="s">
        <v>2419</v>
      </c>
      <c r="F687" s="10" t="s">
        <v>2544</v>
      </c>
      <c r="G687" s="10" t="s">
        <v>2544</v>
      </c>
      <c r="H687" s="10" t="s">
        <v>2422</v>
      </c>
      <c r="I687" s="11" t="s">
        <v>2545</v>
      </c>
      <c r="J687" s="11" t="s">
        <v>2546</v>
      </c>
      <c r="K687" s="12" t="s">
        <v>17</v>
      </c>
      <c r="L687" s="10" t="s">
        <v>2425</v>
      </c>
      <c r="M687" s="10" t="s">
        <v>15</v>
      </c>
      <c r="N687" s="2" t="s">
        <v>17</v>
      </c>
      <c r="O687" s="2" t="s">
        <v>17</v>
      </c>
      <c r="P687" s="2" t="s">
        <v>17</v>
      </c>
      <c r="S687" s="13"/>
    </row>
    <row r="688" spans="1:19" x14ac:dyDescent="0.2">
      <c r="A688" s="2">
        <v>685</v>
      </c>
      <c r="B688" s="8">
        <v>350710035</v>
      </c>
      <c r="C688" s="8" t="s">
        <v>2547</v>
      </c>
      <c r="D688" s="8" t="s">
        <v>17</v>
      </c>
      <c r="E688" s="9" t="s">
        <v>2419</v>
      </c>
      <c r="F688" s="10" t="s">
        <v>2420</v>
      </c>
      <c r="G688" s="10" t="s">
        <v>2421</v>
      </c>
      <c r="H688" s="10" t="s">
        <v>2422</v>
      </c>
      <c r="I688" s="11" t="s">
        <v>2548</v>
      </c>
      <c r="J688" s="11" t="s">
        <v>2549</v>
      </c>
      <c r="K688" s="12" t="s">
        <v>17</v>
      </c>
      <c r="L688" s="10" t="s">
        <v>2425</v>
      </c>
      <c r="M688" s="10" t="s">
        <v>15</v>
      </c>
      <c r="N688" s="2" t="s">
        <v>17</v>
      </c>
      <c r="O688" s="2" t="s">
        <v>17</v>
      </c>
      <c r="P688" s="2" t="s">
        <v>17</v>
      </c>
      <c r="S688" s="13"/>
    </row>
    <row r="689" spans="1:19" x14ac:dyDescent="0.2">
      <c r="A689" s="2">
        <v>686</v>
      </c>
      <c r="B689" s="8">
        <v>350710036</v>
      </c>
      <c r="C689" s="8" t="s">
        <v>2550</v>
      </c>
      <c r="D689" s="8" t="s">
        <v>17</v>
      </c>
      <c r="E689" s="9" t="s">
        <v>2419</v>
      </c>
      <c r="F689" s="10" t="s">
        <v>2550</v>
      </c>
      <c r="G689" s="10" t="s">
        <v>2550</v>
      </c>
      <c r="H689" s="10" t="s">
        <v>2422</v>
      </c>
      <c r="I689" s="11" t="s">
        <v>2551</v>
      </c>
      <c r="J689" s="11" t="s">
        <v>2552</v>
      </c>
      <c r="K689" s="12" t="s">
        <v>17</v>
      </c>
      <c r="L689" s="10" t="s">
        <v>2425</v>
      </c>
      <c r="M689" s="10" t="s">
        <v>15</v>
      </c>
      <c r="N689" s="2" t="s">
        <v>17</v>
      </c>
      <c r="O689" s="2" t="s">
        <v>17</v>
      </c>
      <c r="P689" s="2" t="s">
        <v>17</v>
      </c>
      <c r="S689" s="13"/>
    </row>
    <row r="690" spans="1:19" x14ac:dyDescent="0.2">
      <c r="A690" s="2">
        <v>687</v>
      </c>
      <c r="B690" s="8">
        <v>350710037</v>
      </c>
      <c r="C690" s="8" t="s">
        <v>2553</v>
      </c>
      <c r="D690" s="8" t="s">
        <v>17</v>
      </c>
      <c r="E690" s="9" t="s">
        <v>2419</v>
      </c>
      <c r="F690" s="10" t="s">
        <v>2553</v>
      </c>
      <c r="G690" s="10" t="s">
        <v>2554</v>
      </c>
      <c r="H690" s="10" t="s">
        <v>2422</v>
      </c>
      <c r="I690" s="11" t="s">
        <v>2555</v>
      </c>
      <c r="J690" s="11" t="s">
        <v>2556</v>
      </c>
      <c r="K690" s="12" t="s">
        <v>17</v>
      </c>
      <c r="L690" s="10" t="s">
        <v>2425</v>
      </c>
      <c r="M690" s="10" t="s">
        <v>15</v>
      </c>
      <c r="N690" s="2" t="s">
        <v>17</v>
      </c>
      <c r="O690" s="2" t="s">
        <v>17</v>
      </c>
      <c r="P690" s="2" t="s">
        <v>17</v>
      </c>
      <c r="S690" s="13"/>
    </row>
    <row r="691" spans="1:19" x14ac:dyDescent="0.2">
      <c r="A691" s="2">
        <v>688</v>
      </c>
      <c r="B691" s="8">
        <v>350710038</v>
      </c>
      <c r="C691" s="8" t="s">
        <v>2557</v>
      </c>
      <c r="D691" s="8" t="s">
        <v>17</v>
      </c>
      <c r="E691" s="9" t="s">
        <v>2419</v>
      </c>
      <c r="F691" s="10" t="s">
        <v>2557</v>
      </c>
      <c r="G691" s="10" t="s">
        <v>2435</v>
      </c>
      <c r="H691" s="10" t="s">
        <v>2422</v>
      </c>
      <c r="I691" s="11" t="s">
        <v>2558</v>
      </c>
      <c r="J691" s="11" t="s">
        <v>2559</v>
      </c>
      <c r="K691" s="12" t="s">
        <v>17</v>
      </c>
      <c r="L691" s="10" t="s">
        <v>2425</v>
      </c>
      <c r="M691" s="10" t="s">
        <v>15</v>
      </c>
      <c r="N691" s="2" t="s">
        <v>17</v>
      </c>
      <c r="O691" s="2" t="s">
        <v>17</v>
      </c>
      <c r="P691" s="2" t="s">
        <v>17</v>
      </c>
      <c r="S691" s="13"/>
    </row>
    <row r="692" spans="1:19" x14ac:dyDescent="0.2">
      <c r="A692" s="2">
        <v>689</v>
      </c>
      <c r="B692" s="8">
        <v>350710039</v>
      </c>
      <c r="C692" s="8" t="s">
        <v>2560</v>
      </c>
      <c r="D692" s="8" t="s">
        <v>17</v>
      </c>
      <c r="E692" s="9" t="s">
        <v>2419</v>
      </c>
      <c r="F692" s="10" t="s">
        <v>2560</v>
      </c>
      <c r="G692" s="10" t="s">
        <v>2446</v>
      </c>
      <c r="H692" s="10" t="s">
        <v>2422</v>
      </c>
      <c r="I692" s="11" t="s">
        <v>2561</v>
      </c>
      <c r="J692" s="11" t="s">
        <v>2562</v>
      </c>
      <c r="K692" s="12" t="s">
        <v>17</v>
      </c>
      <c r="L692" s="10" t="s">
        <v>2425</v>
      </c>
      <c r="M692" s="10" t="s">
        <v>15</v>
      </c>
      <c r="N692" s="2" t="s">
        <v>17</v>
      </c>
      <c r="O692" s="2" t="s">
        <v>17</v>
      </c>
      <c r="P692" s="2" t="s">
        <v>17</v>
      </c>
      <c r="S692" s="13"/>
    </row>
    <row r="693" spans="1:19" x14ac:dyDescent="0.2">
      <c r="A693" s="2">
        <v>690</v>
      </c>
      <c r="B693" s="8">
        <v>350710040</v>
      </c>
      <c r="C693" s="8" t="s">
        <v>2563</v>
      </c>
      <c r="D693" s="8" t="s">
        <v>17</v>
      </c>
      <c r="E693" s="9" t="s">
        <v>2463</v>
      </c>
      <c r="F693" s="10" t="s">
        <v>2564</v>
      </c>
      <c r="G693" s="10" t="s">
        <v>2564</v>
      </c>
      <c r="H693" s="10" t="s">
        <v>2422</v>
      </c>
      <c r="I693" s="11" t="s">
        <v>2565</v>
      </c>
      <c r="J693" s="11" t="s">
        <v>2566</v>
      </c>
      <c r="K693" s="12" t="s">
        <v>17</v>
      </c>
      <c r="L693" s="10" t="s">
        <v>2425</v>
      </c>
      <c r="M693" s="10" t="s">
        <v>15</v>
      </c>
      <c r="N693" s="2" t="s">
        <v>17</v>
      </c>
      <c r="O693" s="2" t="s">
        <v>17</v>
      </c>
      <c r="P693" s="2" t="s">
        <v>17</v>
      </c>
      <c r="S693" s="13"/>
    </row>
    <row r="694" spans="1:19" x14ac:dyDescent="0.2">
      <c r="A694" s="2">
        <v>691</v>
      </c>
      <c r="B694" s="8">
        <v>350710041</v>
      </c>
      <c r="C694" s="8" t="s">
        <v>2567</v>
      </c>
      <c r="D694" s="8" t="s">
        <v>17</v>
      </c>
      <c r="E694" s="9" t="s">
        <v>2419</v>
      </c>
      <c r="F694" s="10" t="s">
        <v>2568</v>
      </c>
      <c r="G694" s="10" t="s">
        <v>2473</v>
      </c>
      <c r="H694" s="10" t="s">
        <v>2422</v>
      </c>
      <c r="I694" s="11" t="s">
        <v>2569</v>
      </c>
      <c r="J694" s="11" t="s">
        <v>2570</v>
      </c>
      <c r="K694" s="12" t="s">
        <v>17</v>
      </c>
      <c r="L694" s="10" t="s">
        <v>2425</v>
      </c>
      <c r="M694" s="10" t="s">
        <v>15</v>
      </c>
      <c r="N694" s="2" t="s">
        <v>17</v>
      </c>
      <c r="O694" s="2" t="s">
        <v>17</v>
      </c>
      <c r="P694" s="2" t="s">
        <v>17</v>
      </c>
      <c r="S694" s="13"/>
    </row>
    <row r="695" spans="1:19" x14ac:dyDescent="0.2">
      <c r="A695" s="2">
        <v>692</v>
      </c>
      <c r="B695" s="8">
        <v>350710042</v>
      </c>
      <c r="C695" s="8" t="s">
        <v>1609</v>
      </c>
      <c r="D695" s="8" t="s">
        <v>17</v>
      </c>
      <c r="E695" s="9" t="s">
        <v>2419</v>
      </c>
      <c r="F695" s="10" t="s">
        <v>2571</v>
      </c>
      <c r="G695" s="10" t="s">
        <v>2428</v>
      </c>
      <c r="H695" s="10" t="s">
        <v>2422</v>
      </c>
      <c r="I695" s="11" t="s">
        <v>2572</v>
      </c>
      <c r="J695" s="11" t="s">
        <v>2573</v>
      </c>
      <c r="K695" s="12" t="s">
        <v>17</v>
      </c>
      <c r="L695" s="10" t="s">
        <v>2425</v>
      </c>
      <c r="M695" s="10" t="s">
        <v>15</v>
      </c>
      <c r="N695" s="2" t="s">
        <v>17</v>
      </c>
      <c r="O695" s="2" t="s">
        <v>17</v>
      </c>
      <c r="P695" s="2" t="s">
        <v>17</v>
      </c>
      <c r="S695" s="13"/>
    </row>
    <row r="696" spans="1:19" x14ac:dyDescent="0.2">
      <c r="A696" s="2">
        <v>693</v>
      </c>
      <c r="B696" s="8">
        <v>350710043</v>
      </c>
      <c r="C696" s="8" t="s">
        <v>2421</v>
      </c>
      <c r="D696" s="8" t="s">
        <v>17</v>
      </c>
      <c r="E696" s="9" t="s">
        <v>2419</v>
      </c>
      <c r="F696" s="10" t="s">
        <v>2421</v>
      </c>
      <c r="G696" s="10" t="s">
        <v>2421</v>
      </c>
      <c r="H696" s="10" t="s">
        <v>2422</v>
      </c>
      <c r="I696" s="11" t="s">
        <v>2574</v>
      </c>
      <c r="J696" s="11" t="s">
        <v>2575</v>
      </c>
      <c r="K696" s="12" t="s">
        <v>17</v>
      </c>
      <c r="L696" s="10" t="s">
        <v>2425</v>
      </c>
      <c r="M696" s="10" t="s">
        <v>15</v>
      </c>
      <c r="N696" s="2" t="s">
        <v>17</v>
      </c>
      <c r="O696" s="2" t="s">
        <v>17</v>
      </c>
      <c r="P696" s="2" t="s">
        <v>17</v>
      </c>
      <c r="S696" s="13"/>
    </row>
    <row r="697" spans="1:19" x14ac:dyDescent="0.2">
      <c r="A697" s="2">
        <v>694</v>
      </c>
      <c r="B697" s="8">
        <v>350710044</v>
      </c>
      <c r="C697" s="8" t="s">
        <v>2576</v>
      </c>
      <c r="D697" s="8" t="s">
        <v>17</v>
      </c>
      <c r="E697" s="9" t="s">
        <v>2419</v>
      </c>
      <c r="F697" s="10" t="s">
        <v>2576</v>
      </c>
      <c r="G697" s="10" t="s">
        <v>2539</v>
      </c>
      <c r="H697" s="10" t="s">
        <v>2422</v>
      </c>
      <c r="I697" s="11" t="s">
        <v>2577</v>
      </c>
      <c r="J697" s="11" t="s">
        <v>2578</v>
      </c>
      <c r="K697" s="12" t="s">
        <v>17</v>
      </c>
      <c r="L697" s="10" t="s">
        <v>2425</v>
      </c>
      <c r="M697" s="10" t="s">
        <v>15</v>
      </c>
      <c r="N697" s="2" t="s">
        <v>17</v>
      </c>
      <c r="O697" s="2" t="s">
        <v>17</v>
      </c>
      <c r="P697" s="2" t="s">
        <v>17</v>
      </c>
      <c r="S697" s="13"/>
    </row>
    <row r="698" spans="1:19" x14ac:dyDescent="0.2">
      <c r="A698" s="2">
        <v>695</v>
      </c>
      <c r="B698" s="8">
        <v>350710045</v>
      </c>
      <c r="C698" s="8" t="s">
        <v>2579</v>
      </c>
      <c r="D698" s="8" t="s">
        <v>17</v>
      </c>
      <c r="E698" s="9" t="s">
        <v>2419</v>
      </c>
      <c r="F698" s="10" t="s">
        <v>2580</v>
      </c>
      <c r="G698" s="10" t="s">
        <v>2550</v>
      </c>
      <c r="H698" s="10" t="s">
        <v>2422</v>
      </c>
      <c r="I698" s="11" t="s">
        <v>2581</v>
      </c>
      <c r="J698" s="11" t="s">
        <v>2582</v>
      </c>
      <c r="K698" s="12" t="s">
        <v>17</v>
      </c>
      <c r="L698" s="10" t="s">
        <v>2425</v>
      </c>
      <c r="M698" s="10" t="s">
        <v>15</v>
      </c>
      <c r="N698" s="2" t="s">
        <v>17</v>
      </c>
      <c r="O698" s="2" t="s">
        <v>17</v>
      </c>
      <c r="P698" s="2" t="s">
        <v>17</v>
      </c>
      <c r="S698" s="13"/>
    </row>
    <row r="699" spans="1:19" x14ac:dyDescent="0.2">
      <c r="A699" s="2">
        <v>696</v>
      </c>
      <c r="B699" s="8">
        <v>350711001</v>
      </c>
      <c r="C699" s="8" t="s">
        <v>2583</v>
      </c>
      <c r="D699" s="8" t="s">
        <v>17</v>
      </c>
      <c r="E699" s="9" t="s">
        <v>2419</v>
      </c>
      <c r="F699" s="10" t="s">
        <v>2584</v>
      </c>
      <c r="G699" s="10" t="s">
        <v>2585</v>
      </c>
      <c r="H699" s="10" t="s">
        <v>2586</v>
      </c>
      <c r="I699" s="11" t="s">
        <v>2587</v>
      </c>
      <c r="J699" s="11" t="s">
        <v>2588</v>
      </c>
      <c r="K699" s="12" t="s">
        <v>17</v>
      </c>
      <c r="L699" s="10" t="s">
        <v>804</v>
      </c>
      <c r="M699" s="10" t="s">
        <v>15</v>
      </c>
      <c r="N699" s="2" t="s">
        <v>17</v>
      </c>
      <c r="O699" s="2" t="s">
        <v>17</v>
      </c>
      <c r="P699" s="2" t="s">
        <v>17</v>
      </c>
      <c r="S699" s="13"/>
    </row>
    <row r="700" spans="1:19" x14ac:dyDescent="0.2">
      <c r="A700" s="2">
        <v>697</v>
      </c>
      <c r="B700" s="8">
        <v>350711002</v>
      </c>
      <c r="C700" s="8" t="s">
        <v>1425</v>
      </c>
      <c r="D700" s="8" t="s">
        <v>17</v>
      </c>
      <c r="E700" s="9" t="s">
        <v>2419</v>
      </c>
      <c r="F700" s="10" t="s">
        <v>2589</v>
      </c>
      <c r="G700" s="10" t="s">
        <v>2590</v>
      </c>
      <c r="H700" s="10" t="s">
        <v>2586</v>
      </c>
      <c r="I700" s="11" t="s">
        <v>2591</v>
      </c>
      <c r="J700" s="11" t="s">
        <v>2592</v>
      </c>
      <c r="K700" s="12" t="s">
        <v>17</v>
      </c>
      <c r="L700" s="10" t="s">
        <v>804</v>
      </c>
      <c r="M700" s="10" t="s">
        <v>15</v>
      </c>
      <c r="N700" s="2" t="s">
        <v>17</v>
      </c>
      <c r="O700" s="2" t="s">
        <v>17</v>
      </c>
      <c r="P700" s="2" t="s">
        <v>17</v>
      </c>
      <c r="S700" s="13"/>
    </row>
    <row r="701" spans="1:19" x14ac:dyDescent="0.2">
      <c r="A701" s="2">
        <v>698</v>
      </c>
      <c r="B701" s="8">
        <v>350711003</v>
      </c>
      <c r="C701" s="8" t="s">
        <v>2593</v>
      </c>
      <c r="D701" s="8" t="s">
        <v>17</v>
      </c>
      <c r="E701" s="9" t="s">
        <v>2419</v>
      </c>
      <c r="F701" s="10" t="s">
        <v>2594</v>
      </c>
      <c r="G701" s="10" t="s">
        <v>2595</v>
      </c>
      <c r="H701" s="10" t="s">
        <v>2586</v>
      </c>
      <c r="I701" s="11" t="s">
        <v>2596</v>
      </c>
      <c r="J701" s="11" t="s">
        <v>2597</v>
      </c>
      <c r="K701" s="12" t="s">
        <v>17</v>
      </c>
      <c r="L701" s="10" t="s">
        <v>804</v>
      </c>
      <c r="M701" s="10" t="s">
        <v>15</v>
      </c>
      <c r="N701" s="2" t="s">
        <v>17</v>
      </c>
      <c r="O701" s="2" t="s">
        <v>17</v>
      </c>
      <c r="P701" s="2" t="s">
        <v>17</v>
      </c>
      <c r="S701" s="13" t="e">
        <f t="shared" ref="S701:S908" si="0">-J701</f>
        <v>#VALUE!</v>
      </c>
    </row>
    <row r="702" spans="1:19" x14ac:dyDescent="0.2">
      <c r="A702" s="2">
        <v>699</v>
      </c>
      <c r="B702" s="8">
        <v>350711004</v>
      </c>
      <c r="C702" s="8" t="s">
        <v>2598</v>
      </c>
      <c r="D702" s="8" t="s">
        <v>17</v>
      </c>
      <c r="E702" s="9" t="s">
        <v>2419</v>
      </c>
      <c r="F702" s="10" t="s">
        <v>2599</v>
      </c>
      <c r="G702" s="10" t="s">
        <v>2599</v>
      </c>
      <c r="H702" s="10" t="s">
        <v>2586</v>
      </c>
      <c r="I702" s="11" t="s">
        <v>2600</v>
      </c>
      <c r="J702" s="11" t="s">
        <v>2601</v>
      </c>
      <c r="K702" s="12" t="s">
        <v>17</v>
      </c>
      <c r="L702" s="10" t="s">
        <v>804</v>
      </c>
      <c r="M702" s="10" t="s">
        <v>15</v>
      </c>
      <c r="N702" s="2" t="s">
        <v>17</v>
      </c>
      <c r="O702" s="2" t="s">
        <v>17</v>
      </c>
      <c r="P702" s="2" t="s">
        <v>17</v>
      </c>
      <c r="S702" s="13" t="e">
        <f t="shared" si="0"/>
        <v>#VALUE!</v>
      </c>
    </row>
    <row r="703" spans="1:19" x14ac:dyDescent="0.2">
      <c r="A703" s="2">
        <v>700</v>
      </c>
      <c r="B703" s="8">
        <v>350711005</v>
      </c>
      <c r="C703" s="8" t="s">
        <v>2602</v>
      </c>
      <c r="D703" s="8" t="s">
        <v>17</v>
      </c>
      <c r="E703" s="9" t="s">
        <v>2419</v>
      </c>
      <c r="F703" s="10" t="s">
        <v>2603</v>
      </c>
      <c r="G703" s="10" t="s">
        <v>2604</v>
      </c>
      <c r="H703" s="10" t="s">
        <v>2586</v>
      </c>
      <c r="I703" s="11" t="s">
        <v>2605</v>
      </c>
      <c r="J703" s="11" t="s">
        <v>2606</v>
      </c>
      <c r="K703" s="12" t="s">
        <v>17</v>
      </c>
      <c r="L703" s="10" t="s">
        <v>804</v>
      </c>
      <c r="M703" s="2" t="s">
        <v>15</v>
      </c>
      <c r="N703" s="2" t="s">
        <v>17</v>
      </c>
      <c r="O703" s="2" t="s">
        <v>17</v>
      </c>
      <c r="P703" s="2" t="s">
        <v>17</v>
      </c>
      <c r="S703" s="13" t="e">
        <f t="shared" si="0"/>
        <v>#VALUE!</v>
      </c>
    </row>
    <row r="704" spans="1:19" x14ac:dyDescent="0.2">
      <c r="A704" s="2">
        <v>701</v>
      </c>
      <c r="B704" s="8">
        <v>350711006</v>
      </c>
      <c r="C704" s="8" t="s">
        <v>2607</v>
      </c>
      <c r="D704" s="8" t="s">
        <v>17</v>
      </c>
      <c r="E704" s="9" t="s">
        <v>2419</v>
      </c>
      <c r="F704" s="10" t="s">
        <v>2608</v>
      </c>
      <c r="G704" s="10" t="s">
        <v>2608</v>
      </c>
      <c r="H704" s="10" t="s">
        <v>2586</v>
      </c>
      <c r="I704" s="11" t="s">
        <v>2609</v>
      </c>
      <c r="J704" s="11" t="s">
        <v>2610</v>
      </c>
      <c r="K704" s="12" t="s">
        <v>17</v>
      </c>
      <c r="L704" s="10" t="s">
        <v>804</v>
      </c>
      <c r="M704" s="2" t="s">
        <v>15</v>
      </c>
      <c r="N704" s="2" t="s">
        <v>17</v>
      </c>
      <c r="O704" s="2" t="s">
        <v>17</v>
      </c>
      <c r="P704" s="2" t="s">
        <v>17</v>
      </c>
      <c r="S704" s="13"/>
    </row>
    <row r="705" spans="1:19" x14ac:dyDescent="0.2">
      <c r="A705" s="2">
        <v>702</v>
      </c>
      <c r="B705" s="8">
        <v>350711007</v>
      </c>
      <c r="C705" s="8" t="s">
        <v>2611</v>
      </c>
      <c r="D705" s="8" t="s">
        <v>17</v>
      </c>
      <c r="E705" s="9" t="s">
        <v>2419</v>
      </c>
      <c r="F705" s="10" t="s">
        <v>2612</v>
      </c>
      <c r="G705" s="10" t="s">
        <v>2613</v>
      </c>
      <c r="H705" s="10" t="s">
        <v>2586</v>
      </c>
      <c r="I705" s="11" t="s">
        <v>2614</v>
      </c>
      <c r="J705" s="11" t="s">
        <v>2615</v>
      </c>
      <c r="K705" s="12" t="s">
        <v>17</v>
      </c>
      <c r="L705" s="10" t="s">
        <v>804</v>
      </c>
      <c r="M705" s="2" t="s">
        <v>15</v>
      </c>
      <c r="N705" s="2" t="s">
        <v>17</v>
      </c>
      <c r="O705" s="2" t="s">
        <v>17</v>
      </c>
      <c r="P705" s="2" t="s">
        <v>17</v>
      </c>
      <c r="S705" s="13"/>
    </row>
    <row r="706" spans="1:19" x14ac:dyDescent="0.2">
      <c r="A706" s="2">
        <v>703</v>
      </c>
      <c r="B706" s="8">
        <v>350711008</v>
      </c>
      <c r="C706" s="8" t="s">
        <v>2616</v>
      </c>
      <c r="D706" s="8" t="s">
        <v>17</v>
      </c>
      <c r="E706" s="9" t="s">
        <v>2419</v>
      </c>
      <c r="F706" s="10" t="s">
        <v>2617</v>
      </c>
      <c r="G706" s="10" t="s">
        <v>1737</v>
      </c>
      <c r="H706" s="10" t="s">
        <v>2586</v>
      </c>
      <c r="I706" s="11" t="s">
        <v>2618</v>
      </c>
      <c r="J706" s="11" t="s">
        <v>2619</v>
      </c>
      <c r="K706" s="12" t="s">
        <v>17</v>
      </c>
      <c r="L706" s="10" t="s">
        <v>804</v>
      </c>
      <c r="M706" s="2" t="s">
        <v>15</v>
      </c>
      <c r="N706" s="2" t="s">
        <v>17</v>
      </c>
      <c r="O706" s="2" t="s">
        <v>17</v>
      </c>
      <c r="P706" s="2" t="s">
        <v>17</v>
      </c>
      <c r="S706" s="13"/>
    </row>
    <row r="707" spans="1:19" x14ac:dyDescent="0.2">
      <c r="A707" s="2">
        <v>704</v>
      </c>
      <c r="B707" s="8">
        <v>350711009</v>
      </c>
      <c r="C707" s="8" t="s">
        <v>944</v>
      </c>
      <c r="D707" s="8" t="s">
        <v>17</v>
      </c>
      <c r="E707" s="9" t="s">
        <v>2419</v>
      </c>
      <c r="F707" s="10" t="s">
        <v>944</v>
      </c>
      <c r="G707" s="10" t="s">
        <v>2604</v>
      </c>
      <c r="H707" s="10" t="s">
        <v>2586</v>
      </c>
      <c r="I707" s="11" t="s">
        <v>2620</v>
      </c>
      <c r="J707" s="11" t="s">
        <v>2621</v>
      </c>
      <c r="K707" s="12" t="s">
        <v>17</v>
      </c>
      <c r="L707" s="10" t="s">
        <v>804</v>
      </c>
      <c r="M707" s="2" t="s">
        <v>15</v>
      </c>
      <c r="N707" s="2" t="s">
        <v>17</v>
      </c>
      <c r="O707" s="2" t="s">
        <v>17</v>
      </c>
      <c r="P707" s="2" t="s">
        <v>17</v>
      </c>
      <c r="S707" s="13"/>
    </row>
    <row r="708" spans="1:19" x14ac:dyDescent="0.2">
      <c r="A708" s="2">
        <v>705</v>
      </c>
      <c r="B708" s="8">
        <v>350711010</v>
      </c>
      <c r="C708" s="8" t="s">
        <v>2622</v>
      </c>
      <c r="D708" s="8" t="s">
        <v>17</v>
      </c>
      <c r="E708" s="9" t="s">
        <v>2419</v>
      </c>
      <c r="F708" s="10" t="s">
        <v>2622</v>
      </c>
      <c r="G708" s="10" t="s">
        <v>2623</v>
      </c>
      <c r="H708" s="10" t="s">
        <v>2586</v>
      </c>
      <c r="I708" s="11" t="s">
        <v>2624</v>
      </c>
      <c r="J708" s="11" t="s">
        <v>2625</v>
      </c>
      <c r="K708" s="12" t="s">
        <v>17</v>
      </c>
      <c r="L708" s="10" t="s">
        <v>804</v>
      </c>
      <c r="M708" s="2" t="s">
        <v>15</v>
      </c>
      <c r="N708" s="2" t="s">
        <v>17</v>
      </c>
      <c r="O708" s="2" t="s">
        <v>17</v>
      </c>
      <c r="P708" s="2" t="s">
        <v>17</v>
      </c>
      <c r="S708" s="13"/>
    </row>
    <row r="709" spans="1:19" x14ac:dyDescent="0.2">
      <c r="A709" s="2">
        <v>706</v>
      </c>
      <c r="B709" s="8">
        <v>350711011</v>
      </c>
      <c r="C709" s="8" t="s">
        <v>2595</v>
      </c>
      <c r="D709" s="8" t="s">
        <v>17</v>
      </c>
      <c r="E709" s="9" t="s">
        <v>2419</v>
      </c>
      <c r="F709" s="10" t="s">
        <v>2595</v>
      </c>
      <c r="G709" s="10" t="s">
        <v>2626</v>
      </c>
      <c r="H709" s="10" t="s">
        <v>2586</v>
      </c>
      <c r="I709" s="11" t="s">
        <v>2627</v>
      </c>
      <c r="J709" s="11" t="s">
        <v>2628</v>
      </c>
      <c r="K709" s="12" t="s">
        <v>17</v>
      </c>
      <c r="L709" s="10" t="s">
        <v>804</v>
      </c>
      <c r="M709" s="2" t="s">
        <v>15</v>
      </c>
      <c r="N709" s="2" t="s">
        <v>17</v>
      </c>
      <c r="O709" s="2" t="s">
        <v>17</v>
      </c>
      <c r="P709" s="2" t="s">
        <v>17</v>
      </c>
      <c r="S709" s="13"/>
    </row>
    <row r="710" spans="1:19" x14ac:dyDescent="0.2">
      <c r="A710" s="2">
        <v>707</v>
      </c>
      <c r="B710" s="8">
        <v>350711012</v>
      </c>
      <c r="C710" s="8" t="s">
        <v>2629</v>
      </c>
      <c r="D710" s="8" t="s">
        <v>17</v>
      </c>
      <c r="E710" s="9" t="s">
        <v>2419</v>
      </c>
      <c r="F710" s="10" t="s">
        <v>2630</v>
      </c>
      <c r="G710" s="10" t="s">
        <v>2631</v>
      </c>
      <c r="H710" s="10" t="s">
        <v>2586</v>
      </c>
      <c r="I710" s="11" t="s">
        <v>2632</v>
      </c>
      <c r="J710" s="11" t="s">
        <v>2633</v>
      </c>
      <c r="K710" s="12" t="s">
        <v>17</v>
      </c>
      <c r="L710" s="10" t="s">
        <v>804</v>
      </c>
      <c r="M710" s="2" t="s">
        <v>15</v>
      </c>
      <c r="N710" s="2" t="s">
        <v>17</v>
      </c>
      <c r="O710" s="2" t="s">
        <v>17</v>
      </c>
      <c r="P710" s="2" t="s">
        <v>17</v>
      </c>
      <c r="S710" s="13"/>
    </row>
    <row r="711" spans="1:19" x14ac:dyDescent="0.2">
      <c r="A711" s="2">
        <v>708</v>
      </c>
      <c r="B711" s="8">
        <v>350711013</v>
      </c>
      <c r="C711" s="8" t="s">
        <v>2634</v>
      </c>
      <c r="D711" s="8" t="s">
        <v>17</v>
      </c>
      <c r="E711" s="9" t="s">
        <v>2419</v>
      </c>
      <c r="F711" s="10" t="s">
        <v>2634</v>
      </c>
      <c r="G711" s="10" t="s">
        <v>2634</v>
      </c>
      <c r="H711" s="10" t="s">
        <v>2586</v>
      </c>
      <c r="I711" s="11" t="s">
        <v>2635</v>
      </c>
      <c r="J711" s="11" t="s">
        <v>2636</v>
      </c>
      <c r="K711" s="12" t="s">
        <v>17</v>
      </c>
      <c r="L711" s="10" t="s">
        <v>804</v>
      </c>
      <c r="M711" s="2" t="s">
        <v>15</v>
      </c>
      <c r="N711" s="2" t="s">
        <v>17</v>
      </c>
      <c r="O711" s="2" t="s">
        <v>17</v>
      </c>
      <c r="P711" s="2" t="s">
        <v>17</v>
      </c>
      <c r="S711" s="13"/>
    </row>
    <row r="712" spans="1:19" x14ac:dyDescent="0.2">
      <c r="A712" s="2">
        <v>709</v>
      </c>
      <c r="B712" s="8">
        <v>350711014</v>
      </c>
      <c r="C712" s="8" t="s">
        <v>2637</v>
      </c>
      <c r="D712" s="8" t="s">
        <v>17</v>
      </c>
      <c r="E712" s="9" t="s">
        <v>2419</v>
      </c>
      <c r="F712" s="10" t="s">
        <v>2638</v>
      </c>
      <c r="G712" s="10" t="s">
        <v>2604</v>
      </c>
      <c r="H712" s="10" t="s">
        <v>2586</v>
      </c>
      <c r="I712" s="11" t="s">
        <v>2639</v>
      </c>
      <c r="J712" s="11" t="s">
        <v>2640</v>
      </c>
      <c r="K712" s="12" t="s">
        <v>17</v>
      </c>
      <c r="L712" s="10" t="s">
        <v>804</v>
      </c>
      <c r="M712" s="2" t="s">
        <v>15</v>
      </c>
      <c r="N712" s="2" t="s">
        <v>17</v>
      </c>
      <c r="O712" s="2" t="s">
        <v>17</v>
      </c>
      <c r="P712" s="2" t="s">
        <v>17</v>
      </c>
      <c r="S712" s="13"/>
    </row>
    <row r="713" spans="1:19" x14ac:dyDescent="0.2">
      <c r="A713" s="2">
        <v>710</v>
      </c>
      <c r="B713" s="8">
        <v>350711015</v>
      </c>
      <c r="C713" s="8" t="s">
        <v>2641</v>
      </c>
      <c r="D713" s="8" t="s">
        <v>17</v>
      </c>
      <c r="E713" s="9" t="s">
        <v>2419</v>
      </c>
      <c r="F713" s="10" t="s">
        <v>2641</v>
      </c>
      <c r="G713" s="10" t="s">
        <v>2642</v>
      </c>
      <c r="H713" s="10" t="s">
        <v>2586</v>
      </c>
      <c r="I713" s="11" t="s">
        <v>2643</v>
      </c>
      <c r="J713" s="11" t="s">
        <v>2644</v>
      </c>
      <c r="K713" s="12" t="s">
        <v>17</v>
      </c>
      <c r="L713" s="10" t="s">
        <v>804</v>
      </c>
      <c r="M713" s="2" t="s">
        <v>15</v>
      </c>
      <c r="N713" s="2" t="s">
        <v>17</v>
      </c>
      <c r="O713" s="2" t="s">
        <v>17</v>
      </c>
      <c r="P713" s="2" t="s">
        <v>17</v>
      </c>
      <c r="S713" s="13"/>
    </row>
    <row r="714" spans="1:19" x14ac:dyDescent="0.2">
      <c r="A714" s="2">
        <v>711</v>
      </c>
      <c r="B714" s="8">
        <v>350711016</v>
      </c>
      <c r="C714" s="8" t="s">
        <v>607</v>
      </c>
      <c r="D714" s="8" t="s">
        <v>17</v>
      </c>
      <c r="E714" s="9" t="s">
        <v>2419</v>
      </c>
      <c r="F714" s="10" t="s">
        <v>2645</v>
      </c>
      <c r="G714" s="10" t="s">
        <v>2599</v>
      </c>
      <c r="H714" s="10" t="s">
        <v>2586</v>
      </c>
      <c r="I714" s="11" t="s">
        <v>2646</v>
      </c>
      <c r="J714" s="11" t="s">
        <v>2647</v>
      </c>
      <c r="K714" s="12" t="s">
        <v>17</v>
      </c>
      <c r="L714" s="10" t="s">
        <v>804</v>
      </c>
      <c r="M714" s="2" t="s">
        <v>15</v>
      </c>
      <c r="N714" s="2" t="s">
        <v>17</v>
      </c>
      <c r="O714" s="2" t="s">
        <v>17</v>
      </c>
      <c r="P714" s="2" t="s">
        <v>17</v>
      </c>
      <c r="S714" s="13"/>
    </row>
    <row r="715" spans="1:19" x14ac:dyDescent="0.2">
      <c r="A715" s="2">
        <v>712</v>
      </c>
      <c r="B715" s="8">
        <v>350711017</v>
      </c>
      <c r="C715" s="8" t="s">
        <v>2648</v>
      </c>
      <c r="D715" s="8" t="s">
        <v>17</v>
      </c>
      <c r="E715" s="9" t="s">
        <v>2419</v>
      </c>
      <c r="F715" s="10" t="s">
        <v>2649</v>
      </c>
      <c r="G715" s="10" t="s">
        <v>671</v>
      </c>
      <c r="H715" s="10" t="s">
        <v>2586</v>
      </c>
      <c r="I715" s="11" t="s">
        <v>2650</v>
      </c>
      <c r="J715" s="11" t="s">
        <v>2651</v>
      </c>
      <c r="K715" s="12" t="s">
        <v>17</v>
      </c>
      <c r="L715" s="10" t="s">
        <v>804</v>
      </c>
      <c r="M715" s="2" t="s">
        <v>15</v>
      </c>
      <c r="N715" s="2" t="s">
        <v>17</v>
      </c>
      <c r="O715" s="2" t="s">
        <v>17</v>
      </c>
      <c r="P715" s="2" t="s">
        <v>17</v>
      </c>
      <c r="S715" s="13"/>
    </row>
    <row r="716" spans="1:19" x14ac:dyDescent="0.2">
      <c r="A716" s="2">
        <v>713</v>
      </c>
      <c r="B716" s="8">
        <v>350711018</v>
      </c>
      <c r="C716" s="8" t="s">
        <v>2631</v>
      </c>
      <c r="D716" s="8" t="s">
        <v>17</v>
      </c>
      <c r="E716" s="9" t="s">
        <v>2419</v>
      </c>
      <c r="F716" s="10" t="s">
        <v>2652</v>
      </c>
      <c r="G716" s="10" t="s">
        <v>2631</v>
      </c>
      <c r="H716" s="10" t="s">
        <v>2586</v>
      </c>
      <c r="I716" s="11" t="s">
        <v>2653</v>
      </c>
      <c r="J716" s="11" t="s">
        <v>2654</v>
      </c>
      <c r="K716" s="12" t="s">
        <v>17</v>
      </c>
      <c r="L716" s="10" t="s">
        <v>804</v>
      </c>
      <c r="M716" s="2" t="s">
        <v>15</v>
      </c>
      <c r="N716" s="2" t="s">
        <v>17</v>
      </c>
      <c r="O716" s="2" t="s">
        <v>17</v>
      </c>
      <c r="P716" s="2" t="s">
        <v>17</v>
      </c>
      <c r="S716" s="13"/>
    </row>
    <row r="717" spans="1:19" x14ac:dyDescent="0.2">
      <c r="A717" s="2">
        <v>714</v>
      </c>
      <c r="B717" s="8">
        <v>350711019</v>
      </c>
      <c r="C717" s="8" t="s">
        <v>2655</v>
      </c>
      <c r="D717" s="8" t="s">
        <v>17</v>
      </c>
      <c r="E717" s="9" t="s">
        <v>2419</v>
      </c>
      <c r="F717" s="10" t="s">
        <v>842</v>
      </c>
      <c r="G717" s="10" t="s">
        <v>2595</v>
      </c>
      <c r="H717" s="10" t="s">
        <v>2586</v>
      </c>
      <c r="I717" s="11" t="s">
        <v>2656</v>
      </c>
      <c r="J717" s="11" t="s">
        <v>2657</v>
      </c>
      <c r="K717" s="12" t="s">
        <v>17</v>
      </c>
      <c r="L717" s="10" t="s">
        <v>804</v>
      </c>
      <c r="M717" s="2" t="s">
        <v>15</v>
      </c>
      <c r="N717" s="2" t="s">
        <v>17</v>
      </c>
      <c r="O717" s="2" t="s">
        <v>17</v>
      </c>
      <c r="P717" s="2" t="s">
        <v>17</v>
      </c>
      <c r="S717" s="13"/>
    </row>
    <row r="718" spans="1:19" x14ac:dyDescent="0.2">
      <c r="A718" s="2">
        <v>715</v>
      </c>
      <c r="B718" s="8">
        <v>350711020</v>
      </c>
      <c r="C718" s="8" t="s">
        <v>2658</v>
      </c>
      <c r="D718" s="8" t="s">
        <v>17</v>
      </c>
      <c r="E718" s="9" t="s">
        <v>2419</v>
      </c>
      <c r="F718" s="10" t="s">
        <v>2659</v>
      </c>
      <c r="G718" s="10" t="s">
        <v>2599</v>
      </c>
      <c r="H718" s="10" t="s">
        <v>2586</v>
      </c>
      <c r="I718" s="11" t="s">
        <v>2660</v>
      </c>
      <c r="J718" s="11" t="s">
        <v>2661</v>
      </c>
      <c r="K718" s="12" t="s">
        <v>17</v>
      </c>
      <c r="L718" s="10" t="s">
        <v>804</v>
      </c>
      <c r="M718" s="2" t="s">
        <v>15</v>
      </c>
      <c r="N718" s="2" t="s">
        <v>17</v>
      </c>
      <c r="O718" s="2" t="s">
        <v>17</v>
      </c>
      <c r="P718" s="2" t="s">
        <v>17</v>
      </c>
      <c r="S718" s="13"/>
    </row>
    <row r="719" spans="1:19" x14ac:dyDescent="0.2">
      <c r="A719" s="2">
        <v>716</v>
      </c>
      <c r="B719" s="8">
        <v>350711021</v>
      </c>
      <c r="C719" s="8" t="s">
        <v>2662</v>
      </c>
      <c r="D719" s="8" t="s">
        <v>17</v>
      </c>
      <c r="E719" s="9" t="s">
        <v>2419</v>
      </c>
      <c r="F719" s="10" t="s">
        <v>2663</v>
      </c>
      <c r="G719" s="10" t="s">
        <v>2599</v>
      </c>
      <c r="H719" s="10" t="s">
        <v>2586</v>
      </c>
      <c r="I719" s="11" t="s">
        <v>2664</v>
      </c>
      <c r="J719" s="11" t="s">
        <v>2665</v>
      </c>
      <c r="K719" s="12" t="s">
        <v>17</v>
      </c>
      <c r="L719" s="10" t="s">
        <v>804</v>
      </c>
      <c r="M719" s="2" t="s">
        <v>15</v>
      </c>
      <c r="N719" s="2" t="s">
        <v>17</v>
      </c>
      <c r="O719" s="2" t="s">
        <v>17</v>
      </c>
      <c r="P719" s="2" t="s">
        <v>17</v>
      </c>
      <c r="S719" s="13"/>
    </row>
    <row r="720" spans="1:19" x14ac:dyDescent="0.2">
      <c r="A720" s="2">
        <v>717</v>
      </c>
      <c r="B720" s="8">
        <v>350711022</v>
      </c>
      <c r="C720" s="8" t="s">
        <v>2666</v>
      </c>
      <c r="D720" s="8" t="s">
        <v>17</v>
      </c>
      <c r="E720" s="9" t="s">
        <v>2419</v>
      </c>
      <c r="F720" s="10" t="s">
        <v>2667</v>
      </c>
      <c r="G720" s="10" t="s">
        <v>2590</v>
      </c>
      <c r="H720" s="10" t="s">
        <v>2586</v>
      </c>
      <c r="I720" s="11" t="s">
        <v>2668</v>
      </c>
      <c r="J720" s="11" t="s">
        <v>2669</v>
      </c>
      <c r="K720" s="12" t="s">
        <v>17</v>
      </c>
      <c r="L720" s="10" t="s">
        <v>804</v>
      </c>
      <c r="M720" s="2" t="s">
        <v>15</v>
      </c>
      <c r="N720" s="2" t="s">
        <v>17</v>
      </c>
      <c r="O720" s="2" t="s">
        <v>17</v>
      </c>
      <c r="P720" s="2" t="s">
        <v>17</v>
      </c>
      <c r="S720" s="13"/>
    </row>
    <row r="721" spans="1:19" x14ac:dyDescent="0.2">
      <c r="A721" s="2">
        <v>718</v>
      </c>
      <c r="B721" s="8">
        <v>350711023</v>
      </c>
      <c r="C721" s="8" t="s">
        <v>2670</v>
      </c>
      <c r="D721" s="8" t="s">
        <v>17</v>
      </c>
      <c r="E721" s="9" t="s">
        <v>2419</v>
      </c>
      <c r="F721" s="10" t="s">
        <v>2671</v>
      </c>
      <c r="G721" s="10" t="s">
        <v>2672</v>
      </c>
      <c r="H721" s="10" t="s">
        <v>2586</v>
      </c>
      <c r="I721" s="11" t="s">
        <v>2673</v>
      </c>
      <c r="J721" s="11" t="s">
        <v>2674</v>
      </c>
      <c r="K721" s="12" t="s">
        <v>17</v>
      </c>
      <c r="L721" s="10" t="s">
        <v>804</v>
      </c>
      <c r="M721" s="2" t="s">
        <v>15</v>
      </c>
      <c r="N721" s="2" t="s">
        <v>17</v>
      </c>
      <c r="O721" s="2" t="s">
        <v>17</v>
      </c>
      <c r="P721" s="2" t="s">
        <v>17</v>
      </c>
      <c r="S721" s="13"/>
    </row>
    <row r="722" spans="1:19" x14ac:dyDescent="0.2">
      <c r="A722" s="2">
        <v>719</v>
      </c>
      <c r="B722" s="8">
        <v>350711024</v>
      </c>
      <c r="C722" s="8" t="s">
        <v>2675</v>
      </c>
      <c r="D722" s="8" t="s">
        <v>17</v>
      </c>
      <c r="E722" s="9" t="s">
        <v>2419</v>
      </c>
      <c r="F722" s="10" t="s">
        <v>2676</v>
      </c>
      <c r="G722" s="10" t="s">
        <v>2677</v>
      </c>
      <c r="H722" s="10" t="s">
        <v>2586</v>
      </c>
      <c r="I722" s="11" t="s">
        <v>2678</v>
      </c>
      <c r="J722" s="11" t="s">
        <v>2679</v>
      </c>
      <c r="K722" s="12" t="s">
        <v>17</v>
      </c>
      <c r="L722" s="10" t="s">
        <v>804</v>
      </c>
      <c r="M722" s="2" t="s">
        <v>15</v>
      </c>
      <c r="N722" s="2" t="s">
        <v>17</v>
      </c>
      <c r="O722" s="2" t="s">
        <v>17</v>
      </c>
      <c r="P722" s="2" t="s">
        <v>17</v>
      </c>
      <c r="S722" s="13"/>
    </row>
    <row r="723" spans="1:19" x14ac:dyDescent="0.2">
      <c r="A723" s="2">
        <v>720</v>
      </c>
      <c r="B723" s="8">
        <v>350711025</v>
      </c>
      <c r="C723" s="8" t="s">
        <v>2680</v>
      </c>
      <c r="D723" s="8" t="s">
        <v>17</v>
      </c>
      <c r="E723" s="9" t="s">
        <v>2419</v>
      </c>
      <c r="F723" s="10" t="s">
        <v>2681</v>
      </c>
      <c r="G723" s="10" t="s">
        <v>2586</v>
      </c>
      <c r="H723" s="10" t="s">
        <v>2586</v>
      </c>
      <c r="I723" s="11" t="s">
        <v>2682</v>
      </c>
      <c r="J723" s="11" t="s">
        <v>2683</v>
      </c>
      <c r="K723" s="12" t="s">
        <v>17</v>
      </c>
      <c r="L723" s="10" t="s">
        <v>804</v>
      </c>
      <c r="M723" s="2" t="s">
        <v>15</v>
      </c>
      <c r="N723" s="2" t="s">
        <v>17</v>
      </c>
      <c r="O723" s="2" t="s">
        <v>17</v>
      </c>
      <c r="P723" s="2" t="s">
        <v>17</v>
      </c>
      <c r="S723" s="13"/>
    </row>
    <row r="724" spans="1:19" x14ac:dyDescent="0.2">
      <c r="A724" s="2">
        <v>721</v>
      </c>
      <c r="B724" s="8">
        <v>350711026</v>
      </c>
      <c r="C724" s="8" t="s">
        <v>2684</v>
      </c>
      <c r="D724" s="8" t="s">
        <v>17</v>
      </c>
      <c r="E724" s="9" t="s">
        <v>2419</v>
      </c>
      <c r="F724" s="10" t="s">
        <v>2638</v>
      </c>
      <c r="G724" s="10" t="s">
        <v>2604</v>
      </c>
      <c r="H724" s="10" t="s">
        <v>2586</v>
      </c>
      <c r="I724" s="11" t="s">
        <v>2685</v>
      </c>
      <c r="J724" s="11" t="s">
        <v>2686</v>
      </c>
      <c r="K724" s="12" t="s">
        <v>17</v>
      </c>
      <c r="L724" s="10" t="s">
        <v>804</v>
      </c>
      <c r="M724" s="2" t="s">
        <v>15</v>
      </c>
      <c r="N724" s="2" t="s">
        <v>17</v>
      </c>
      <c r="O724" s="2" t="s">
        <v>17</v>
      </c>
      <c r="P724" s="2" t="s">
        <v>17</v>
      </c>
      <c r="S724" s="13"/>
    </row>
    <row r="725" spans="1:19" x14ac:dyDescent="0.2">
      <c r="A725" s="2">
        <v>722</v>
      </c>
      <c r="B725" s="8">
        <v>350711027</v>
      </c>
      <c r="C725" s="8" t="s">
        <v>2645</v>
      </c>
      <c r="D725" s="8" t="s">
        <v>17</v>
      </c>
      <c r="E725" s="9" t="s">
        <v>2419</v>
      </c>
      <c r="F725" s="10" t="s">
        <v>2645</v>
      </c>
      <c r="G725" s="10" t="s">
        <v>2599</v>
      </c>
      <c r="H725" s="10" t="s">
        <v>2586</v>
      </c>
      <c r="I725" s="11" t="s">
        <v>2687</v>
      </c>
      <c r="J725" s="11" t="s">
        <v>2688</v>
      </c>
      <c r="K725" s="12" t="s">
        <v>17</v>
      </c>
      <c r="L725" s="10" t="s">
        <v>804</v>
      </c>
      <c r="M725" s="2" t="s">
        <v>15</v>
      </c>
      <c r="N725" s="2" t="s">
        <v>17</v>
      </c>
      <c r="O725" s="2" t="s">
        <v>17</v>
      </c>
      <c r="P725" s="2" t="s">
        <v>17</v>
      </c>
      <c r="S725" s="13"/>
    </row>
    <row r="726" spans="1:19" x14ac:dyDescent="0.2">
      <c r="A726" s="2">
        <v>723</v>
      </c>
      <c r="B726" s="8">
        <v>350711028</v>
      </c>
      <c r="C726" s="8" t="s">
        <v>2689</v>
      </c>
      <c r="D726" s="8" t="s">
        <v>17</v>
      </c>
      <c r="E726" s="9" t="s">
        <v>2419</v>
      </c>
      <c r="F726" s="10" t="s">
        <v>2689</v>
      </c>
      <c r="G726" s="10" t="s">
        <v>1737</v>
      </c>
      <c r="H726" s="10" t="s">
        <v>2586</v>
      </c>
      <c r="I726" s="11" t="s">
        <v>2690</v>
      </c>
      <c r="J726" s="11" t="s">
        <v>2691</v>
      </c>
      <c r="K726" s="12" t="s">
        <v>17</v>
      </c>
      <c r="L726" s="10" t="s">
        <v>804</v>
      </c>
      <c r="M726" s="2" t="s">
        <v>15</v>
      </c>
      <c r="N726" s="2" t="s">
        <v>17</v>
      </c>
      <c r="O726" s="2" t="s">
        <v>17</v>
      </c>
      <c r="P726" s="2" t="s">
        <v>17</v>
      </c>
      <c r="S726" s="13"/>
    </row>
    <row r="727" spans="1:19" x14ac:dyDescent="0.2">
      <c r="A727" s="2">
        <v>724</v>
      </c>
      <c r="B727" s="8">
        <v>350711029</v>
      </c>
      <c r="C727" s="8" t="s">
        <v>2692</v>
      </c>
      <c r="D727" s="8" t="s">
        <v>17</v>
      </c>
      <c r="E727" s="9" t="s">
        <v>2419</v>
      </c>
      <c r="F727" s="10" t="s">
        <v>2652</v>
      </c>
      <c r="G727" s="10" t="s">
        <v>2631</v>
      </c>
      <c r="H727" s="10" t="s">
        <v>2586</v>
      </c>
      <c r="I727" s="11" t="s">
        <v>2693</v>
      </c>
      <c r="J727" s="11" t="s">
        <v>2694</v>
      </c>
      <c r="K727" s="12" t="s">
        <v>17</v>
      </c>
      <c r="L727" s="10" t="s">
        <v>804</v>
      </c>
      <c r="M727" s="2" t="s">
        <v>15</v>
      </c>
      <c r="N727" s="2" t="s">
        <v>17</v>
      </c>
      <c r="O727" s="2" t="s">
        <v>17</v>
      </c>
      <c r="P727" s="2" t="s">
        <v>17</v>
      </c>
      <c r="S727" s="13"/>
    </row>
    <row r="728" spans="1:19" x14ac:dyDescent="0.2">
      <c r="A728" s="2">
        <v>725</v>
      </c>
      <c r="B728" s="8">
        <v>350711030</v>
      </c>
      <c r="C728" s="8" t="s">
        <v>2695</v>
      </c>
      <c r="D728" s="8" t="s">
        <v>17</v>
      </c>
      <c r="E728" s="9" t="s">
        <v>2419</v>
      </c>
      <c r="F728" s="10" t="s">
        <v>2695</v>
      </c>
      <c r="G728" s="10" t="s">
        <v>2695</v>
      </c>
      <c r="H728" s="10" t="s">
        <v>2586</v>
      </c>
      <c r="I728" s="11" t="s">
        <v>2696</v>
      </c>
      <c r="J728" s="11" t="s">
        <v>2697</v>
      </c>
      <c r="K728" s="12" t="s">
        <v>17</v>
      </c>
      <c r="L728" s="10" t="s">
        <v>804</v>
      </c>
      <c r="M728" s="2" t="s">
        <v>15</v>
      </c>
      <c r="N728" s="2" t="s">
        <v>17</v>
      </c>
      <c r="O728" s="2" t="s">
        <v>17</v>
      </c>
      <c r="P728" s="2" t="s">
        <v>17</v>
      </c>
      <c r="S728" s="13"/>
    </row>
    <row r="729" spans="1:19" x14ac:dyDescent="0.2">
      <c r="A729" s="2">
        <v>726</v>
      </c>
      <c r="B729" s="8">
        <v>350711031</v>
      </c>
      <c r="C729" s="8" t="s">
        <v>2698</v>
      </c>
      <c r="D729" s="8" t="s">
        <v>17</v>
      </c>
      <c r="E729" s="9" t="s">
        <v>2419</v>
      </c>
      <c r="F729" s="10" t="s">
        <v>2642</v>
      </c>
      <c r="G729" s="10" t="s">
        <v>2642</v>
      </c>
      <c r="H729" s="10" t="s">
        <v>2586</v>
      </c>
      <c r="I729" s="11" t="s">
        <v>2699</v>
      </c>
      <c r="J729" s="11" t="s">
        <v>2700</v>
      </c>
      <c r="K729" s="12" t="s">
        <v>17</v>
      </c>
      <c r="L729" s="10" t="s">
        <v>804</v>
      </c>
      <c r="M729" s="2" t="s">
        <v>15</v>
      </c>
      <c r="N729" s="2" t="s">
        <v>17</v>
      </c>
      <c r="O729" s="2" t="s">
        <v>17</v>
      </c>
      <c r="P729" s="2" t="s">
        <v>17</v>
      </c>
      <c r="S729" s="13"/>
    </row>
    <row r="730" spans="1:19" x14ac:dyDescent="0.2">
      <c r="A730" s="2">
        <v>727</v>
      </c>
      <c r="B730" s="8">
        <v>350711032</v>
      </c>
      <c r="C730" s="8" t="s">
        <v>2701</v>
      </c>
      <c r="D730" s="8" t="s">
        <v>17</v>
      </c>
      <c r="E730" s="9" t="s">
        <v>2419</v>
      </c>
      <c r="F730" s="10" t="s">
        <v>2702</v>
      </c>
      <c r="G730" s="10" t="s">
        <v>2595</v>
      </c>
      <c r="H730" s="10" t="s">
        <v>2586</v>
      </c>
      <c r="I730" s="11" t="s">
        <v>2703</v>
      </c>
      <c r="J730" s="11" t="s">
        <v>2704</v>
      </c>
      <c r="K730" s="12" t="s">
        <v>17</v>
      </c>
      <c r="L730" s="10" t="s">
        <v>804</v>
      </c>
      <c r="M730" s="2" t="s">
        <v>15</v>
      </c>
      <c r="N730" s="2" t="s">
        <v>17</v>
      </c>
      <c r="O730" s="2" t="s">
        <v>17</v>
      </c>
      <c r="P730" s="2" t="s">
        <v>17</v>
      </c>
      <c r="S730" s="13"/>
    </row>
    <row r="731" spans="1:19" x14ac:dyDescent="0.2">
      <c r="A731" s="2">
        <v>728</v>
      </c>
      <c r="B731" s="8">
        <v>350711033</v>
      </c>
      <c r="C731" s="8" t="s">
        <v>1041</v>
      </c>
      <c r="D731" s="8" t="s">
        <v>17</v>
      </c>
      <c r="E731" s="9" t="s">
        <v>2419</v>
      </c>
      <c r="F731" s="10" t="s">
        <v>1041</v>
      </c>
      <c r="G731" s="10" t="s">
        <v>1041</v>
      </c>
      <c r="H731" s="10" t="s">
        <v>2586</v>
      </c>
      <c r="I731" s="11" t="s">
        <v>2705</v>
      </c>
      <c r="J731" s="11" t="s">
        <v>2706</v>
      </c>
      <c r="K731" s="12" t="s">
        <v>17</v>
      </c>
      <c r="L731" s="10" t="s">
        <v>804</v>
      </c>
      <c r="M731" s="2" t="s">
        <v>15</v>
      </c>
      <c r="N731" s="2" t="s">
        <v>17</v>
      </c>
      <c r="O731" s="2" t="s">
        <v>17</v>
      </c>
      <c r="P731" s="2" t="s">
        <v>17</v>
      </c>
      <c r="S731" s="13"/>
    </row>
    <row r="732" spans="1:19" x14ac:dyDescent="0.2">
      <c r="A732" s="2">
        <v>729</v>
      </c>
      <c r="B732" s="8">
        <v>350711034</v>
      </c>
      <c r="C732" s="8" t="s">
        <v>2707</v>
      </c>
      <c r="D732" s="8" t="s">
        <v>17</v>
      </c>
      <c r="E732" s="9" t="s">
        <v>2419</v>
      </c>
      <c r="F732" s="10" t="s">
        <v>1041</v>
      </c>
      <c r="G732" s="10" t="s">
        <v>2611</v>
      </c>
      <c r="H732" s="10" t="s">
        <v>2586</v>
      </c>
      <c r="I732" s="11" t="s">
        <v>2708</v>
      </c>
      <c r="J732" s="11" t="s">
        <v>2709</v>
      </c>
      <c r="K732" s="12" t="s">
        <v>17</v>
      </c>
      <c r="L732" s="10" t="s">
        <v>804</v>
      </c>
      <c r="M732" s="2" t="s">
        <v>15</v>
      </c>
      <c r="N732" s="2" t="s">
        <v>17</v>
      </c>
      <c r="O732" s="2" t="s">
        <v>17</v>
      </c>
      <c r="P732" s="2" t="s">
        <v>17</v>
      </c>
      <c r="S732" s="13"/>
    </row>
    <row r="733" spans="1:19" x14ac:dyDescent="0.2">
      <c r="A733" s="2">
        <v>730</v>
      </c>
      <c r="B733" s="8">
        <v>350711035</v>
      </c>
      <c r="C733" s="8" t="s">
        <v>2710</v>
      </c>
      <c r="D733" s="8" t="s">
        <v>17</v>
      </c>
      <c r="E733" s="9" t="s">
        <v>2419</v>
      </c>
      <c r="F733" s="10" t="s">
        <v>2711</v>
      </c>
      <c r="G733" s="10" t="s">
        <v>1041</v>
      </c>
      <c r="H733" s="10" t="s">
        <v>2586</v>
      </c>
      <c r="I733" s="11" t="s">
        <v>2712</v>
      </c>
      <c r="J733" s="11" t="s">
        <v>2713</v>
      </c>
      <c r="K733" s="12" t="s">
        <v>17</v>
      </c>
      <c r="L733" s="10" t="s">
        <v>804</v>
      </c>
      <c r="M733" s="2" t="s">
        <v>15</v>
      </c>
      <c r="N733" s="2" t="s">
        <v>17</v>
      </c>
      <c r="O733" s="2" t="s">
        <v>17</v>
      </c>
      <c r="P733" s="2" t="s">
        <v>17</v>
      </c>
      <c r="S733" s="13"/>
    </row>
    <row r="734" spans="1:19" x14ac:dyDescent="0.2">
      <c r="A734" s="2">
        <v>731</v>
      </c>
      <c r="B734" s="8">
        <v>350711036</v>
      </c>
      <c r="C734" s="8" t="s">
        <v>2714</v>
      </c>
      <c r="D734" s="8" t="s">
        <v>17</v>
      </c>
      <c r="E734" s="9" t="s">
        <v>2419</v>
      </c>
      <c r="F734" s="10" t="s">
        <v>1810</v>
      </c>
      <c r="G734" s="10" t="s">
        <v>2714</v>
      </c>
      <c r="H734" s="10" t="s">
        <v>2586</v>
      </c>
      <c r="I734" s="11" t="s">
        <v>2715</v>
      </c>
      <c r="J734" s="11" t="s">
        <v>2716</v>
      </c>
      <c r="K734" s="12" t="s">
        <v>17</v>
      </c>
      <c r="L734" s="10" t="s">
        <v>804</v>
      </c>
      <c r="M734" s="2" t="s">
        <v>15</v>
      </c>
      <c r="N734" s="2" t="s">
        <v>17</v>
      </c>
      <c r="O734" s="2" t="s">
        <v>17</v>
      </c>
      <c r="P734" s="2" t="s">
        <v>17</v>
      </c>
      <c r="S734" s="13"/>
    </row>
    <row r="735" spans="1:19" x14ac:dyDescent="0.2">
      <c r="A735" s="2">
        <v>732</v>
      </c>
      <c r="B735" s="8">
        <v>350712001</v>
      </c>
      <c r="C735" s="8" t="s">
        <v>2717</v>
      </c>
      <c r="D735" s="8" t="s">
        <v>17</v>
      </c>
      <c r="E735" s="9" t="s">
        <v>2419</v>
      </c>
      <c r="F735" s="10" t="s">
        <v>2427</v>
      </c>
      <c r="G735" s="10" t="s">
        <v>1357</v>
      </c>
      <c r="H735" s="10" t="s">
        <v>2718</v>
      </c>
      <c r="I735" s="11" t="s">
        <v>2719</v>
      </c>
      <c r="J735" s="11" t="s">
        <v>2720</v>
      </c>
      <c r="K735" s="12" t="s">
        <v>17</v>
      </c>
      <c r="L735" s="10" t="s">
        <v>804</v>
      </c>
      <c r="M735" s="2" t="s">
        <v>15</v>
      </c>
      <c r="N735" s="2" t="s">
        <v>17</v>
      </c>
      <c r="O735" s="2" t="s">
        <v>17</v>
      </c>
      <c r="P735" s="2" t="s">
        <v>17</v>
      </c>
      <c r="S735" s="13"/>
    </row>
    <row r="736" spans="1:19" x14ac:dyDescent="0.2">
      <c r="A736" s="2">
        <v>733</v>
      </c>
      <c r="B736" s="8">
        <v>350712002</v>
      </c>
      <c r="C736" s="8" t="s">
        <v>2721</v>
      </c>
      <c r="D736" s="8" t="s">
        <v>17</v>
      </c>
      <c r="E736" s="9" t="s">
        <v>2419</v>
      </c>
      <c r="F736" s="10" t="s">
        <v>2721</v>
      </c>
      <c r="G736" s="10" t="s">
        <v>2721</v>
      </c>
      <c r="H736" s="10" t="s">
        <v>2718</v>
      </c>
      <c r="I736" s="11" t="s">
        <v>2722</v>
      </c>
      <c r="J736" s="11" t="s">
        <v>2723</v>
      </c>
      <c r="K736" s="12" t="s">
        <v>17</v>
      </c>
      <c r="L736" s="10" t="s">
        <v>804</v>
      </c>
      <c r="M736" s="2" t="s">
        <v>15</v>
      </c>
      <c r="N736" s="2" t="s">
        <v>17</v>
      </c>
      <c r="O736" s="2" t="s">
        <v>17</v>
      </c>
      <c r="P736" s="2" t="s">
        <v>17</v>
      </c>
      <c r="S736" s="13"/>
    </row>
    <row r="737" spans="1:19" x14ac:dyDescent="0.2">
      <c r="A737" s="2">
        <v>734</v>
      </c>
      <c r="B737" s="8">
        <v>350712003</v>
      </c>
      <c r="C737" s="8" t="s">
        <v>2724</v>
      </c>
      <c r="D737" s="8" t="s">
        <v>17</v>
      </c>
      <c r="E737" s="9" t="s">
        <v>2419</v>
      </c>
      <c r="F737" s="10" t="s">
        <v>1104</v>
      </c>
      <c r="G737" s="10" t="s">
        <v>1104</v>
      </c>
      <c r="H737" s="10" t="s">
        <v>2718</v>
      </c>
      <c r="I737" s="11" t="s">
        <v>2725</v>
      </c>
      <c r="J737" s="11" t="s">
        <v>2726</v>
      </c>
      <c r="K737" s="12" t="s">
        <v>17</v>
      </c>
      <c r="L737" s="10" t="s">
        <v>804</v>
      </c>
      <c r="M737" s="2" t="s">
        <v>15</v>
      </c>
      <c r="N737" s="2" t="s">
        <v>17</v>
      </c>
      <c r="O737" s="2" t="s">
        <v>17</v>
      </c>
      <c r="P737" s="2" t="s">
        <v>17</v>
      </c>
      <c r="S737" s="13"/>
    </row>
    <row r="738" spans="1:19" x14ac:dyDescent="0.2">
      <c r="A738" s="2">
        <v>735</v>
      </c>
      <c r="B738" s="8">
        <v>350712004</v>
      </c>
      <c r="C738" s="8" t="s">
        <v>2727</v>
      </c>
      <c r="D738" s="8" t="s">
        <v>17</v>
      </c>
      <c r="E738" s="9" t="s">
        <v>2419</v>
      </c>
      <c r="F738" s="10" t="s">
        <v>1104</v>
      </c>
      <c r="G738" s="10" t="s">
        <v>1104</v>
      </c>
      <c r="H738" s="10" t="s">
        <v>2718</v>
      </c>
      <c r="I738" s="11" t="s">
        <v>2728</v>
      </c>
      <c r="J738" s="11" t="s">
        <v>2729</v>
      </c>
      <c r="K738" s="12" t="s">
        <v>17</v>
      </c>
      <c r="L738" s="10" t="s">
        <v>804</v>
      </c>
      <c r="M738" s="2" t="s">
        <v>15</v>
      </c>
      <c r="N738" s="2" t="s">
        <v>17</v>
      </c>
      <c r="O738" s="2" t="s">
        <v>17</v>
      </c>
      <c r="P738" s="2" t="s">
        <v>17</v>
      </c>
      <c r="S738" s="13"/>
    </row>
    <row r="739" spans="1:19" x14ac:dyDescent="0.2">
      <c r="A739" s="2">
        <v>736</v>
      </c>
      <c r="B739" s="8">
        <v>350712005</v>
      </c>
      <c r="C739" s="8" t="s">
        <v>2730</v>
      </c>
      <c r="D739" s="8" t="s">
        <v>17</v>
      </c>
      <c r="E739" s="9" t="s">
        <v>2419</v>
      </c>
      <c r="F739" s="10" t="s">
        <v>2730</v>
      </c>
      <c r="G739" s="10" t="s">
        <v>2730</v>
      </c>
      <c r="H739" s="10" t="s">
        <v>2718</v>
      </c>
      <c r="I739" s="11" t="s">
        <v>2731</v>
      </c>
      <c r="J739" s="11" t="s">
        <v>2732</v>
      </c>
      <c r="K739" s="12" t="s">
        <v>17</v>
      </c>
      <c r="L739" s="10" t="s">
        <v>804</v>
      </c>
      <c r="M739" s="2" t="s">
        <v>15</v>
      </c>
      <c r="N739" s="2" t="s">
        <v>17</v>
      </c>
      <c r="O739" s="2" t="s">
        <v>17</v>
      </c>
      <c r="P739" s="2" t="s">
        <v>17</v>
      </c>
      <c r="S739" s="13"/>
    </row>
    <row r="740" spans="1:19" x14ac:dyDescent="0.2">
      <c r="A740" s="2">
        <v>737</v>
      </c>
      <c r="B740" s="8">
        <v>350712006</v>
      </c>
      <c r="C740" s="8" t="s">
        <v>2733</v>
      </c>
      <c r="D740" s="8" t="s">
        <v>17</v>
      </c>
      <c r="E740" s="9" t="s">
        <v>2419</v>
      </c>
      <c r="F740" s="10" t="s">
        <v>2734</v>
      </c>
      <c r="G740" s="10" t="s">
        <v>2735</v>
      </c>
      <c r="H740" s="10" t="s">
        <v>2718</v>
      </c>
      <c r="I740" s="11" t="s">
        <v>2736</v>
      </c>
      <c r="J740" s="11" t="s">
        <v>2737</v>
      </c>
      <c r="K740" s="12" t="s">
        <v>17</v>
      </c>
      <c r="L740" s="10" t="s">
        <v>804</v>
      </c>
      <c r="M740" s="2" t="s">
        <v>15</v>
      </c>
      <c r="N740" s="2" t="s">
        <v>17</v>
      </c>
      <c r="O740" s="2" t="s">
        <v>17</v>
      </c>
      <c r="P740" s="2" t="s">
        <v>17</v>
      </c>
      <c r="S740" s="13"/>
    </row>
    <row r="741" spans="1:19" x14ac:dyDescent="0.2">
      <c r="A741" s="2">
        <v>738</v>
      </c>
      <c r="B741" s="8">
        <v>350712007</v>
      </c>
      <c r="C741" s="8" t="s">
        <v>2738</v>
      </c>
      <c r="D741" s="8" t="s">
        <v>17</v>
      </c>
      <c r="E741" s="9" t="s">
        <v>2419</v>
      </c>
      <c r="F741" s="10" t="s">
        <v>2735</v>
      </c>
      <c r="G741" s="10" t="s">
        <v>2735</v>
      </c>
      <c r="H741" s="10" t="s">
        <v>2718</v>
      </c>
      <c r="I741" s="11" t="s">
        <v>2739</v>
      </c>
      <c r="J741" s="11" t="s">
        <v>2740</v>
      </c>
      <c r="K741" s="12" t="s">
        <v>17</v>
      </c>
      <c r="L741" s="10" t="s">
        <v>804</v>
      </c>
      <c r="M741" s="2" t="s">
        <v>15</v>
      </c>
      <c r="N741" s="2" t="s">
        <v>17</v>
      </c>
      <c r="O741" s="2" t="s">
        <v>17</v>
      </c>
      <c r="P741" s="2" t="s">
        <v>17</v>
      </c>
      <c r="S741" s="13"/>
    </row>
    <row r="742" spans="1:19" x14ac:dyDescent="0.2">
      <c r="A742" s="2">
        <v>739</v>
      </c>
      <c r="B742" s="8">
        <v>350712008</v>
      </c>
      <c r="C742" s="8" t="s">
        <v>2741</v>
      </c>
      <c r="D742" s="8" t="s">
        <v>17</v>
      </c>
      <c r="E742" s="9" t="s">
        <v>2419</v>
      </c>
      <c r="F742" s="10" t="s">
        <v>2742</v>
      </c>
      <c r="G742" s="10" t="s">
        <v>2743</v>
      </c>
      <c r="H742" s="10" t="s">
        <v>2718</v>
      </c>
      <c r="I742" s="11" t="s">
        <v>2744</v>
      </c>
      <c r="J742" s="11" t="s">
        <v>2745</v>
      </c>
      <c r="K742" s="12" t="s">
        <v>17</v>
      </c>
      <c r="L742" s="10" t="s">
        <v>804</v>
      </c>
      <c r="M742" s="2" t="s">
        <v>15</v>
      </c>
      <c r="N742" s="2" t="s">
        <v>17</v>
      </c>
      <c r="O742" s="2" t="s">
        <v>17</v>
      </c>
      <c r="P742" s="2" t="s">
        <v>17</v>
      </c>
      <c r="S742" s="13"/>
    </row>
    <row r="743" spans="1:19" x14ac:dyDescent="0.2">
      <c r="A743" s="2">
        <v>740</v>
      </c>
      <c r="B743" s="8">
        <v>350712009</v>
      </c>
      <c r="C743" s="8" t="s">
        <v>2746</v>
      </c>
      <c r="D743" s="8" t="s">
        <v>17</v>
      </c>
      <c r="E743" s="9" t="s">
        <v>2419</v>
      </c>
      <c r="F743" s="10" t="s">
        <v>2730</v>
      </c>
      <c r="G743" s="10" t="s">
        <v>2730</v>
      </c>
      <c r="H743" s="10" t="s">
        <v>2718</v>
      </c>
      <c r="I743" s="11" t="s">
        <v>2747</v>
      </c>
      <c r="J743" s="11" t="s">
        <v>2748</v>
      </c>
      <c r="K743" s="12" t="s">
        <v>17</v>
      </c>
      <c r="L743" s="10" t="s">
        <v>804</v>
      </c>
      <c r="M743" s="2" t="s">
        <v>15</v>
      </c>
      <c r="N743" s="2" t="s">
        <v>17</v>
      </c>
      <c r="O743" s="2" t="s">
        <v>17</v>
      </c>
      <c r="P743" s="2" t="s">
        <v>17</v>
      </c>
      <c r="S743" s="13"/>
    </row>
    <row r="744" spans="1:19" x14ac:dyDescent="0.2">
      <c r="A744" s="2">
        <v>741</v>
      </c>
      <c r="B744" s="8">
        <v>350712010</v>
      </c>
      <c r="C744" s="8" t="s">
        <v>2749</v>
      </c>
      <c r="D744" s="8" t="s">
        <v>17</v>
      </c>
      <c r="E744" s="9" t="s">
        <v>2419</v>
      </c>
      <c r="F744" s="10" t="s">
        <v>1425</v>
      </c>
      <c r="G744" s="10" t="s">
        <v>1104</v>
      </c>
      <c r="H744" s="10" t="s">
        <v>2718</v>
      </c>
      <c r="I744" s="11" t="s">
        <v>2750</v>
      </c>
      <c r="J744" s="11" t="s">
        <v>2751</v>
      </c>
      <c r="K744" s="12" t="s">
        <v>17</v>
      </c>
      <c r="L744" s="10" t="s">
        <v>804</v>
      </c>
      <c r="M744" s="2" t="s">
        <v>15</v>
      </c>
      <c r="N744" s="2" t="s">
        <v>17</v>
      </c>
      <c r="O744" s="2" t="s">
        <v>17</v>
      </c>
      <c r="P744" s="2" t="s">
        <v>17</v>
      </c>
      <c r="S744" s="13"/>
    </row>
    <row r="745" spans="1:19" x14ac:dyDescent="0.2">
      <c r="A745" s="2">
        <v>742</v>
      </c>
      <c r="B745" s="8">
        <v>350712011</v>
      </c>
      <c r="C745" s="8" t="s">
        <v>2752</v>
      </c>
      <c r="D745" s="8" t="s">
        <v>17</v>
      </c>
      <c r="E745" s="9" t="s">
        <v>2419</v>
      </c>
      <c r="F745" s="10" t="s">
        <v>2753</v>
      </c>
      <c r="G745" s="10" t="s">
        <v>2753</v>
      </c>
      <c r="H745" s="10" t="s">
        <v>2718</v>
      </c>
      <c r="I745" s="11" t="s">
        <v>2754</v>
      </c>
      <c r="J745" s="11" t="s">
        <v>2755</v>
      </c>
      <c r="K745" s="12" t="s">
        <v>17</v>
      </c>
      <c r="L745" s="10" t="s">
        <v>804</v>
      </c>
      <c r="M745" s="2" t="s">
        <v>15</v>
      </c>
      <c r="N745" s="2" t="s">
        <v>17</v>
      </c>
      <c r="O745" s="2" t="s">
        <v>17</v>
      </c>
      <c r="P745" s="2" t="s">
        <v>17</v>
      </c>
      <c r="S745" s="13"/>
    </row>
    <row r="746" spans="1:19" x14ac:dyDescent="0.2">
      <c r="A746" s="2">
        <v>743</v>
      </c>
      <c r="B746" s="8">
        <v>350712012</v>
      </c>
      <c r="C746" s="8" t="s">
        <v>2756</v>
      </c>
      <c r="D746" s="8" t="s">
        <v>17</v>
      </c>
      <c r="E746" s="9" t="s">
        <v>2419</v>
      </c>
      <c r="F746" s="10" t="s">
        <v>1263</v>
      </c>
      <c r="G746" s="10" t="s">
        <v>2718</v>
      </c>
      <c r="H746" s="10" t="s">
        <v>2718</v>
      </c>
      <c r="I746" s="11" t="s">
        <v>2757</v>
      </c>
      <c r="J746" s="11" t="s">
        <v>2758</v>
      </c>
      <c r="K746" s="12" t="s">
        <v>17</v>
      </c>
      <c r="L746" s="10" t="s">
        <v>804</v>
      </c>
      <c r="M746" s="2" t="s">
        <v>15</v>
      </c>
      <c r="N746" s="2" t="s">
        <v>17</v>
      </c>
      <c r="O746" s="2" t="s">
        <v>17</v>
      </c>
      <c r="P746" s="2" t="s">
        <v>17</v>
      </c>
      <c r="S746" s="13"/>
    </row>
    <row r="747" spans="1:19" x14ac:dyDescent="0.2">
      <c r="A747" s="2">
        <v>744</v>
      </c>
      <c r="B747" s="8">
        <v>350712013</v>
      </c>
      <c r="C747" s="8" t="s">
        <v>2759</v>
      </c>
      <c r="D747" s="8" t="s">
        <v>17</v>
      </c>
      <c r="E747" s="9" t="s">
        <v>2419</v>
      </c>
      <c r="F747" s="10" t="s">
        <v>440</v>
      </c>
      <c r="G747" s="10" t="s">
        <v>2753</v>
      </c>
      <c r="H747" s="10" t="s">
        <v>2718</v>
      </c>
      <c r="I747" s="11" t="s">
        <v>2760</v>
      </c>
      <c r="J747" s="11" t="s">
        <v>2761</v>
      </c>
      <c r="K747" s="12" t="s">
        <v>17</v>
      </c>
      <c r="L747" s="10" t="s">
        <v>804</v>
      </c>
      <c r="M747" s="2" t="s">
        <v>15</v>
      </c>
      <c r="N747" s="2" t="s">
        <v>17</v>
      </c>
      <c r="O747" s="2" t="s">
        <v>17</v>
      </c>
      <c r="P747" s="2" t="s">
        <v>17</v>
      </c>
      <c r="S747" s="13"/>
    </row>
    <row r="748" spans="1:19" x14ac:dyDescent="0.2">
      <c r="A748" s="2">
        <v>745</v>
      </c>
      <c r="B748" s="8">
        <v>350712014</v>
      </c>
      <c r="C748" s="8" t="s">
        <v>2762</v>
      </c>
      <c r="D748" s="8" t="s">
        <v>17</v>
      </c>
      <c r="E748" s="9" t="s">
        <v>2419</v>
      </c>
      <c r="F748" s="10" t="s">
        <v>2763</v>
      </c>
      <c r="G748" s="10" t="s">
        <v>2764</v>
      </c>
      <c r="H748" s="10" t="s">
        <v>2718</v>
      </c>
      <c r="I748" s="11" t="s">
        <v>2765</v>
      </c>
      <c r="J748" s="11" t="s">
        <v>2766</v>
      </c>
      <c r="K748" s="12" t="s">
        <v>17</v>
      </c>
      <c r="L748" s="10" t="s">
        <v>804</v>
      </c>
      <c r="M748" s="2" t="s">
        <v>15</v>
      </c>
      <c r="N748" s="2" t="s">
        <v>17</v>
      </c>
      <c r="O748" s="2" t="s">
        <v>17</v>
      </c>
      <c r="P748" s="2" t="s">
        <v>17</v>
      </c>
      <c r="S748" s="13"/>
    </row>
    <row r="749" spans="1:19" x14ac:dyDescent="0.2">
      <c r="A749" s="2">
        <v>746</v>
      </c>
      <c r="B749" s="8">
        <v>350712015</v>
      </c>
      <c r="C749" s="8" t="s">
        <v>2767</v>
      </c>
      <c r="D749" s="8" t="s">
        <v>17</v>
      </c>
      <c r="E749" s="9" t="s">
        <v>2419</v>
      </c>
      <c r="F749" s="10" t="s">
        <v>2768</v>
      </c>
      <c r="G749" s="10" t="s">
        <v>2769</v>
      </c>
      <c r="H749" s="10" t="s">
        <v>2718</v>
      </c>
      <c r="I749" s="11" t="s">
        <v>2770</v>
      </c>
      <c r="J749" s="11" t="s">
        <v>2771</v>
      </c>
      <c r="K749" s="12" t="s">
        <v>17</v>
      </c>
      <c r="L749" s="10" t="s">
        <v>804</v>
      </c>
      <c r="M749" s="2" t="s">
        <v>15</v>
      </c>
      <c r="N749" s="2" t="s">
        <v>17</v>
      </c>
      <c r="O749" s="2" t="s">
        <v>17</v>
      </c>
      <c r="P749" s="2" t="s">
        <v>17</v>
      </c>
      <c r="S749" s="13"/>
    </row>
    <row r="750" spans="1:19" x14ac:dyDescent="0.2">
      <c r="A750" s="2">
        <v>747</v>
      </c>
      <c r="B750" s="8">
        <v>350712016</v>
      </c>
      <c r="C750" s="8" t="s">
        <v>2772</v>
      </c>
      <c r="D750" s="8" t="s">
        <v>17</v>
      </c>
      <c r="E750" s="9" t="s">
        <v>2419</v>
      </c>
      <c r="F750" s="10" t="s">
        <v>2773</v>
      </c>
      <c r="G750" s="10" t="s">
        <v>2718</v>
      </c>
      <c r="H750" s="10" t="s">
        <v>2718</v>
      </c>
      <c r="I750" s="11" t="s">
        <v>2774</v>
      </c>
      <c r="J750" s="11" t="s">
        <v>2775</v>
      </c>
      <c r="K750" s="12" t="s">
        <v>17</v>
      </c>
      <c r="L750" s="10" t="s">
        <v>804</v>
      </c>
      <c r="M750" s="2" t="s">
        <v>15</v>
      </c>
      <c r="N750" s="2" t="s">
        <v>17</v>
      </c>
      <c r="O750" s="2" t="s">
        <v>17</v>
      </c>
      <c r="P750" s="2" t="s">
        <v>17</v>
      </c>
      <c r="S750" s="13"/>
    </row>
    <row r="751" spans="1:19" x14ac:dyDescent="0.2">
      <c r="A751" s="2">
        <v>748</v>
      </c>
      <c r="B751" s="8">
        <v>350712017</v>
      </c>
      <c r="C751" s="8" t="s">
        <v>2776</v>
      </c>
      <c r="D751" s="8" t="s">
        <v>17</v>
      </c>
      <c r="E751" s="9" t="s">
        <v>2419</v>
      </c>
      <c r="F751" s="10" t="s">
        <v>2777</v>
      </c>
      <c r="G751" s="10" t="s">
        <v>1104</v>
      </c>
      <c r="H751" s="10" t="s">
        <v>2718</v>
      </c>
      <c r="I751" s="11" t="s">
        <v>2778</v>
      </c>
      <c r="J751" s="11" t="s">
        <v>2779</v>
      </c>
      <c r="K751" s="12" t="s">
        <v>17</v>
      </c>
      <c r="L751" s="10" t="s">
        <v>804</v>
      </c>
      <c r="M751" s="2" t="s">
        <v>15</v>
      </c>
      <c r="N751" s="2" t="s">
        <v>17</v>
      </c>
      <c r="O751" s="2" t="s">
        <v>17</v>
      </c>
      <c r="P751" s="2" t="s">
        <v>17</v>
      </c>
      <c r="S751" s="13"/>
    </row>
    <row r="752" spans="1:19" x14ac:dyDescent="0.2">
      <c r="A752" s="2">
        <v>749</v>
      </c>
      <c r="B752" s="8">
        <v>350712018</v>
      </c>
      <c r="C752" s="8" t="s">
        <v>2780</v>
      </c>
      <c r="D752" s="8" t="s">
        <v>17</v>
      </c>
      <c r="E752" s="9" t="s">
        <v>2419</v>
      </c>
      <c r="F752" s="10" t="s">
        <v>2780</v>
      </c>
      <c r="G752" s="10" t="s">
        <v>2781</v>
      </c>
      <c r="H752" s="10" t="s">
        <v>2718</v>
      </c>
      <c r="I752" s="11" t="s">
        <v>2782</v>
      </c>
      <c r="J752" s="11" t="s">
        <v>2783</v>
      </c>
      <c r="K752" s="12" t="s">
        <v>17</v>
      </c>
      <c r="L752" s="10" t="s">
        <v>804</v>
      </c>
      <c r="M752" s="2" t="s">
        <v>15</v>
      </c>
      <c r="N752" s="2" t="s">
        <v>17</v>
      </c>
      <c r="O752" s="2" t="s">
        <v>17</v>
      </c>
      <c r="P752" s="2" t="s">
        <v>17</v>
      </c>
      <c r="S752" s="13"/>
    </row>
    <row r="753" spans="1:19" x14ac:dyDescent="0.2">
      <c r="A753" s="2">
        <v>750</v>
      </c>
      <c r="B753" s="8">
        <v>350712019</v>
      </c>
      <c r="C753" s="8" t="s">
        <v>2784</v>
      </c>
      <c r="D753" s="8" t="s">
        <v>17</v>
      </c>
      <c r="E753" s="9" t="s">
        <v>2419</v>
      </c>
      <c r="F753" s="10" t="s">
        <v>2785</v>
      </c>
      <c r="G753" s="10" t="s">
        <v>2786</v>
      </c>
      <c r="H753" s="10" t="s">
        <v>2718</v>
      </c>
      <c r="I753" s="11" t="s">
        <v>2787</v>
      </c>
      <c r="J753" s="11" t="s">
        <v>2788</v>
      </c>
      <c r="K753" s="12" t="s">
        <v>17</v>
      </c>
      <c r="L753" s="10" t="s">
        <v>804</v>
      </c>
      <c r="M753" s="2" t="s">
        <v>15</v>
      </c>
      <c r="N753" s="2" t="s">
        <v>17</v>
      </c>
      <c r="O753" s="2" t="s">
        <v>17</v>
      </c>
      <c r="P753" s="2" t="s">
        <v>17</v>
      </c>
      <c r="S753" s="13"/>
    </row>
    <row r="754" spans="1:19" x14ac:dyDescent="0.2">
      <c r="A754" s="2">
        <v>751</v>
      </c>
      <c r="B754" s="8">
        <v>350712020</v>
      </c>
      <c r="C754" s="8" t="s">
        <v>2781</v>
      </c>
      <c r="D754" s="8" t="s">
        <v>17</v>
      </c>
      <c r="E754" s="9" t="s">
        <v>2419</v>
      </c>
      <c r="F754" s="10" t="s">
        <v>2781</v>
      </c>
      <c r="G754" s="10" t="s">
        <v>2781</v>
      </c>
      <c r="H754" s="10" t="s">
        <v>2718</v>
      </c>
      <c r="I754" s="11" t="s">
        <v>2789</v>
      </c>
      <c r="J754" s="11" t="s">
        <v>2790</v>
      </c>
      <c r="K754" s="12" t="s">
        <v>17</v>
      </c>
      <c r="L754" s="10" t="s">
        <v>804</v>
      </c>
      <c r="M754" s="2" t="s">
        <v>15</v>
      </c>
      <c r="N754" s="2" t="s">
        <v>17</v>
      </c>
      <c r="O754" s="2" t="s">
        <v>17</v>
      </c>
      <c r="P754" s="2" t="s">
        <v>17</v>
      </c>
      <c r="S754" s="13"/>
    </row>
    <row r="755" spans="1:19" x14ac:dyDescent="0.2">
      <c r="A755" s="2">
        <v>752</v>
      </c>
      <c r="B755" s="8">
        <v>350712021</v>
      </c>
      <c r="C755" s="8" t="s">
        <v>2791</v>
      </c>
      <c r="D755" s="8" t="s">
        <v>17</v>
      </c>
      <c r="E755" s="9" t="s">
        <v>2419</v>
      </c>
      <c r="F755" s="10" t="s">
        <v>2743</v>
      </c>
      <c r="G755" s="10" t="s">
        <v>2743</v>
      </c>
      <c r="H755" s="10" t="s">
        <v>2718</v>
      </c>
      <c r="I755" s="11" t="s">
        <v>2792</v>
      </c>
      <c r="J755" s="11" t="s">
        <v>2793</v>
      </c>
      <c r="K755" s="12" t="s">
        <v>17</v>
      </c>
      <c r="L755" s="10" t="s">
        <v>804</v>
      </c>
      <c r="M755" s="2" t="s">
        <v>15</v>
      </c>
      <c r="N755" s="2" t="s">
        <v>17</v>
      </c>
      <c r="O755" s="2" t="s">
        <v>17</v>
      </c>
      <c r="P755" s="2" t="s">
        <v>17</v>
      </c>
      <c r="S755" s="13"/>
    </row>
    <row r="756" spans="1:19" x14ac:dyDescent="0.2">
      <c r="A756" s="2">
        <v>753</v>
      </c>
      <c r="B756" s="8">
        <v>350712022</v>
      </c>
      <c r="C756" s="8" t="s">
        <v>2794</v>
      </c>
      <c r="D756" s="8" t="s">
        <v>17</v>
      </c>
      <c r="E756" s="9" t="s">
        <v>2419</v>
      </c>
      <c r="F756" s="10" t="s">
        <v>2795</v>
      </c>
      <c r="G756" s="10" t="s">
        <v>2721</v>
      </c>
      <c r="H756" s="10" t="s">
        <v>2718</v>
      </c>
      <c r="I756" s="11" t="s">
        <v>2796</v>
      </c>
      <c r="J756" s="11" t="s">
        <v>2797</v>
      </c>
      <c r="K756" s="12" t="s">
        <v>17</v>
      </c>
      <c r="L756" s="10" t="s">
        <v>804</v>
      </c>
      <c r="M756" s="2" t="s">
        <v>15</v>
      </c>
      <c r="N756" s="2" t="s">
        <v>17</v>
      </c>
      <c r="O756" s="2" t="s">
        <v>17</v>
      </c>
      <c r="P756" s="2" t="s">
        <v>17</v>
      </c>
      <c r="S756" s="13"/>
    </row>
    <row r="757" spans="1:19" x14ac:dyDescent="0.2">
      <c r="A757" s="2">
        <v>754</v>
      </c>
      <c r="B757" s="8">
        <v>350712023</v>
      </c>
      <c r="C757" s="8" t="s">
        <v>2798</v>
      </c>
      <c r="D757" s="8" t="s">
        <v>17</v>
      </c>
      <c r="E757" s="9" t="s">
        <v>2419</v>
      </c>
      <c r="F757" s="10" t="s">
        <v>2799</v>
      </c>
      <c r="G757" s="10" t="s">
        <v>2743</v>
      </c>
      <c r="H757" s="10" t="s">
        <v>2718</v>
      </c>
      <c r="I757" s="11" t="s">
        <v>2800</v>
      </c>
      <c r="J757" s="11" t="s">
        <v>2801</v>
      </c>
      <c r="K757" s="12" t="s">
        <v>17</v>
      </c>
      <c r="L757" s="10" t="s">
        <v>804</v>
      </c>
      <c r="M757" s="2" t="s">
        <v>15</v>
      </c>
      <c r="N757" s="2" t="s">
        <v>17</v>
      </c>
      <c r="O757" s="2" t="s">
        <v>17</v>
      </c>
      <c r="P757" s="2" t="s">
        <v>17</v>
      </c>
      <c r="S757" s="13"/>
    </row>
    <row r="758" spans="1:19" x14ac:dyDescent="0.2">
      <c r="A758" s="2">
        <v>755</v>
      </c>
      <c r="B758" s="8">
        <v>350712024</v>
      </c>
      <c r="C758" s="8" t="s">
        <v>2802</v>
      </c>
      <c r="D758" s="8" t="s">
        <v>17</v>
      </c>
      <c r="E758" s="9" t="s">
        <v>2419</v>
      </c>
      <c r="F758" s="10" t="s">
        <v>2802</v>
      </c>
      <c r="G758" s="10" t="s">
        <v>2802</v>
      </c>
      <c r="H758" s="10" t="s">
        <v>2718</v>
      </c>
      <c r="I758" s="11" t="s">
        <v>2803</v>
      </c>
      <c r="J758" s="11" t="s">
        <v>2804</v>
      </c>
      <c r="K758" s="12" t="s">
        <v>17</v>
      </c>
      <c r="L758" s="10" t="s">
        <v>804</v>
      </c>
      <c r="M758" s="2" t="s">
        <v>15</v>
      </c>
      <c r="N758" s="2" t="s">
        <v>17</v>
      </c>
      <c r="O758" s="2" t="s">
        <v>17</v>
      </c>
      <c r="P758" s="2" t="s">
        <v>17</v>
      </c>
      <c r="S758" s="13"/>
    </row>
    <row r="759" spans="1:19" x14ac:dyDescent="0.2">
      <c r="A759" s="2">
        <v>756</v>
      </c>
      <c r="B759" s="8">
        <v>350712025</v>
      </c>
      <c r="C759" s="8" t="s">
        <v>2805</v>
      </c>
      <c r="D759" s="8" t="s">
        <v>17</v>
      </c>
      <c r="E759" s="9" t="s">
        <v>2419</v>
      </c>
      <c r="F759" s="10" t="s">
        <v>2806</v>
      </c>
      <c r="G759" s="10" t="s">
        <v>2781</v>
      </c>
      <c r="H759" s="10" t="s">
        <v>2718</v>
      </c>
      <c r="I759" s="11" t="s">
        <v>2807</v>
      </c>
      <c r="J759" s="11" t="s">
        <v>2808</v>
      </c>
      <c r="K759" s="12" t="s">
        <v>17</v>
      </c>
      <c r="L759" s="10" t="s">
        <v>804</v>
      </c>
      <c r="M759" s="2" t="s">
        <v>15</v>
      </c>
      <c r="N759" s="2" t="s">
        <v>17</v>
      </c>
      <c r="O759" s="2" t="s">
        <v>17</v>
      </c>
      <c r="P759" s="2" t="s">
        <v>17</v>
      </c>
      <c r="S759" s="13"/>
    </row>
    <row r="760" spans="1:19" x14ac:dyDescent="0.2">
      <c r="A760" s="2">
        <v>757</v>
      </c>
      <c r="B760" s="8">
        <v>350712026</v>
      </c>
      <c r="C760" s="8" t="s">
        <v>2809</v>
      </c>
      <c r="D760" s="8" t="s">
        <v>17</v>
      </c>
      <c r="E760" s="9" t="s">
        <v>2419</v>
      </c>
      <c r="F760" s="10" t="s">
        <v>2743</v>
      </c>
      <c r="G760" s="10" t="s">
        <v>2743</v>
      </c>
      <c r="H760" s="10" t="s">
        <v>2718</v>
      </c>
      <c r="I760" s="11" t="s">
        <v>2810</v>
      </c>
      <c r="J760" s="11" t="s">
        <v>2811</v>
      </c>
      <c r="K760" s="12" t="s">
        <v>17</v>
      </c>
      <c r="L760" s="10" t="s">
        <v>804</v>
      </c>
      <c r="M760" s="2" t="s">
        <v>15</v>
      </c>
      <c r="N760" s="2" t="s">
        <v>17</v>
      </c>
      <c r="O760" s="2" t="s">
        <v>17</v>
      </c>
      <c r="P760" s="2" t="s">
        <v>17</v>
      </c>
      <c r="S760" s="13"/>
    </row>
    <row r="761" spans="1:19" x14ac:dyDescent="0.2">
      <c r="A761" s="2">
        <v>758</v>
      </c>
      <c r="B761" s="8">
        <v>350712027</v>
      </c>
      <c r="C761" s="8" t="s">
        <v>2812</v>
      </c>
      <c r="D761" s="8" t="s">
        <v>17</v>
      </c>
      <c r="E761" s="9" t="s">
        <v>2419</v>
      </c>
      <c r="F761" s="10" t="s">
        <v>2743</v>
      </c>
      <c r="G761" s="10" t="s">
        <v>2743</v>
      </c>
      <c r="H761" s="10" t="s">
        <v>2718</v>
      </c>
      <c r="I761" s="11" t="s">
        <v>2813</v>
      </c>
      <c r="J761" s="11" t="s">
        <v>2814</v>
      </c>
      <c r="K761" s="12" t="s">
        <v>17</v>
      </c>
      <c r="L761" s="10" t="s">
        <v>804</v>
      </c>
      <c r="M761" s="2" t="s">
        <v>15</v>
      </c>
      <c r="N761" s="2" t="s">
        <v>17</v>
      </c>
      <c r="O761" s="2" t="s">
        <v>17</v>
      </c>
      <c r="P761" s="2" t="s">
        <v>17</v>
      </c>
      <c r="S761" s="13"/>
    </row>
    <row r="762" spans="1:19" x14ac:dyDescent="0.2">
      <c r="A762" s="2">
        <v>759</v>
      </c>
      <c r="B762" s="8">
        <v>350712028</v>
      </c>
      <c r="C762" s="8" t="s">
        <v>2815</v>
      </c>
      <c r="D762" s="8" t="s">
        <v>17</v>
      </c>
      <c r="E762" s="9" t="s">
        <v>2419</v>
      </c>
      <c r="F762" s="10" t="s">
        <v>600</v>
      </c>
      <c r="G762" s="10" t="s">
        <v>2743</v>
      </c>
      <c r="H762" s="10" t="s">
        <v>2718</v>
      </c>
      <c r="I762" s="11" t="s">
        <v>2816</v>
      </c>
      <c r="J762" s="11" t="s">
        <v>2817</v>
      </c>
      <c r="K762" s="12" t="s">
        <v>17</v>
      </c>
      <c r="L762" s="10" t="s">
        <v>804</v>
      </c>
      <c r="M762" s="2" t="s">
        <v>15</v>
      </c>
      <c r="N762" s="2" t="s">
        <v>17</v>
      </c>
      <c r="O762" s="2" t="s">
        <v>17</v>
      </c>
      <c r="P762" s="2" t="s">
        <v>17</v>
      </c>
      <c r="S762" s="13"/>
    </row>
    <row r="763" spans="1:19" x14ac:dyDescent="0.2">
      <c r="A763" s="2">
        <v>760</v>
      </c>
      <c r="B763" s="8">
        <v>350712029</v>
      </c>
      <c r="C763" s="8" t="s">
        <v>301</v>
      </c>
      <c r="D763" s="8" t="s">
        <v>17</v>
      </c>
      <c r="E763" s="9" t="s">
        <v>2419</v>
      </c>
      <c r="F763" s="10" t="s">
        <v>301</v>
      </c>
      <c r="G763" s="10" t="s">
        <v>2721</v>
      </c>
      <c r="H763" s="10" t="s">
        <v>2718</v>
      </c>
      <c r="I763" s="11" t="s">
        <v>2818</v>
      </c>
      <c r="J763" s="11" t="s">
        <v>2819</v>
      </c>
      <c r="K763" s="12" t="s">
        <v>17</v>
      </c>
      <c r="L763" s="10" t="s">
        <v>804</v>
      </c>
      <c r="M763" s="2" t="s">
        <v>15</v>
      </c>
      <c r="N763" s="2" t="s">
        <v>17</v>
      </c>
      <c r="O763" s="2" t="s">
        <v>17</v>
      </c>
      <c r="P763" s="2" t="s">
        <v>17</v>
      </c>
      <c r="S763" s="13"/>
    </row>
    <row r="764" spans="1:19" x14ac:dyDescent="0.2">
      <c r="A764" s="2">
        <v>761</v>
      </c>
      <c r="B764" s="8">
        <v>350712030</v>
      </c>
      <c r="C764" s="8" t="s">
        <v>2820</v>
      </c>
      <c r="D764" s="8" t="s">
        <v>17</v>
      </c>
      <c r="E764" s="9" t="s">
        <v>2419</v>
      </c>
      <c r="F764" s="10" t="s">
        <v>2821</v>
      </c>
      <c r="G764" s="10" t="s">
        <v>2820</v>
      </c>
      <c r="H764" s="10" t="s">
        <v>2718</v>
      </c>
      <c r="I764" s="11" t="s">
        <v>2822</v>
      </c>
      <c r="J764" s="11" t="s">
        <v>2823</v>
      </c>
      <c r="K764" s="12" t="s">
        <v>17</v>
      </c>
      <c r="L764" s="10" t="s">
        <v>804</v>
      </c>
      <c r="M764" s="2" t="s">
        <v>15</v>
      </c>
      <c r="N764" s="2" t="s">
        <v>17</v>
      </c>
      <c r="O764" s="2" t="s">
        <v>17</v>
      </c>
      <c r="P764" s="2" t="s">
        <v>17</v>
      </c>
      <c r="S764" s="13"/>
    </row>
    <row r="765" spans="1:19" x14ac:dyDescent="0.2">
      <c r="A765" s="2">
        <v>762</v>
      </c>
      <c r="B765" s="8">
        <v>350712031</v>
      </c>
      <c r="C765" s="8" t="s">
        <v>2824</v>
      </c>
      <c r="D765" s="8" t="s">
        <v>17</v>
      </c>
      <c r="E765" s="9" t="s">
        <v>2419</v>
      </c>
      <c r="F765" s="10" t="s">
        <v>2824</v>
      </c>
      <c r="G765" s="10" t="s">
        <v>2718</v>
      </c>
      <c r="H765" s="10" t="s">
        <v>2718</v>
      </c>
      <c r="I765" s="11" t="s">
        <v>2825</v>
      </c>
      <c r="J765" s="11" t="s">
        <v>2826</v>
      </c>
      <c r="K765" s="12" t="s">
        <v>17</v>
      </c>
      <c r="L765" s="10" t="s">
        <v>804</v>
      </c>
      <c r="M765" s="2" t="s">
        <v>15</v>
      </c>
      <c r="N765" s="2" t="s">
        <v>17</v>
      </c>
      <c r="O765" s="2" t="s">
        <v>17</v>
      </c>
      <c r="P765" s="2" t="s">
        <v>17</v>
      </c>
      <c r="S765" s="13"/>
    </row>
    <row r="766" spans="1:19" x14ac:dyDescent="0.2">
      <c r="A766" s="2">
        <v>763</v>
      </c>
      <c r="B766" s="8">
        <v>350712032</v>
      </c>
      <c r="C766" s="8" t="s">
        <v>2827</v>
      </c>
      <c r="D766" s="8" t="s">
        <v>17</v>
      </c>
      <c r="E766" s="9" t="s">
        <v>2419</v>
      </c>
      <c r="F766" s="10" t="s">
        <v>2828</v>
      </c>
      <c r="G766" s="10" t="s">
        <v>2829</v>
      </c>
      <c r="H766" s="10" t="s">
        <v>2718</v>
      </c>
      <c r="I766" s="11" t="s">
        <v>2830</v>
      </c>
      <c r="J766" s="11" t="s">
        <v>2831</v>
      </c>
      <c r="K766" s="12" t="s">
        <v>17</v>
      </c>
      <c r="L766" s="10" t="s">
        <v>804</v>
      </c>
      <c r="M766" s="2" t="s">
        <v>15</v>
      </c>
      <c r="N766" s="2" t="s">
        <v>17</v>
      </c>
      <c r="O766" s="2" t="s">
        <v>17</v>
      </c>
      <c r="P766" s="2" t="s">
        <v>17</v>
      </c>
      <c r="S766" s="13"/>
    </row>
    <row r="767" spans="1:19" x14ac:dyDescent="0.2">
      <c r="A767" s="2">
        <v>764</v>
      </c>
      <c r="B767" s="8">
        <v>350712033</v>
      </c>
      <c r="C767" s="8" t="s">
        <v>2832</v>
      </c>
      <c r="D767" s="8" t="s">
        <v>17</v>
      </c>
      <c r="E767" s="9" t="s">
        <v>2419</v>
      </c>
      <c r="F767" s="10" t="s">
        <v>2833</v>
      </c>
      <c r="G767" s="10" t="s">
        <v>2834</v>
      </c>
      <c r="H767" s="10" t="s">
        <v>2718</v>
      </c>
      <c r="I767" s="11" t="s">
        <v>2835</v>
      </c>
      <c r="J767" s="11" t="s">
        <v>2836</v>
      </c>
      <c r="K767" s="12" t="s">
        <v>17</v>
      </c>
      <c r="L767" s="10" t="s">
        <v>804</v>
      </c>
      <c r="M767" s="2" t="s">
        <v>15</v>
      </c>
      <c r="N767" s="2" t="s">
        <v>17</v>
      </c>
      <c r="O767" s="2" t="s">
        <v>17</v>
      </c>
      <c r="P767" s="2" t="s">
        <v>17</v>
      </c>
      <c r="S767" s="13"/>
    </row>
    <row r="768" spans="1:19" x14ac:dyDescent="0.2">
      <c r="A768" s="2">
        <v>765</v>
      </c>
      <c r="B768" s="8">
        <v>350712034</v>
      </c>
      <c r="C768" s="8" t="s">
        <v>2837</v>
      </c>
      <c r="D768" s="8" t="s">
        <v>17</v>
      </c>
      <c r="E768" s="9" t="s">
        <v>2419</v>
      </c>
      <c r="F768" s="10" t="s">
        <v>2838</v>
      </c>
      <c r="G768" s="10" t="s">
        <v>2781</v>
      </c>
      <c r="H768" s="10" t="s">
        <v>2718</v>
      </c>
      <c r="I768" s="11" t="s">
        <v>2839</v>
      </c>
      <c r="J768" s="11" t="s">
        <v>2840</v>
      </c>
      <c r="K768" s="12" t="s">
        <v>17</v>
      </c>
      <c r="L768" s="10" t="s">
        <v>804</v>
      </c>
      <c r="M768" s="2" t="s">
        <v>15</v>
      </c>
      <c r="N768" s="2" t="s">
        <v>17</v>
      </c>
      <c r="O768" s="2" t="s">
        <v>17</v>
      </c>
      <c r="P768" s="2" t="s">
        <v>17</v>
      </c>
      <c r="S768" s="13"/>
    </row>
    <row r="769" spans="1:19" x14ac:dyDescent="0.2">
      <c r="A769" s="2">
        <v>766</v>
      </c>
      <c r="B769" s="8">
        <v>350712035</v>
      </c>
      <c r="C769" s="8" t="s">
        <v>2833</v>
      </c>
      <c r="D769" s="8" t="s">
        <v>17</v>
      </c>
      <c r="E769" s="9" t="s">
        <v>2419</v>
      </c>
      <c r="F769" s="10" t="s">
        <v>2833</v>
      </c>
      <c r="G769" s="10" t="s">
        <v>2834</v>
      </c>
      <c r="H769" s="10" t="s">
        <v>2718</v>
      </c>
      <c r="I769" s="11" t="s">
        <v>2841</v>
      </c>
      <c r="J769" s="11" t="s">
        <v>2842</v>
      </c>
      <c r="K769" s="12" t="s">
        <v>17</v>
      </c>
      <c r="L769" s="10" t="s">
        <v>804</v>
      </c>
      <c r="M769" s="2" t="s">
        <v>15</v>
      </c>
      <c r="N769" s="2" t="s">
        <v>17</v>
      </c>
      <c r="O769" s="2" t="s">
        <v>17</v>
      </c>
      <c r="P769" s="2" t="s">
        <v>17</v>
      </c>
      <c r="S769" s="13"/>
    </row>
    <row r="770" spans="1:19" x14ac:dyDescent="0.2">
      <c r="A770" s="2">
        <v>767</v>
      </c>
      <c r="B770" s="8">
        <v>350712036</v>
      </c>
      <c r="C770" s="8" t="s">
        <v>2843</v>
      </c>
      <c r="D770" s="8" t="s">
        <v>17</v>
      </c>
      <c r="E770" s="9" t="s">
        <v>2419</v>
      </c>
      <c r="F770" s="10" t="s">
        <v>2844</v>
      </c>
      <c r="G770" s="10" t="s">
        <v>2786</v>
      </c>
      <c r="H770" s="10" t="s">
        <v>2718</v>
      </c>
      <c r="I770" s="11" t="s">
        <v>2845</v>
      </c>
      <c r="J770" s="11" t="s">
        <v>2846</v>
      </c>
      <c r="K770" s="12" t="s">
        <v>17</v>
      </c>
      <c r="L770" s="10" t="s">
        <v>804</v>
      </c>
      <c r="M770" s="2" t="s">
        <v>15</v>
      </c>
      <c r="N770" s="2" t="s">
        <v>17</v>
      </c>
      <c r="O770" s="2" t="s">
        <v>17</v>
      </c>
      <c r="P770" s="2" t="s">
        <v>17</v>
      </c>
      <c r="S770" s="13"/>
    </row>
    <row r="771" spans="1:19" x14ac:dyDescent="0.2">
      <c r="A771" s="2">
        <v>768</v>
      </c>
      <c r="B771" s="8">
        <v>350712037</v>
      </c>
      <c r="C771" s="8" t="s">
        <v>2847</v>
      </c>
      <c r="D771" s="8" t="s">
        <v>17</v>
      </c>
      <c r="E771" s="9" t="s">
        <v>2419</v>
      </c>
      <c r="F771" s="10" t="s">
        <v>104</v>
      </c>
      <c r="G771" s="10" t="s">
        <v>2786</v>
      </c>
      <c r="H771" s="10" t="s">
        <v>2718</v>
      </c>
      <c r="I771" s="11" t="s">
        <v>2848</v>
      </c>
      <c r="J771" s="11" t="s">
        <v>2849</v>
      </c>
      <c r="K771" s="12" t="s">
        <v>17</v>
      </c>
      <c r="L771" s="10" t="s">
        <v>804</v>
      </c>
      <c r="M771" s="2" t="s">
        <v>15</v>
      </c>
      <c r="N771" s="2" t="s">
        <v>17</v>
      </c>
      <c r="O771" s="2" t="s">
        <v>17</v>
      </c>
      <c r="P771" s="2" t="s">
        <v>17</v>
      </c>
      <c r="S771" s="13"/>
    </row>
    <row r="772" spans="1:19" x14ac:dyDescent="0.2">
      <c r="A772" s="2">
        <v>769</v>
      </c>
      <c r="B772" s="8">
        <v>350712038</v>
      </c>
      <c r="C772" s="8" t="s">
        <v>2850</v>
      </c>
      <c r="D772" s="8" t="s">
        <v>17</v>
      </c>
      <c r="E772" s="9" t="s">
        <v>2419</v>
      </c>
      <c r="F772" s="10" t="s">
        <v>2850</v>
      </c>
      <c r="G772" s="10" t="s">
        <v>1357</v>
      </c>
      <c r="H772" s="10" t="s">
        <v>2718</v>
      </c>
      <c r="I772" s="11" t="s">
        <v>2851</v>
      </c>
      <c r="J772" s="11" t="s">
        <v>2852</v>
      </c>
      <c r="K772" s="12" t="s">
        <v>17</v>
      </c>
      <c r="L772" s="10" t="s">
        <v>804</v>
      </c>
      <c r="M772" s="2" t="s">
        <v>15</v>
      </c>
      <c r="N772" s="2" t="s">
        <v>17</v>
      </c>
      <c r="O772" s="2" t="s">
        <v>17</v>
      </c>
      <c r="P772" s="2" t="s">
        <v>17</v>
      </c>
      <c r="S772" s="13"/>
    </row>
    <row r="773" spans="1:19" x14ac:dyDescent="0.2">
      <c r="A773" s="2">
        <v>770</v>
      </c>
      <c r="B773" s="8">
        <v>350712039</v>
      </c>
      <c r="C773" s="8" t="s">
        <v>2853</v>
      </c>
      <c r="D773" s="8" t="s">
        <v>17</v>
      </c>
      <c r="E773" s="9" t="s">
        <v>2419</v>
      </c>
      <c r="F773" s="10" t="s">
        <v>2854</v>
      </c>
      <c r="G773" s="10" t="s">
        <v>2855</v>
      </c>
      <c r="H773" s="10" t="s">
        <v>2718</v>
      </c>
      <c r="I773" s="11" t="s">
        <v>2856</v>
      </c>
      <c r="J773" s="11" t="s">
        <v>2857</v>
      </c>
      <c r="K773" s="12" t="s">
        <v>17</v>
      </c>
      <c r="L773" s="10" t="s">
        <v>804</v>
      </c>
      <c r="M773" s="2" t="s">
        <v>15</v>
      </c>
      <c r="N773" s="2" t="s">
        <v>17</v>
      </c>
      <c r="O773" s="2" t="s">
        <v>17</v>
      </c>
      <c r="P773" s="2" t="s">
        <v>17</v>
      </c>
      <c r="S773" s="13"/>
    </row>
    <row r="774" spans="1:19" x14ac:dyDescent="0.2">
      <c r="A774" s="2">
        <v>771</v>
      </c>
      <c r="B774" s="8">
        <v>350712040</v>
      </c>
      <c r="C774" s="8" t="s">
        <v>2854</v>
      </c>
      <c r="D774" s="8" t="s">
        <v>17</v>
      </c>
      <c r="E774" s="9" t="s">
        <v>2419</v>
      </c>
      <c r="F774" s="10" t="s">
        <v>2854</v>
      </c>
      <c r="G774" s="10" t="s">
        <v>2855</v>
      </c>
      <c r="H774" s="10" t="s">
        <v>2718</v>
      </c>
      <c r="I774" s="11" t="s">
        <v>2858</v>
      </c>
      <c r="J774" s="11" t="s">
        <v>2859</v>
      </c>
      <c r="K774" s="12" t="s">
        <v>17</v>
      </c>
      <c r="L774" s="10" t="s">
        <v>804</v>
      </c>
      <c r="M774" s="2" t="s">
        <v>15</v>
      </c>
      <c r="N774" s="2" t="s">
        <v>17</v>
      </c>
      <c r="O774" s="2" t="s">
        <v>17</v>
      </c>
      <c r="P774" s="2" t="s">
        <v>17</v>
      </c>
      <c r="S774" s="13"/>
    </row>
    <row r="775" spans="1:19" x14ac:dyDescent="0.2">
      <c r="A775" s="2">
        <v>772</v>
      </c>
      <c r="B775" s="8">
        <v>350712041</v>
      </c>
      <c r="C775" s="8" t="s">
        <v>2860</v>
      </c>
      <c r="D775" s="8" t="s">
        <v>17</v>
      </c>
      <c r="E775" s="9" t="s">
        <v>2419</v>
      </c>
      <c r="F775" s="10" t="s">
        <v>2861</v>
      </c>
      <c r="G775" s="10" t="s">
        <v>2855</v>
      </c>
      <c r="H775" s="10" t="s">
        <v>2718</v>
      </c>
      <c r="I775" s="11" t="s">
        <v>2862</v>
      </c>
      <c r="J775" s="11" t="s">
        <v>2863</v>
      </c>
      <c r="K775" s="12" t="s">
        <v>17</v>
      </c>
      <c r="L775" s="10" t="s">
        <v>804</v>
      </c>
      <c r="M775" s="2" t="s">
        <v>15</v>
      </c>
      <c r="N775" s="2" t="s">
        <v>17</v>
      </c>
      <c r="O775" s="2" t="s">
        <v>17</v>
      </c>
      <c r="P775" s="2" t="s">
        <v>17</v>
      </c>
      <c r="S775" s="13"/>
    </row>
    <row r="776" spans="1:19" x14ac:dyDescent="0.2">
      <c r="A776" s="2">
        <v>773</v>
      </c>
      <c r="B776" s="8">
        <v>350712042</v>
      </c>
      <c r="C776" s="8" t="s">
        <v>2864</v>
      </c>
      <c r="D776" s="8" t="s">
        <v>17</v>
      </c>
      <c r="E776" s="9" t="s">
        <v>2419</v>
      </c>
      <c r="F776" s="10" t="s">
        <v>2854</v>
      </c>
      <c r="G776" s="10" t="s">
        <v>2855</v>
      </c>
      <c r="H776" s="10" t="s">
        <v>2718</v>
      </c>
      <c r="I776" s="11" t="s">
        <v>2865</v>
      </c>
      <c r="J776" s="11" t="s">
        <v>2866</v>
      </c>
      <c r="K776" s="12" t="s">
        <v>17</v>
      </c>
      <c r="L776" s="10" t="s">
        <v>804</v>
      </c>
      <c r="M776" s="2" t="s">
        <v>15</v>
      </c>
      <c r="N776" s="2" t="s">
        <v>17</v>
      </c>
      <c r="O776" s="2" t="s">
        <v>17</v>
      </c>
      <c r="P776" s="2" t="s">
        <v>17</v>
      </c>
      <c r="S776" s="13"/>
    </row>
    <row r="777" spans="1:19" x14ac:dyDescent="0.2">
      <c r="A777" s="2">
        <v>774</v>
      </c>
      <c r="B777" s="8">
        <v>350712043</v>
      </c>
      <c r="C777" s="8" t="s">
        <v>2867</v>
      </c>
      <c r="D777" s="8" t="s">
        <v>17</v>
      </c>
      <c r="E777" s="9" t="s">
        <v>2419</v>
      </c>
      <c r="F777" s="10" t="s">
        <v>2855</v>
      </c>
      <c r="G777" s="10" t="s">
        <v>2855</v>
      </c>
      <c r="H777" s="10" t="s">
        <v>2718</v>
      </c>
      <c r="I777" s="11" t="s">
        <v>2868</v>
      </c>
      <c r="J777" s="11" t="s">
        <v>2869</v>
      </c>
      <c r="K777" s="12" t="s">
        <v>17</v>
      </c>
      <c r="L777" s="10" t="s">
        <v>804</v>
      </c>
      <c r="M777" s="2" t="s">
        <v>15</v>
      </c>
      <c r="N777" s="2" t="s">
        <v>17</v>
      </c>
      <c r="O777" s="2" t="s">
        <v>17</v>
      </c>
      <c r="P777" s="2" t="s">
        <v>17</v>
      </c>
      <c r="S777" s="13"/>
    </row>
    <row r="778" spans="1:19" x14ac:dyDescent="0.2">
      <c r="A778" s="2">
        <v>775</v>
      </c>
      <c r="B778" s="8">
        <v>350712044</v>
      </c>
      <c r="C778" s="8" t="s">
        <v>2870</v>
      </c>
      <c r="D778" s="8" t="s">
        <v>17</v>
      </c>
      <c r="E778" s="9" t="s">
        <v>2419</v>
      </c>
      <c r="F778" s="10" t="s">
        <v>745</v>
      </c>
      <c r="G778" s="10" t="s">
        <v>2721</v>
      </c>
      <c r="H778" s="10" t="s">
        <v>2718</v>
      </c>
      <c r="I778" s="11" t="s">
        <v>2871</v>
      </c>
      <c r="J778" s="11" t="s">
        <v>2872</v>
      </c>
      <c r="K778" s="12" t="s">
        <v>17</v>
      </c>
      <c r="L778" s="10" t="s">
        <v>804</v>
      </c>
      <c r="M778" s="2" t="s">
        <v>15</v>
      </c>
      <c r="N778" s="2" t="s">
        <v>17</v>
      </c>
      <c r="O778" s="2" t="s">
        <v>17</v>
      </c>
      <c r="P778" s="2" t="s">
        <v>17</v>
      </c>
      <c r="S778" s="13"/>
    </row>
    <row r="779" spans="1:19" x14ac:dyDescent="0.2">
      <c r="A779" s="2">
        <v>776</v>
      </c>
      <c r="B779" s="8">
        <v>350712045</v>
      </c>
      <c r="C779" s="8" t="s">
        <v>2873</v>
      </c>
      <c r="D779" s="8" t="s">
        <v>17</v>
      </c>
      <c r="E779" s="9" t="s">
        <v>2419</v>
      </c>
      <c r="F779" s="10" t="s">
        <v>2873</v>
      </c>
      <c r="G779" s="10" t="s">
        <v>2855</v>
      </c>
      <c r="H779" s="10" t="s">
        <v>2718</v>
      </c>
      <c r="I779" s="11" t="s">
        <v>2874</v>
      </c>
      <c r="J779" s="11" t="s">
        <v>2875</v>
      </c>
      <c r="K779" s="12" t="s">
        <v>17</v>
      </c>
      <c r="L779" s="10" t="s">
        <v>804</v>
      </c>
      <c r="M779" s="2" t="s">
        <v>15</v>
      </c>
      <c r="N779" s="2" t="s">
        <v>17</v>
      </c>
      <c r="O779" s="2" t="s">
        <v>17</v>
      </c>
      <c r="P779" s="2" t="s">
        <v>17</v>
      </c>
      <c r="S779" s="13"/>
    </row>
    <row r="780" spans="1:19" x14ac:dyDescent="0.2">
      <c r="A780" s="2">
        <v>777</v>
      </c>
      <c r="B780" s="8">
        <v>350712046</v>
      </c>
      <c r="C780" s="8" t="s">
        <v>2876</v>
      </c>
      <c r="D780" s="8" t="s">
        <v>17</v>
      </c>
      <c r="E780" s="9" t="s">
        <v>2419</v>
      </c>
      <c r="F780" s="10" t="s">
        <v>2876</v>
      </c>
      <c r="G780" s="10" t="s">
        <v>2781</v>
      </c>
      <c r="H780" s="10" t="s">
        <v>2718</v>
      </c>
      <c r="I780" s="11" t="s">
        <v>2877</v>
      </c>
      <c r="J780" s="11" t="s">
        <v>2878</v>
      </c>
      <c r="K780" s="12" t="s">
        <v>17</v>
      </c>
      <c r="L780" s="10" t="s">
        <v>804</v>
      </c>
      <c r="M780" s="2" t="s">
        <v>15</v>
      </c>
      <c r="N780" s="2" t="s">
        <v>17</v>
      </c>
      <c r="O780" s="2" t="s">
        <v>17</v>
      </c>
      <c r="P780" s="2" t="s">
        <v>17</v>
      </c>
      <c r="S780" s="13"/>
    </row>
    <row r="781" spans="1:19" x14ac:dyDescent="0.2">
      <c r="A781" s="2">
        <v>778</v>
      </c>
      <c r="B781" s="8">
        <v>350712047</v>
      </c>
      <c r="C781" s="8" t="s">
        <v>2879</v>
      </c>
      <c r="D781" s="8" t="s">
        <v>17</v>
      </c>
      <c r="E781" s="9" t="s">
        <v>2419</v>
      </c>
      <c r="F781" s="10" t="s">
        <v>2879</v>
      </c>
      <c r="G781" s="10" t="s">
        <v>2730</v>
      </c>
      <c r="H781" s="10" t="s">
        <v>2718</v>
      </c>
      <c r="I781" s="11" t="s">
        <v>2880</v>
      </c>
      <c r="J781" s="11" t="s">
        <v>2881</v>
      </c>
      <c r="K781" s="12" t="s">
        <v>17</v>
      </c>
      <c r="L781" s="10" t="s">
        <v>804</v>
      </c>
      <c r="M781" s="2" t="s">
        <v>15</v>
      </c>
      <c r="N781" s="2" t="s">
        <v>17</v>
      </c>
      <c r="O781" s="2" t="s">
        <v>17</v>
      </c>
      <c r="P781" s="2" t="s">
        <v>17</v>
      </c>
      <c r="S781" s="13"/>
    </row>
    <row r="782" spans="1:19" x14ac:dyDescent="0.2">
      <c r="A782" s="2">
        <v>779</v>
      </c>
      <c r="B782" s="8">
        <v>350712048</v>
      </c>
      <c r="C782" s="8" t="s">
        <v>2882</v>
      </c>
      <c r="D782" s="8" t="s">
        <v>17</v>
      </c>
      <c r="E782" s="9" t="s">
        <v>2419</v>
      </c>
      <c r="F782" s="10" t="s">
        <v>2882</v>
      </c>
      <c r="G782" s="10" t="s">
        <v>2820</v>
      </c>
      <c r="H782" s="10" t="s">
        <v>2718</v>
      </c>
      <c r="I782" s="11" t="s">
        <v>2883</v>
      </c>
      <c r="J782" s="11" t="s">
        <v>2884</v>
      </c>
      <c r="K782" s="12" t="s">
        <v>17</v>
      </c>
      <c r="L782" s="10" t="s">
        <v>804</v>
      </c>
      <c r="M782" s="2" t="s">
        <v>15</v>
      </c>
      <c r="N782" s="2" t="s">
        <v>17</v>
      </c>
      <c r="O782" s="2" t="s">
        <v>17</v>
      </c>
      <c r="P782" s="2" t="s">
        <v>17</v>
      </c>
      <c r="S782" s="13"/>
    </row>
    <row r="783" spans="1:19" x14ac:dyDescent="0.2">
      <c r="A783" s="2">
        <v>780</v>
      </c>
      <c r="B783" s="8">
        <v>350712049</v>
      </c>
      <c r="C783" s="8" t="s">
        <v>2885</v>
      </c>
      <c r="D783" s="8" t="s">
        <v>17</v>
      </c>
      <c r="E783" s="9" t="s">
        <v>2419</v>
      </c>
      <c r="F783" s="10" t="s">
        <v>440</v>
      </c>
      <c r="G783" s="10" t="s">
        <v>1357</v>
      </c>
      <c r="H783" s="10" t="s">
        <v>2718</v>
      </c>
      <c r="I783" s="11" t="s">
        <v>2886</v>
      </c>
      <c r="J783" s="11" t="s">
        <v>2887</v>
      </c>
      <c r="K783" s="12" t="s">
        <v>17</v>
      </c>
      <c r="L783" s="10" t="s">
        <v>804</v>
      </c>
      <c r="M783" s="2" t="s">
        <v>15</v>
      </c>
      <c r="N783" s="2" t="s">
        <v>17</v>
      </c>
      <c r="O783" s="2" t="s">
        <v>17</v>
      </c>
      <c r="P783" s="2" t="s">
        <v>17</v>
      </c>
      <c r="S783" s="13"/>
    </row>
    <row r="784" spans="1:19" x14ac:dyDescent="0.2">
      <c r="A784" s="2">
        <v>781</v>
      </c>
      <c r="B784" s="8">
        <v>350807001</v>
      </c>
      <c r="C784" s="8" t="s">
        <v>2888</v>
      </c>
      <c r="D784" s="8" t="s">
        <v>17</v>
      </c>
      <c r="E784" s="9" t="s">
        <v>2463</v>
      </c>
      <c r="F784" s="10" t="s">
        <v>2888</v>
      </c>
      <c r="G784" s="10" t="s">
        <v>2889</v>
      </c>
      <c r="H784" s="10" t="s">
        <v>729</v>
      </c>
      <c r="I784" s="11" t="s">
        <v>2890</v>
      </c>
      <c r="J784" s="11" t="s">
        <v>2891</v>
      </c>
      <c r="K784" s="12" t="s">
        <v>17</v>
      </c>
      <c r="L784" s="10" t="s">
        <v>2892</v>
      </c>
      <c r="M784" s="2" t="s">
        <v>15</v>
      </c>
      <c r="N784" s="2" t="s">
        <v>17</v>
      </c>
      <c r="O784" s="2" t="s">
        <v>17</v>
      </c>
      <c r="P784" s="2" t="s">
        <v>17</v>
      </c>
      <c r="S784" s="13"/>
    </row>
    <row r="785" spans="1:19" x14ac:dyDescent="0.2">
      <c r="A785" s="2">
        <v>782</v>
      </c>
      <c r="B785" s="8">
        <v>350807002</v>
      </c>
      <c r="C785" s="8" t="s">
        <v>2893</v>
      </c>
      <c r="D785" s="8" t="s">
        <v>17</v>
      </c>
      <c r="E785" s="9" t="s">
        <v>2463</v>
      </c>
      <c r="F785" s="10" t="s">
        <v>2893</v>
      </c>
      <c r="G785" s="10" t="s">
        <v>2889</v>
      </c>
      <c r="H785" s="10" t="s">
        <v>729</v>
      </c>
      <c r="I785" s="11" t="s">
        <v>2894</v>
      </c>
      <c r="J785" s="11" t="s">
        <v>2895</v>
      </c>
      <c r="K785" s="12" t="s">
        <v>17</v>
      </c>
      <c r="L785" s="10" t="s">
        <v>2892</v>
      </c>
      <c r="M785" s="2" t="s">
        <v>15</v>
      </c>
      <c r="N785" s="2" t="s">
        <v>17</v>
      </c>
      <c r="O785" s="2" t="s">
        <v>17</v>
      </c>
      <c r="P785" s="2" t="s">
        <v>17</v>
      </c>
      <c r="S785" s="13"/>
    </row>
    <row r="786" spans="1:19" x14ac:dyDescent="0.2">
      <c r="A786" s="2">
        <v>783</v>
      </c>
      <c r="B786" s="8">
        <v>350808001</v>
      </c>
      <c r="C786" s="8" t="s">
        <v>2896</v>
      </c>
      <c r="D786" s="8" t="s">
        <v>17</v>
      </c>
      <c r="E786" s="9" t="s">
        <v>2463</v>
      </c>
      <c r="F786" s="10" t="s">
        <v>2897</v>
      </c>
      <c r="G786" s="10" t="s">
        <v>2898</v>
      </c>
      <c r="H786" s="10" t="s">
        <v>2899</v>
      </c>
      <c r="I786" s="11" t="s">
        <v>2900</v>
      </c>
      <c r="J786" s="11" t="s">
        <v>2901</v>
      </c>
      <c r="K786" s="12" t="s">
        <v>17</v>
      </c>
      <c r="L786" s="10" t="s">
        <v>2892</v>
      </c>
      <c r="M786" s="2" t="s">
        <v>15</v>
      </c>
      <c r="N786" s="2" t="s">
        <v>17</v>
      </c>
      <c r="O786" s="2" t="s">
        <v>17</v>
      </c>
      <c r="P786" s="2" t="s">
        <v>17</v>
      </c>
      <c r="S786" s="13"/>
    </row>
    <row r="787" spans="1:19" x14ac:dyDescent="0.2">
      <c r="A787" s="2">
        <v>784</v>
      </c>
      <c r="B787" s="8">
        <v>350808002</v>
      </c>
      <c r="C787" s="8" t="s">
        <v>2902</v>
      </c>
      <c r="D787" s="8" t="s">
        <v>17</v>
      </c>
      <c r="E787" s="9" t="s">
        <v>2463</v>
      </c>
      <c r="F787" s="10" t="s">
        <v>2903</v>
      </c>
      <c r="G787" s="10" t="s">
        <v>2903</v>
      </c>
      <c r="H787" s="10" t="s">
        <v>2899</v>
      </c>
      <c r="I787" s="11" t="s">
        <v>2904</v>
      </c>
      <c r="J787" s="11" t="s">
        <v>2905</v>
      </c>
      <c r="K787" s="12" t="s">
        <v>17</v>
      </c>
      <c r="L787" s="10" t="s">
        <v>2892</v>
      </c>
      <c r="M787" s="2" t="s">
        <v>15</v>
      </c>
      <c r="N787" s="2" t="s">
        <v>17</v>
      </c>
      <c r="O787" s="2" t="s">
        <v>17</v>
      </c>
      <c r="P787" s="2" t="s">
        <v>17</v>
      </c>
      <c r="S787" s="13"/>
    </row>
    <row r="788" spans="1:19" x14ac:dyDescent="0.2">
      <c r="A788" s="2">
        <v>785</v>
      </c>
      <c r="B788" s="8">
        <v>350808003</v>
      </c>
      <c r="C788" s="8" t="s">
        <v>2906</v>
      </c>
      <c r="D788" s="8" t="s">
        <v>17</v>
      </c>
      <c r="E788" s="9" t="s">
        <v>2463</v>
      </c>
      <c r="F788" s="10" t="s">
        <v>842</v>
      </c>
      <c r="G788" s="10" t="s">
        <v>2907</v>
      </c>
      <c r="H788" s="10" t="s">
        <v>2899</v>
      </c>
      <c r="I788" s="11" t="s">
        <v>2908</v>
      </c>
      <c r="J788" s="11" t="s">
        <v>2909</v>
      </c>
      <c r="K788" s="12" t="s">
        <v>17</v>
      </c>
      <c r="L788" s="10" t="s">
        <v>2892</v>
      </c>
      <c r="M788" s="2" t="s">
        <v>15</v>
      </c>
      <c r="N788" s="2" t="s">
        <v>17</v>
      </c>
      <c r="O788" s="2" t="s">
        <v>17</v>
      </c>
      <c r="P788" s="2" t="s">
        <v>17</v>
      </c>
      <c r="S788" s="13"/>
    </row>
    <row r="789" spans="1:19" x14ac:dyDescent="0.2">
      <c r="A789" s="2">
        <v>786</v>
      </c>
      <c r="B789" s="8">
        <v>350808004</v>
      </c>
      <c r="C789" s="8" t="s">
        <v>2910</v>
      </c>
      <c r="D789" s="8" t="s">
        <v>17</v>
      </c>
      <c r="E789" s="9" t="s">
        <v>2463</v>
      </c>
      <c r="F789" s="10" t="s">
        <v>2903</v>
      </c>
      <c r="G789" s="10" t="s">
        <v>2903</v>
      </c>
      <c r="H789" s="10" t="s">
        <v>2899</v>
      </c>
      <c r="I789" s="11" t="s">
        <v>2911</v>
      </c>
      <c r="J789" s="11" t="s">
        <v>2912</v>
      </c>
      <c r="K789" s="12" t="s">
        <v>17</v>
      </c>
      <c r="L789" s="10" t="s">
        <v>2892</v>
      </c>
      <c r="M789" s="2" t="s">
        <v>15</v>
      </c>
      <c r="N789" s="2" t="s">
        <v>17</v>
      </c>
      <c r="O789" s="2" t="s">
        <v>17</v>
      </c>
      <c r="P789" s="2" t="s">
        <v>17</v>
      </c>
      <c r="S789" s="13"/>
    </row>
    <row r="790" spans="1:19" x14ac:dyDescent="0.2">
      <c r="A790" s="2">
        <v>787</v>
      </c>
      <c r="B790" s="8">
        <v>350808005</v>
      </c>
      <c r="C790" s="8" t="s">
        <v>1425</v>
      </c>
      <c r="D790" s="8" t="s">
        <v>17</v>
      </c>
      <c r="E790" s="9" t="s">
        <v>2463</v>
      </c>
      <c r="F790" s="10" t="s">
        <v>2898</v>
      </c>
      <c r="G790" s="10" t="s">
        <v>2898</v>
      </c>
      <c r="H790" s="10" t="s">
        <v>2899</v>
      </c>
      <c r="I790" s="11" t="s">
        <v>2913</v>
      </c>
      <c r="J790" s="11" t="s">
        <v>2914</v>
      </c>
      <c r="K790" s="12" t="s">
        <v>17</v>
      </c>
      <c r="L790" s="10" t="s">
        <v>2892</v>
      </c>
      <c r="M790" s="2" t="s">
        <v>15</v>
      </c>
      <c r="N790" s="2" t="s">
        <v>17</v>
      </c>
      <c r="O790" s="2" t="s">
        <v>17</v>
      </c>
      <c r="P790" s="2" t="s">
        <v>17</v>
      </c>
      <c r="S790" s="13"/>
    </row>
    <row r="791" spans="1:19" x14ac:dyDescent="0.2">
      <c r="A791" s="2">
        <v>788</v>
      </c>
      <c r="B791" s="8">
        <v>350808006</v>
      </c>
      <c r="C791" s="8" t="s">
        <v>2915</v>
      </c>
      <c r="D791" s="8" t="s">
        <v>17</v>
      </c>
      <c r="E791" s="9" t="s">
        <v>2463</v>
      </c>
      <c r="F791" s="10" t="s">
        <v>2162</v>
      </c>
      <c r="G791" s="10" t="s">
        <v>2898</v>
      </c>
      <c r="H791" s="10" t="s">
        <v>2899</v>
      </c>
      <c r="I791" s="11" t="s">
        <v>2916</v>
      </c>
      <c r="J791" s="11" t="s">
        <v>2917</v>
      </c>
      <c r="K791" s="12" t="s">
        <v>17</v>
      </c>
      <c r="L791" s="10" t="s">
        <v>2892</v>
      </c>
      <c r="M791" s="2" t="s">
        <v>15</v>
      </c>
      <c r="N791" s="2" t="s">
        <v>17</v>
      </c>
      <c r="O791" s="2" t="s">
        <v>17</v>
      </c>
      <c r="P791" s="2" t="s">
        <v>17</v>
      </c>
      <c r="S791" s="13"/>
    </row>
    <row r="792" spans="1:19" x14ac:dyDescent="0.2">
      <c r="A792" s="2">
        <v>789</v>
      </c>
      <c r="B792" s="8">
        <v>350808007</v>
      </c>
      <c r="C792" s="8" t="s">
        <v>2918</v>
      </c>
      <c r="D792" s="8" t="s">
        <v>17</v>
      </c>
      <c r="E792" s="9" t="s">
        <v>2463</v>
      </c>
      <c r="F792" s="10" t="s">
        <v>2918</v>
      </c>
      <c r="G792" s="10" t="s">
        <v>2919</v>
      </c>
      <c r="H792" s="10" t="s">
        <v>2899</v>
      </c>
      <c r="I792" s="11" t="s">
        <v>2920</v>
      </c>
      <c r="J792" s="11" t="s">
        <v>2921</v>
      </c>
      <c r="K792" s="12" t="s">
        <v>17</v>
      </c>
      <c r="L792" s="10" t="s">
        <v>2892</v>
      </c>
      <c r="M792" s="2" t="s">
        <v>15</v>
      </c>
      <c r="N792" s="2" t="s">
        <v>17</v>
      </c>
      <c r="O792" s="2" t="s">
        <v>17</v>
      </c>
      <c r="P792" s="2" t="s">
        <v>17</v>
      </c>
      <c r="S792" s="13"/>
    </row>
    <row r="793" spans="1:19" x14ac:dyDescent="0.2">
      <c r="A793" s="2">
        <v>790</v>
      </c>
      <c r="B793" s="8">
        <v>350808008</v>
      </c>
      <c r="C793" s="8" t="s">
        <v>2922</v>
      </c>
      <c r="D793" s="8" t="s">
        <v>17</v>
      </c>
      <c r="E793" s="9" t="s">
        <v>2463</v>
      </c>
      <c r="F793" s="10" t="s">
        <v>104</v>
      </c>
      <c r="G793" s="10" t="s">
        <v>2922</v>
      </c>
      <c r="H793" s="10" t="s">
        <v>2899</v>
      </c>
      <c r="I793" s="11" t="s">
        <v>2923</v>
      </c>
      <c r="J793" s="11" t="s">
        <v>2924</v>
      </c>
      <c r="K793" s="12" t="s">
        <v>17</v>
      </c>
      <c r="L793" s="10" t="s">
        <v>2892</v>
      </c>
      <c r="M793" s="2" t="s">
        <v>15</v>
      </c>
      <c r="N793" s="2" t="s">
        <v>17</v>
      </c>
      <c r="O793" s="2" t="s">
        <v>17</v>
      </c>
      <c r="P793" s="2" t="s">
        <v>17</v>
      </c>
      <c r="S793" s="13"/>
    </row>
    <row r="794" spans="1:19" x14ac:dyDescent="0.2">
      <c r="A794" s="2">
        <v>791</v>
      </c>
      <c r="B794" s="8">
        <v>350808009</v>
      </c>
      <c r="C794" s="8" t="s">
        <v>2925</v>
      </c>
      <c r="D794" s="8" t="s">
        <v>17</v>
      </c>
      <c r="E794" s="9" t="s">
        <v>2463</v>
      </c>
      <c r="F794" s="10" t="s">
        <v>2926</v>
      </c>
      <c r="G794" s="10" t="s">
        <v>2927</v>
      </c>
      <c r="H794" s="10" t="s">
        <v>2899</v>
      </c>
      <c r="I794" s="11" t="s">
        <v>2928</v>
      </c>
      <c r="J794" s="11" t="s">
        <v>2929</v>
      </c>
      <c r="K794" s="12" t="s">
        <v>17</v>
      </c>
      <c r="L794" s="10" t="s">
        <v>2892</v>
      </c>
      <c r="M794" s="2" t="s">
        <v>15</v>
      </c>
      <c r="N794" s="2" t="s">
        <v>17</v>
      </c>
      <c r="O794" s="2" t="s">
        <v>17</v>
      </c>
      <c r="P794" s="2" t="s">
        <v>17</v>
      </c>
      <c r="S794" s="13"/>
    </row>
    <row r="795" spans="1:19" x14ac:dyDescent="0.2">
      <c r="A795" s="2">
        <v>792</v>
      </c>
      <c r="B795" s="8">
        <v>350808010</v>
      </c>
      <c r="C795" s="8" t="s">
        <v>2930</v>
      </c>
      <c r="D795" s="8" t="s">
        <v>17</v>
      </c>
      <c r="E795" s="9" t="s">
        <v>2463</v>
      </c>
      <c r="F795" s="10" t="s">
        <v>2931</v>
      </c>
      <c r="G795" s="10" t="s">
        <v>467</v>
      </c>
      <c r="H795" s="10" t="s">
        <v>2899</v>
      </c>
      <c r="I795" s="11" t="s">
        <v>2932</v>
      </c>
      <c r="J795" s="11" t="s">
        <v>2933</v>
      </c>
      <c r="K795" s="12" t="s">
        <v>17</v>
      </c>
      <c r="L795" s="10" t="s">
        <v>2892</v>
      </c>
      <c r="M795" s="2" t="s">
        <v>15</v>
      </c>
      <c r="N795" s="2" t="s">
        <v>17</v>
      </c>
      <c r="O795" s="2" t="s">
        <v>17</v>
      </c>
      <c r="P795" s="2" t="s">
        <v>17</v>
      </c>
      <c r="S795" s="13"/>
    </row>
    <row r="796" spans="1:19" x14ac:dyDescent="0.2">
      <c r="A796" s="2">
        <v>793</v>
      </c>
      <c r="B796" s="8">
        <v>350808011</v>
      </c>
      <c r="C796" s="8" t="s">
        <v>2934</v>
      </c>
      <c r="D796" s="8" t="s">
        <v>17</v>
      </c>
      <c r="E796" s="9" t="s">
        <v>2463</v>
      </c>
      <c r="F796" s="10" t="s">
        <v>2935</v>
      </c>
      <c r="G796" s="10" t="s">
        <v>2936</v>
      </c>
      <c r="H796" s="10" t="s">
        <v>2899</v>
      </c>
      <c r="I796" s="11" t="s">
        <v>2937</v>
      </c>
      <c r="J796" s="11" t="s">
        <v>2938</v>
      </c>
      <c r="K796" s="12" t="s">
        <v>17</v>
      </c>
      <c r="L796" s="10" t="s">
        <v>2892</v>
      </c>
      <c r="M796" s="2" t="s">
        <v>15</v>
      </c>
      <c r="N796" s="2" t="s">
        <v>17</v>
      </c>
      <c r="O796" s="2" t="s">
        <v>17</v>
      </c>
      <c r="P796" s="2" t="s">
        <v>17</v>
      </c>
      <c r="S796" s="13"/>
    </row>
    <row r="797" spans="1:19" x14ac:dyDescent="0.2">
      <c r="A797" s="2">
        <v>794</v>
      </c>
      <c r="B797" s="8">
        <v>350808012</v>
      </c>
      <c r="C797" s="8" t="s">
        <v>2939</v>
      </c>
      <c r="D797" s="8" t="s">
        <v>17</v>
      </c>
      <c r="E797" s="9" t="s">
        <v>2463</v>
      </c>
      <c r="F797" s="10" t="s">
        <v>2939</v>
      </c>
      <c r="G797" s="10" t="s">
        <v>2939</v>
      </c>
      <c r="H797" s="10" t="s">
        <v>2899</v>
      </c>
      <c r="I797" s="11" t="s">
        <v>2940</v>
      </c>
      <c r="J797" s="11" t="s">
        <v>2941</v>
      </c>
      <c r="K797" s="12" t="s">
        <v>17</v>
      </c>
      <c r="L797" s="10" t="s">
        <v>2892</v>
      </c>
      <c r="M797" s="2" t="s">
        <v>15</v>
      </c>
      <c r="N797" s="2" t="s">
        <v>17</v>
      </c>
      <c r="O797" s="2" t="s">
        <v>17</v>
      </c>
      <c r="P797" s="2" t="s">
        <v>17</v>
      </c>
      <c r="S797" s="13"/>
    </row>
    <row r="798" spans="1:19" x14ac:dyDescent="0.2">
      <c r="A798" s="2">
        <v>795</v>
      </c>
      <c r="B798" s="8">
        <v>350808013</v>
      </c>
      <c r="C798" s="8" t="s">
        <v>2942</v>
      </c>
      <c r="D798" s="8" t="s">
        <v>17</v>
      </c>
      <c r="E798" s="9" t="s">
        <v>2463</v>
      </c>
      <c r="F798" s="10" t="s">
        <v>2943</v>
      </c>
      <c r="G798" s="10" t="s">
        <v>2939</v>
      </c>
      <c r="H798" s="10" t="s">
        <v>2899</v>
      </c>
      <c r="I798" s="11" t="s">
        <v>2944</v>
      </c>
      <c r="J798" s="11" t="s">
        <v>2945</v>
      </c>
      <c r="K798" s="12" t="s">
        <v>17</v>
      </c>
      <c r="L798" s="10" t="s">
        <v>2892</v>
      </c>
      <c r="M798" s="2" t="s">
        <v>15</v>
      </c>
      <c r="N798" s="2" t="s">
        <v>17</v>
      </c>
      <c r="O798" s="2" t="s">
        <v>17</v>
      </c>
      <c r="P798" s="2" t="s">
        <v>17</v>
      </c>
      <c r="S798" s="13"/>
    </row>
    <row r="799" spans="1:19" x14ac:dyDescent="0.2">
      <c r="A799" s="2">
        <v>796</v>
      </c>
      <c r="B799" s="8">
        <v>350808014</v>
      </c>
      <c r="C799" s="8" t="s">
        <v>2946</v>
      </c>
      <c r="D799" s="8" t="s">
        <v>17</v>
      </c>
      <c r="E799" s="9" t="s">
        <v>2463</v>
      </c>
      <c r="F799" s="10" t="s">
        <v>2947</v>
      </c>
      <c r="G799" s="10" t="s">
        <v>2936</v>
      </c>
      <c r="H799" s="10" t="s">
        <v>2899</v>
      </c>
      <c r="I799" s="11" t="s">
        <v>2948</v>
      </c>
      <c r="J799" s="11" t="s">
        <v>2949</v>
      </c>
      <c r="K799" s="12" t="s">
        <v>17</v>
      </c>
      <c r="L799" s="10" t="s">
        <v>2892</v>
      </c>
      <c r="M799" s="2" t="s">
        <v>15</v>
      </c>
      <c r="N799" s="2" t="s">
        <v>17</v>
      </c>
      <c r="O799" s="2" t="s">
        <v>17</v>
      </c>
      <c r="P799" s="2" t="s">
        <v>17</v>
      </c>
      <c r="S799" s="13"/>
    </row>
    <row r="800" spans="1:19" x14ac:dyDescent="0.2">
      <c r="A800" s="2">
        <v>797</v>
      </c>
      <c r="B800" s="8">
        <v>350808015</v>
      </c>
      <c r="C800" s="8" t="s">
        <v>2950</v>
      </c>
      <c r="D800" s="8" t="s">
        <v>17</v>
      </c>
      <c r="E800" s="9" t="s">
        <v>2463</v>
      </c>
      <c r="F800" s="10" t="s">
        <v>2189</v>
      </c>
      <c r="G800" s="10" t="s">
        <v>2907</v>
      </c>
      <c r="H800" s="10" t="s">
        <v>2899</v>
      </c>
      <c r="I800" s="11" t="s">
        <v>2951</v>
      </c>
      <c r="J800" s="11" t="s">
        <v>2952</v>
      </c>
      <c r="K800" s="12" t="s">
        <v>17</v>
      </c>
      <c r="L800" s="10" t="s">
        <v>2892</v>
      </c>
      <c r="M800" s="2" t="s">
        <v>15</v>
      </c>
      <c r="N800" s="2" t="s">
        <v>17</v>
      </c>
      <c r="O800" s="2" t="s">
        <v>17</v>
      </c>
      <c r="P800" s="2" t="s">
        <v>17</v>
      </c>
      <c r="S800" s="13"/>
    </row>
    <row r="801" spans="1:19" x14ac:dyDescent="0.2">
      <c r="A801" s="2">
        <v>798</v>
      </c>
      <c r="B801" s="8">
        <v>350808016</v>
      </c>
      <c r="C801" s="8" t="s">
        <v>2953</v>
      </c>
      <c r="D801" s="8" t="s">
        <v>17</v>
      </c>
      <c r="E801" s="9" t="s">
        <v>2463</v>
      </c>
      <c r="F801" s="10" t="s">
        <v>2954</v>
      </c>
      <c r="G801" s="10" t="s">
        <v>2954</v>
      </c>
      <c r="H801" s="10" t="s">
        <v>2899</v>
      </c>
      <c r="I801" s="11" t="s">
        <v>2955</v>
      </c>
      <c r="J801" s="11" t="s">
        <v>2956</v>
      </c>
      <c r="K801" s="12" t="s">
        <v>17</v>
      </c>
      <c r="L801" s="10" t="s">
        <v>2892</v>
      </c>
      <c r="M801" s="2" t="s">
        <v>15</v>
      </c>
      <c r="N801" s="2" t="s">
        <v>17</v>
      </c>
      <c r="O801" s="2" t="s">
        <v>17</v>
      </c>
      <c r="P801" s="2" t="s">
        <v>17</v>
      </c>
      <c r="S801" s="13"/>
    </row>
    <row r="802" spans="1:19" x14ac:dyDescent="0.2">
      <c r="A802" s="2">
        <v>799</v>
      </c>
      <c r="B802" s="8">
        <v>350808017</v>
      </c>
      <c r="C802" s="8" t="s">
        <v>2957</v>
      </c>
      <c r="D802" s="8" t="s">
        <v>17</v>
      </c>
      <c r="E802" s="9" t="s">
        <v>2463</v>
      </c>
      <c r="F802" s="10" t="s">
        <v>2958</v>
      </c>
      <c r="G802" s="10" t="s">
        <v>2922</v>
      </c>
      <c r="H802" s="10" t="s">
        <v>2899</v>
      </c>
      <c r="I802" s="11" t="s">
        <v>2959</v>
      </c>
      <c r="J802" s="11" t="s">
        <v>2960</v>
      </c>
      <c r="K802" s="12" t="s">
        <v>17</v>
      </c>
      <c r="L802" s="10" t="s">
        <v>2892</v>
      </c>
      <c r="M802" s="2" t="s">
        <v>15</v>
      </c>
      <c r="N802" s="2" t="s">
        <v>17</v>
      </c>
      <c r="O802" s="2" t="s">
        <v>17</v>
      </c>
      <c r="P802" s="2" t="s">
        <v>17</v>
      </c>
      <c r="S802" s="13"/>
    </row>
    <row r="803" spans="1:19" x14ac:dyDescent="0.2">
      <c r="A803" s="2">
        <v>800</v>
      </c>
      <c r="B803" s="8">
        <v>350808018</v>
      </c>
      <c r="C803" s="8" t="s">
        <v>2961</v>
      </c>
      <c r="D803" s="8" t="s">
        <v>17</v>
      </c>
      <c r="E803" s="9" t="s">
        <v>2463</v>
      </c>
      <c r="F803" s="10" t="s">
        <v>463</v>
      </c>
      <c r="G803" s="10" t="s">
        <v>2936</v>
      </c>
      <c r="H803" s="10" t="s">
        <v>2899</v>
      </c>
      <c r="I803" s="11" t="s">
        <v>2962</v>
      </c>
      <c r="J803" s="11" t="s">
        <v>2963</v>
      </c>
      <c r="K803" s="12" t="s">
        <v>17</v>
      </c>
      <c r="L803" s="10" t="s">
        <v>2892</v>
      </c>
      <c r="M803" s="2" t="s">
        <v>15</v>
      </c>
      <c r="N803" s="2" t="s">
        <v>17</v>
      </c>
      <c r="O803" s="2" t="s">
        <v>17</v>
      </c>
      <c r="P803" s="2" t="s">
        <v>17</v>
      </c>
      <c r="S803" s="13"/>
    </row>
    <row r="804" spans="1:19" x14ac:dyDescent="0.2">
      <c r="A804" s="2">
        <v>801</v>
      </c>
      <c r="B804" s="8">
        <v>350808019</v>
      </c>
      <c r="C804" s="8" t="s">
        <v>2964</v>
      </c>
      <c r="D804" s="8" t="s">
        <v>17</v>
      </c>
      <c r="E804" s="9" t="s">
        <v>2463</v>
      </c>
      <c r="F804" s="10" t="s">
        <v>693</v>
      </c>
      <c r="G804" s="10" t="s">
        <v>2965</v>
      </c>
      <c r="H804" s="10" t="s">
        <v>2899</v>
      </c>
      <c r="I804" s="11" t="s">
        <v>2966</v>
      </c>
      <c r="J804" s="11" t="s">
        <v>2967</v>
      </c>
      <c r="K804" s="12" t="s">
        <v>17</v>
      </c>
      <c r="L804" s="10" t="s">
        <v>2892</v>
      </c>
      <c r="M804" s="2" t="s">
        <v>15</v>
      </c>
      <c r="N804" s="2" t="s">
        <v>17</v>
      </c>
      <c r="O804" s="2" t="s">
        <v>17</v>
      </c>
      <c r="P804" s="2" t="s">
        <v>17</v>
      </c>
      <c r="S804" s="13"/>
    </row>
    <row r="805" spans="1:19" x14ac:dyDescent="0.2">
      <c r="A805" s="2">
        <v>802</v>
      </c>
      <c r="B805" s="8">
        <v>350808020</v>
      </c>
      <c r="C805" s="8" t="s">
        <v>2968</v>
      </c>
      <c r="D805" s="8" t="s">
        <v>17</v>
      </c>
      <c r="E805" s="9" t="s">
        <v>2463</v>
      </c>
      <c r="F805" s="10" t="s">
        <v>2969</v>
      </c>
      <c r="G805" s="10" t="s">
        <v>2970</v>
      </c>
      <c r="H805" s="10" t="s">
        <v>2899</v>
      </c>
      <c r="I805" s="11" t="s">
        <v>2971</v>
      </c>
      <c r="J805" s="11" t="s">
        <v>2972</v>
      </c>
      <c r="K805" s="12" t="s">
        <v>17</v>
      </c>
      <c r="L805" s="10" t="s">
        <v>2892</v>
      </c>
      <c r="M805" s="2" t="s">
        <v>15</v>
      </c>
      <c r="N805" s="2" t="s">
        <v>17</v>
      </c>
      <c r="O805" s="2" t="s">
        <v>17</v>
      </c>
      <c r="P805" s="2" t="s">
        <v>17</v>
      </c>
      <c r="S805" s="13"/>
    </row>
    <row r="806" spans="1:19" x14ac:dyDescent="0.2">
      <c r="A806" s="2">
        <v>803</v>
      </c>
      <c r="B806" s="8">
        <v>350808021</v>
      </c>
      <c r="C806" s="8" t="s">
        <v>2973</v>
      </c>
      <c r="D806" s="8" t="s">
        <v>17</v>
      </c>
      <c r="E806" s="9" t="s">
        <v>2463</v>
      </c>
      <c r="F806" s="10" t="s">
        <v>2974</v>
      </c>
      <c r="G806" s="10" t="s">
        <v>2974</v>
      </c>
      <c r="H806" s="10" t="s">
        <v>2899</v>
      </c>
      <c r="I806" s="11" t="s">
        <v>2975</v>
      </c>
      <c r="J806" s="11" t="s">
        <v>2976</v>
      </c>
      <c r="K806" s="12" t="s">
        <v>17</v>
      </c>
      <c r="L806" s="10" t="s">
        <v>2892</v>
      </c>
      <c r="M806" s="2" t="s">
        <v>15</v>
      </c>
      <c r="N806" s="2" t="s">
        <v>17</v>
      </c>
      <c r="O806" s="2" t="s">
        <v>17</v>
      </c>
      <c r="P806" s="2" t="s">
        <v>17</v>
      </c>
      <c r="S806" s="13"/>
    </row>
    <row r="807" spans="1:19" x14ac:dyDescent="0.2">
      <c r="A807" s="2">
        <v>804</v>
      </c>
      <c r="B807" s="8">
        <v>350808022</v>
      </c>
      <c r="C807" s="8" t="s">
        <v>2977</v>
      </c>
      <c r="D807" s="8" t="s">
        <v>17</v>
      </c>
      <c r="E807" s="9" t="s">
        <v>2463</v>
      </c>
      <c r="F807" s="10" t="s">
        <v>2978</v>
      </c>
      <c r="G807" s="10" t="s">
        <v>2899</v>
      </c>
      <c r="H807" s="10" t="s">
        <v>2899</v>
      </c>
      <c r="I807" s="11" t="s">
        <v>2979</v>
      </c>
      <c r="J807" s="11" t="s">
        <v>2980</v>
      </c>
      <c r="K807" s="12" t="s">
        <v>17</v>
      </c>
      <c r="L807" s="10" t="s">
        <v>2892</v>
      </c>
      <c r="M807" s="2" t="s">
        <v>15</v>
      </c>
      <c r="N807" s="2" t="s">
        <v>17</v>
      </c>
      <c r="O807" s="2" t="s">
        <v>17</v>
      </c>
      <c r="P807" s="2" t="s">
        <v>17</v>
      </c>
      <c r="S807" s="13"/>
    </row>
    <row r="808" spans="1:19" x14ac:dyDescent="0.2">
      <c r="A808" s="2">
        <v>805</v>
      </c>
      <c r="B808" s="8">
        <v>350808023</v>
      </c>
      <c r="C808" s="8" t="s">
        <v>2981</v>
      </c>
      <c r="D808" s="8" t="s">
        <v>17</v>
      </c>
      <c r="E808" s="9" t="s">
        <v>2463</v>
      </c>
      <c r="F808" s="10" t="s">
        <v>2982</v>
      </c>
      <c r="G808" s="10" t="s">
        <v>2970</v>
      </c>
      <c r="H808" s="10" t="s">
        <v>2899</v>
      </c>
      <c r="I808" s="11" t="s">
        <v>2983</v>
      </c>
      <c r="J808" s="11" t="s">
        <v>2984</v>
      </c>
      <c r="K808" s="12" t="s">
        <v>17</v>
      </c>
      <c r="L808" s="10" t="s">
        <v>2892</v>
      </c>
      <c r="M808" s="2" t="s">
        <v>15</v>
      </c>
      <c r="N808" s="2" t="s">
        <v>17</v>
      </c>
      <c r="O808" s="2" t="s">
        <v>17</v>
      </c>
      <c r="P808" s="2" t="s">
        <v>17</v>
      </c>
      <c r="S808" s="13"/>
    </row>
    <row r="809" spans="1:19" x14ac:dyDescent="0.2">
      <c r="A809" s="2">
        <v>806</v>
      </c>
      <c r="B809" s="8">
        <v>350808024</v>
      </c>
      <c r="C809" s="8" t="s">
        <v>2985</v>
      </c>
      <c r="D809" s="8" t="s">
        <v>17</v>
      </c>
      <c r="E809" s="9" t="s">
        <v>2463</v>
      </c>
      <c r="F809" s="10" t="s">
        <v>2985</v>
      </c>
      <c r="G809" s="10" t="s">
        <v>2903</v>
      </c>
      <c r="H809" s="10" t="s">
        <v>2899</v>
      </c>
      <c r="I809" s="11" t="s">
        <v>2986</v>
      </c>
      <c r="J809" s="11" t="s">
        <v>2987</v>
      </c>
      <c r="K809" s="12" t="s">
        <v>17</v>
      </c>
      <c r="L809" s="10" t="s">
        <v>2892</v>
      </c>
      <c r="M809" s="2" t="s">
        <v>15</v>
      </c>
      <c r="N809" s="2" t="s">
        <v>17</v>
      </c>
      <c r="O809" s="2" t="s">
        <v>17</v>
      </c>
      <c r="P809" s="2" t="s">
        <v>17</v>
      </c>
      <c r="S809" s="13"/>
    </row>
    <row r="810" spans="1:19" x14ac:dyDescent="0.2">
      <c r="A810" s="2">
        <v>807</v>
      </c>
      <c r="B810" s="8">
        <v>350808025</v>
      </c>
      <c r="C810" s="8" t="s">
        <v>2974</v>
      </c>
      <c r="D810" s="8" t="s">
        <v>17</v>
      </c>
      <c r="E810" s="9" t="s">
        <v>2463</v>
      </c>
      <c r="F810" s="10" t="s">
        <v>2974</v>
      </c>
      <c r="G810" s="10" t="s">
        <v>2974</v>
      </c>
      <c r="H810" s="10" t="s">
        <v>2899</v>
      </c>
      <c r="I810" s="11" t="s">
        <v>2988</v>
      </c>
      <c r="J810" s="11" t="s">
        <v>2989</v>
      </c>
      <c r="K810" s="12" t="s">
        <v>17</v>
      </c>
      <c r="L810" s="10" t="s">
        <v>2892</v>
      </c>
      <c r="M810" s="2" t="s">
        <v>15</v>
      </c>
      <c r="N810" s="2" t="s">
        <v>17</v>
      </c>
      <c r="O810" s="2" t="s">
        <v>17</v>
      </c>
      <c r="P810" s="2" t="s">
        <v>17</v>
      </c>
      <c r="S810" s="13"/>
    </row>
    <row r="811" spans="1:19" x14ac:dyDescent="0.2">
      <c r="A811" s="2">
        <v>808</v>
      </c>
      <c r="B811" s="8">
        <v>350808026</v>
      </c>
      <c r="C811" s="8" t="s">
        <v>2990</v>
      </c>
      <c r="D811" s="8" t="s">
        <v>17</v>
      </c>
      <c r="E811" s="9" t="s">
        <v>2463</v>
      </c>
      <c r="F811" s="10" t="s">
        <v>2991</v>
      </c>
      <c r="G811" s="10" t="s">
        <v>2899</v>
      </c>
      <c r="H811" s="10" t="s">
        <v>2899</v>
      </c>
      <c r="I811" s="11" t="s">
        <v>2992</v>
      </c>
      <c r="J811" s="11" t="s">
        <v>2993</v>
      </c>
      <c r="K811" s="12" t="s">
        <v>17</v>
      </c>
      <c r="L811" s="10" t="s">
        <v>2892</v>
      </c>
      <c r="M811" s="2" t="s">
        <v>15</v>
      </c>
      <c r="N811" s="2" t="s">
        <v>17</v>
      </c>
      <c r="O811" s="2" t="s">
        <v>17</v>
      </c>
      <c r="P811" s="2" t="s">
        <v>17</v>
      </c>
      <c r="S811" s="13"/>
    </row>
    <row r="812" spans="1:19" x14ac:dyDescent="0.2">
      <c r="A812" s="2">
        <v>809</v>
      </c>
      <c r="B812" s="8">
        <v>350808027</v>
      </c>
      <c r="C812" s="8" t="s">
        <v>2994</v>
      </c>
      <c r="D812" s="8" t="s">
        <v>17</v>
      </c>
      <c r="E812" s="9" t="s">
        <v>2463</v>
      </c>
      <c r="F812" s="10" t="s">
        <v>693</v>
      </c>
      <c r="G812" s="10" t="s">
        <v>2995</v>
      </c>
      <c r="H812" s="10" t="s">
        <v>2899</v>
      </c>
      <c r="I812" s="11" t="s">
        <v>2996</v>
      </c>
      <c r="J812" s="11" t="s">
        <v>2997</v>
      </c>
      <c r="K812" s="12" t="s">
        <v>17</v>
      </c>
      <c r="L812" s="10" t="s">
        <v>2892</v>
      </c>
      <c r="M812" s="2" t="s">
        <v>15</v>
      </c>
      <c r="N812" s="2" t="s">
        <v>17</v>
      </c>
      <c r="O812" s="2" t="s">
        <v>17</v>
      </c>
      <c r="P812" s="2" t="s">
        <v>17</v>
      </c>
      <c r="S812" s="13"/>
    </row>
    <row r="813" spans="1:19" x14ac:dyDescent="0.2">
      <c r="A813" s="2">
        <v>810</v>
      </c>
      <c r="B813" s="8">
        <v>350808028</v>
      </c>
      <c r="C813" s="8" t="s">
        <v>2998</v>
      </c>
      <c r="D813" s="8" t="s">
        <v>17</v>
      </c>
      <c r="E813" s="9" t="s">
        <v>2463</v>
      </c>
      <c r="F813" s="10" t="s">
        <v>2903</v>
      </c>
      <c r="G813" s="10" t="s">
        <v>2903</v>
      </c>
      <c r="H813" s="10" t="s">
        <v>2899</v>
      </c>
      <c r="I813" s="11" t="s">
        <v>2999</v>
      </c>
      <c r="J813" s="11" t="s">
        <v>3000</v>
      </c>
      <c r="K813" s="12" t="s">
        <v>17</v>
      </c>
      <c r="L813" s="10" t="s">
        <v>2892</v>
      </c>
      <c r="M813" s="2" t="s">
        <v>15</v>
      </c>
      <c r="N813" s="2" t="s">
        <v>17</v>
      </c>
      <c r="O813" s="2" t="s">
        <v>17</v>
      </c>
      <c r="P813" s="2" t="s">
        <v>17</v>
      </c>
      <c r="S813" s="13"/>
    </row>
    <row r="814" spans="1:19" x14ac:dyDescent="0.2">
      <c r="A814" s="2">
        <v>811</v>
      </c>
      <c r="B814" s="8">
        <v>350808029</v>
      </c>
      <c r="C814" s="8" t="s">
        <v>3001</v>
      </c>
      <c r="D814" s="8" t="s">
        <v>17</v>
      </c>
      <c r="E814" s="9" t="s">
        <v>2463</v>
      </c>
      <c r="F814" s="10" t="s">
        <v>3001</v>
      </c>
      <c r="G814" s="10" t="s">
        <v>2898</v>
      </c>
      <c r="H814" s="10" t="s">
        <v>2899</v>
      </c>
      <c r="I814" s="11" t="s">
        <v>3002</v>
      </c>
      <c r="J814" s="11" t="s">
        <v>3003</v>
      </c>
      <c r="K814" s="12" t="s">
        <v>17</v>
      </c>
      <c r="L814" s="10" t="s">
        <v>2892</v>
      </c>
      <c r="M814" s="2" t="s">
        <v>15</v>
      </c>
      <c r="N814" s="2" t="s">
        <v>17</v>
      </c>
      <c r="O814" s="2" t="s">
        <v>17</v>
      </c>
      <c r="P814" s="2" t="s">
        <v>17</v>
      </c>
      <c r="S814" s="13"/>
    </row>
    <row r="815" spans="1:19" x14ac:dyDescent="0.2">
      <c r="A815" s="2">
        <v>812</v>
      </c>
      <c r="B815" s="8">
        <v>350808030</v>
      </c>
      <c r="C815" s="8" t="s">
        <v>1961</v>
      </c>
      <c r="D815" s="8" t="s">
        <v>17</v>
      </c>
      <c r="E815" s="9" t="s">
        <v>2463</v>
      </c>
      <c r="F815" s="10" t="s">
        <v>3004</v>
      </c>
      <c r="G815" s="10" t="s">
        <v>2973</v>
      </c>
      <c r="H815" s="10" t="s">
        <v>2899</v>
      </c>
      <c r="I815" s="11" t="s">
        <v>3005</v>
      </c>
      <c r="J815" s="11" t="s">
        <v>3006</v>
      </c>
      <c r="K815" s="12" t="s">
        <v>17</v>
      </c>
      <c r="L815" s="10" t="s">
        <v>2892</v>
      </c>
      <c r="M815" s="2" t="s">
        <v>15</v>
      </c>
      <c r="N815" s="2" t="s">
        <v>17</v>
      </c>
      <c r="O815" s="2" t="s">
        <v>17</v>
      </c>
      <c r="P815" s="2" t="s">
        <v>17</v>
      </c>
      <c r="S815" s="13"/>
    </row>
    <row r="816" spans="1:19" x14ac:dyDescent="0.2">
      <c r="A816" s="2">
        <v>813</v>
      </c>
      <c r="B816" s="8">
        <v>350808031</v>
      </c>
      <c r="C816" s="8" t="s">
        <v>2919</v>
      </c>
      <c r="D816" s="8" t="s">
        <v>17</v>
      </c>
      <c r="E816" s="9" t="s">
        <v>2463</v>
      </c>
      <c r="F816" s="10" t="s">
        <v>2919</v>
      </c>
      <c r="G816" s="10" t="s">
        <v>2919</v>
      </c>
      <c r="H816" s="10" t="s">
        <v>2899</v>
      </c>
      <c r="I816" s="11" t="s">
        <v>3007</v>
      </c>
      <c r="J816" s="11" t="s">
        <v>3008</v>
      </c>
      <c r="K816" s="12" t="s">
        <v>17</v>
      </c>
      <c r="L816" s="10" t="s">
        <v>2892</v>
      </c>
      <c r="M816" s="2" t="s">
        <v>15</v>
      </c>
      <c r="N816" s="2" t="s">
        <v>17</v>
      </c>
      <c r="O816" s="2" t="s">
        <v>17</v>
      </c>
      <c r="P816" s="2" t="s">
        <v>17</v>
      </c>
      <c r="S816" s="13"/>
    </row>
    <row r="817" spans="1:19" x14ac:dyDescent="0.2">
      <c r="A817" s="2">
        <v>814</v>
      </c>
      <c r="B817" s="8">
        <v>350808032</v>
      </c>
      <c r="C817" s="8" t="s">
        <v>3009</v>
      </c>
      <c r="D817" s="8" t="s">
        <v>17</v>
      </c>
      <c r="E817" s="9" t="s">
        <v>2463</v>
      </c>
      <c r="F817" s="10" t="s">
        <v>3010</v>
      </c>
      <c r="G817" s="10" t="s">
        <v>2903</v>
      </c>
      <c r="H817" s="10" t="s">
        <v>2899</v>
      </c>
      <c r="I817" s="11" t="s">
        <v>3011</v>
      </c>
      <c r="J817" s="11" t="s">
        <v>3012</v>
      </c>
      <c r="K817" s="12" t="s">
        <v>17</v>
      </c>
      <c r="L817" s="10" t="s">
        <v>2892</v>
      </c>
      <c r="M817" s="2" t="s">
        <v>15</v>
      </c>
      <c r="N817" s="2" t="s">
        <v>17</v>
      </c>
      <c r="O817" s="2" t="s">
        <v>17</v>
      </c>
      <c r="P817" s="2" t="s">
        <v>17</v>
      </c>
      <c r="S817" s="13"/>
    </row>
    <row r="818" spans="1:19" x14ac:dyDescent="0.2">
      <c r="A818" s="2">
        <v>815</v>
      </c>
      <c r="B818" s="8">
        <v>350808033</v>
      </c>
      <c r="C818" s="8" t="s">
        <v>3013</v>
      </c>
      <c r="D818" s="8" t="s">
        <v>17</v>
      </c>
      <c r="E818" s="9" t="s">
        <v>2463</v>
      </c>
      <c r="F818" s="10" t="s">
        <v>3014</v>
      </c>
      <c r="G818" s="10" t="s">
        <v>2936</v>
      </c>
      <c r="H818" s="10" t="s">
        <v>2899</v>
      </c>
      <c r="I818" s="11" t="s">
        <v>3015</v>
      </c>
      <c r="J818" s="11" t="s">
        <v>3016</v>
      </c>
      <c r="K818" s="12" t="s">
        <v>17</v>
      </c>
      <c r="L818" s="10" t="s">
        <v>2892</v>
      </c>
      <c r="M818" s="2" t="s">
        <v>15</v>
      </c>
      <c r="N818" s="2" t="s">
        <v>17</v>
      </c>
      <c r="O818" s="2" t="s">
        <v>17</v>
      </c>
      <c r="P818" s="2" t="s">
        <v>17</v>
      </c>
      <c r="S818" s="13"/>
    </row>
    <row r="819" spans="1:19" x14ac:dyDescent="0.2">
      <c r="A819" s="2">
        <v>816</v>
      </c>
      <c r="B819" s="8">
        <v>350808034</v>
      </c>
      <c r="C819" s="8" t="s">
        <v>3017</v>
      </c>
      <c r="D819" s="8" t="s">
        <v>17</v>
      </c>
      <c r="E819" s="9" t="s">
        <v>2463</v>
      </c>
      <c r="F819" s="10" t="s">
        <v>2970</v>
      </c>
      <c r="G819" s="10" t="s">
        <v>2970</v>
      </c>
      <c r="H819" s="10" t="s">
        <v>2899</v>
      </c>
      <c r="I819" s="11" t="s">
        <v>3018</v>
      </c>
      <c r="J819" s="11" t="s">
        <v>3019</v>
      </c>
      <c r="K819" s="12" t="s">
        <v>17</v>
      </c>
      <c r="L819" s="10" t="s">
        <v>2892</v>
      </c>
      <c r="M819" s="2" t="s">
        <v>15</v>
      </c>
      <c r="N819" s="2" t="s">
        <v>17</v>
      </c>
      <c r="O819" s="2" t="s">
        <v>17</v>
      </c>
      <c r="P819" s="2" t="s">
        <v>17</v>
      </c>
      <c r="S819" s="13"/>
    </row>
    <row r="820" spans="1:19" x14ac:dyDescent="0.2">
      <c r="A820" s="2">
        <v>817</v>
      </c>
      <c r="B820" s="8">
        <v>350808035</v>
      </c>
      <c r="C820" s="8" t="s">
        <v>2903</v>
      </c>
      <c r="D820" s="8" t="s">
        <v>17</v>
      </c>
      <c r="E820" s="9" t="s">
        <v>2463</v>
      </c>
      <c r="F820" s="10" t="s">
        <v>2903</v>
      </c>
      <c r="G820" s="10" t="s">
        <v>2903</v>
      </c>
      <c r="H820" s="10" t="s">
        <v>2899</v>
      </c>
      <c r="I820" s="11" t="s">
        <v>3020</v>
      </c>
      <c r="J820" s="11" t="s">
        <v>3021</v>
      </c>
      <c r="K820" s="12" t="s">
        <v>17</v>
      </c>
      <c r="L820" s="10" t="s">
        <v>2892</v>
      </c>
      <c r="M820" s="2" t="s">
        <v>15</v>
      </c>
      <c r="N820" s="2" t="s">
        <v>17</v>
      </c>
      <c r="O820" s="2" t="s">
        <v>17</v>
      </c>
      <c r="P820" s="2" t="s">
        <v>17</v>
      </c>
      <c r="S820" s="13"/>
    </row>
    <row r="821" spans="1:19" x14ac:dyDescent="0.2">
      <c r="A821" s="2">
        <v>818</v>
      </c>
      <c r="B821" s="8">
        <v>350808036</v>
      </c>
      <c r="C821" s="8" t="s">
        <v>2927</v>
      </c>
      <c r="D821" s="8" t="s">
        <v>17</v>
      </c>
      <c r="E821" s="9" t="s">
        <v>2463</v>
      </c>
      <c r="F821" s="10" t="s">
        <v>3022</v>
      </c>
      <c r="G821" s="10" t="s">
        <v>2927</v>
      </c>
      <c r="H821" s="10" t="s">
        <v>2899</v>
      </c>
      <c r="I821" s="11" t="s">
        <v>3023</v>
      </c>
      <c r="J821" s="11" t="s">
        <v>3024</v>
      </c>
      <c r="K821" s="12" t="s">
        <v>17</v>
      </c>
      <c r="L821" s="10" t="s">
        <v>2892</v>
      </c>
      <c r="M821" s="2" t="s">
        <v>15</v>
      </c>
      <c r="N821" s="2" t="s">
        <v>17</v>
      </c>
      <c r="O821" s="2" t="s">
        <v>17</v>
      </c>
      <c r="P821" s="2" t="s">
        <v>17</v>
      </c>
      <c r="S821" s="13"/>
    </row>
    <row r="822" spans="1:19" x14ac:dyDescent="0.2">
      <c r="A822" s="2">
        <v>819</v>
      </c>
      <c r="B822" s="8">
        <v>350808037</v>
      </c>
      <c r="C822" s="8" t="s">
        <v>3025</v>
      </c>
      <c r="D822" s="8" t="s">
        <v>17</v>
      </c>
      <c r="E822" s="9" t="s">
        <v>2463</v>
      </c>
      <c r="F822" s="10" t="s">
        <v>2947</v>
      </c>
      <c r="G822" s="10" t="s">
        <v>2936</v>
      </c>
      <c r="H822" s="10" t="s">
        <v>2899</v>
      </c>
      <c r="I822" s="11" t="s">
        <v>3026</v>
      </c>
      <c r="J822" s="11" t="s">
        <v>3027</v>
      </c>
      <c r="K822" s="12" t="s">
        <v>17</v>
      </c>
      <c r="L822" s="10" t="s">
        <v>2892</v>
      </c>
      <c r="M822" s="2" t="s">
        <v>15</v>
      </c>
      <c r="N822" s="2" t="s">
        <v>17</v>
      </c>
      <c r="O822" s="2" t="s">
        <v>17</v>
      </c>
      <c r="P822" s="2" t="s">
        <v>17</v>
      </c>
      <c r="S822" s="13"/>
    </row>
    <row r="823" spans="1:19" x14ac:dyDescent="0.2">
      <c r="A823" s="2">
        <v>820</v>
      </c>
      <c r="B823" s="8">
        <v>350808038</v>
      </c>
      <c r="C823" s="8" t="s">
        <v>3028</v>
      </c>
      <c r="D823" s="8" t="s">
        <v>17</v>
      </c>
      <c r="E823" s="9" t="s">
        <v>2463</v>
      </c>
      <c r="F823" s="10" t="s">
        <v>3029</v>
      </c>
      <c r="G823" s="10" t="s">
        <v>3030</v>
      </c>
      <c r="H823" s="10" t="s">
        <v>2899</v>
      </c>
      <c r="I823" s="11" t="s">
        <v>3031</v>
      </c>
      <c r="J823" s="11" t="s">
        <v>3032</v>
      </c>
      <c r="K823" s="12" t="s">
        <v>17</v>
      </c>
      <c r="L823" s="10" t="s">
        <v>2892</v>
      </c>
      <c r="M823" s="2" t="s">
        <v>15</v>
      </c>
      <c r="N823" s="2" t="s">
        <v>17</v>
      </c>
      <c r="O823" s="2" t="s">
        <v>17</v>
      </c>
      <c r="P823" s="2" t="s">
        <v>17</v>
      </c>
      <c r="S823" s="13"/>
    </row>
    <row r="824" spans="1:19" x14ac:dyDescent="0.2">
      <c r="A824" s="2">
        <v>821</v>
      </c>
      <c r="B824" s="8">
        <v>350808039</v>
      </c>
      <c r="C824" s="8" t="s">
        <v>3033</v>
      </c>
      <c r="D824" s="8" t="s">
        <v>17</v>
      </c>
      <c r="E824" s="9" t="s">
        <v>2463</v>
      </c>
      <c r="F824" s="10" t="s">
        <v>3034</v>
      </c>
      <c r="G824" s="10" t="s">
        <v>3030</v>
      </c>
      <c r="H824" s="10" t="s">
        <v>2899</v>
      </c>
      <c r="I824" s="11" t="s">
        <v>3035</v>
      </c>
      <c r="J824" s="11" t="s">
        <v>3036</v>
      </c>
      <c r="K824" s="12" t="s">
        <v>17</v>
      </c>
      <c r="L824" s="10" t="s">
        <v>2892</v>
      </c>
      <c r="M824" s="2" t="s">
        <v>15</v>
      </c>
      <c r="N824" s="2" t="s">
        <v>17</v>
      </c>
      <c r="O824" s="2" t="s">
        <v>17</v>
      </c>
      <c r="P824" s="2" t="s">
        <v>17</v>
      </c>
      <c r="S824" s="13"/>
    </row>
    <row r="825" spans="1:19" x14ac:dyDescent="0.2">
      <c r="A825" s="2">
        <v>822</v>
      </c>
      <c r="B825" s="8">
        <v>350808040</v>
      </c>
      <c r="C825" s="8" t="s">
        <v>3037</v>
      </c>
      <c r="D825" s="8" t="s">
        <v>17</v>
      </c>
      <c r="E825" s="9" t="s">
        <v>2463</v>
      </c>
      <c r="F825" s="10" t="s">
        <v>3038</v>
      </c>
      <c r="G825" s="10" t="s">
        <v>3037</v>
      </c>
      <c r="H825" s="10" t="s">
        <v>2899</v>
      </c>
      <c r="I825" s="11" t="s">
        <v>3039</v>
      </c>
      <c r="J825" s="11" t="s">
        <v>3040</v>
      </c>
      <c r="K825" s="12" t="s">
        <v>17</v>
      </c>
      <c r="L825" s="10" t="s">
        <v>2892</v>
      </c>
      <c r="M825" s="2" t="s">
        <v>15</v>
      </c>
      <c r="N825" s="2" t="s">
        <v>17</v>
      </c>
      <c r="O825" s="2" t="s">
        <v>17</v>
      </c>
      <c r="P825" s="2" t="s">
        <v>17</v>
      </c>
      <c r="S825" s="13"/>
    </row>
    <row r="826" spans="1:19" x14ac:dyDescent="0.2">
      <c r="A826" s="2">
        <v>823</v>
      </c>
      <c r="B826" s="8">
        <v>350808041</v>
      </c>
      <c r="C826" s="8" t="s">
        <v>3041</v>
      </c>
      <c r="D826" s="8" t="s">
        <v>17</v>
      </c>
      <c r="E826" s="9" t="s">
        <v>2463</v>
      </c>
      <c r="F826" s="10" t="s">
        <v>3041</v>
      </c>
      <c r="G826" s="10" t="s">
        <v>2954</v>
      </c>
      <c r="H826" s="10" t="s">
        <v>2899</v>
      </c>
      <c r="I826" s="11" t="s">
        <v>3042</v>
      </c>
      <c r="J826" s="11" t="s">
        <v>3043</v>
      </c>
      <c r="K826" s="12" t="s">
        <v>17</v>
      </c>
      <c r="L826" s="10" t="s">
        <v>2892</v>
      </c>
      <c r="M826" s="2" t="s">
        <v>15</v>
      </c>
      <c r="N826" s="2" t="s">
        <v>17</v>
      </c>
      <c r="O826" s="2" t="s">
        <v>17</v>
      </c>
      <c r="P826" s="2" t="s">
        <v>17</v>
      </c>
      <c r="S826" s="13"/>
    </row>
    <row r="827" spans="1:19" x14ac:dyDescent="0.2">
      <c r="A827" s="2">
        <v>824</v>
      </c>
      <c r="B827" s="8">
        <v>350808042</v>
      </c>
      <c r="C827" s="8" t="s">
        <v>3044</v>
      </c>
      <c r="D827" s="8" t="s">
        <v>17</v>
      </c>
      <c r="E827" s="9" t="s">
        <v>2463</v>
      </c>
      <c r="F827" s="10" t="s">
        <v>3044</v>
      </c>
      <c r="G827" s="10" t="s">
        <v>2970</v>
      </c>
      <c r="H827" s="10" t="s">
        <v>2899</v>
      </c>
      <c r="I827" s="11" t="s">
        <v>3045</v>
      </c>
      <c r="J827" s="11" t="s">
        <v>3046</v>
      </c>
      <c r="K827" s="12" t="s">
        <v>17</v>
      </c>
      <c r="L827" s="10" t="s">
        <v>2892</v>
      </c>
      <c r="M827" s="2" t="s">
        <v>15</v>
      </c>
      <c r="N827" s="2" t="s">
        <v>17</v>
      </c>
      <c r="O827" s="2" t="s">
        <v>17</v>
      </c>
      <c r="P827" s="2" t="s">
        <v>17</v>
      </c>
      <c r="S827" s="13"/>
    </row>
    <row r="828" spans="1:19" x14ac:dyDescent="0.2">
      <c r="A828" s="2">
        <v>825</v>
      </c>
      <c r="B828" s="8">
        <v>350808043</v>
      </c>
      <c r="C828" s="8" t="s">
        <v>3047</v>
      </c>
      <c r="D828" s="8" t="s">
        <v>17</v>
      </c>
      <c r="E828" s="9" t="s">
        <v>2463</v>
      </c>
      <c r="F828" s="10" t="s">
        <v>3047</v>
      </c>
      <c r="G828" s="10" t="s">
        <v>3047</v>
      </c>
      <c r="H828" s="10" t="s">
        <v>2899</v>
      </c>
      <c r="I828" s="11" t="s">
        <v>3048</v>
      </c>
      <c r="J828" s="11" t="s">
        <v>3049</v>
      </c>
      <c r="K828" s="12" t="s">
        <v>17</v>
      </c>
      <c r="L828" s="10" t="s">
        <v>2892</v>
      </c>
      <c r="M828" s="2" t="s">
        <v>15</v>
      </c>
      <c r="N828" s="2" t="s">
        <v>17</v>
      </c>
      <c r="O828" s="2" t="s">
        <v>17</v>
      </c>
      <c r="P828" s="2" t="s">
        <v>17</v>
      </c>
      <c r="S828" s="13"/>
    </row>
    <row r="829" spans="1:19" x14ac:dyDescent="0.2">
      <c r="A829" s="2">
        <v>826</v>
      </c>
      <c r="B829" s="8">
        <v>350808044</v>
      </c>
      <c r="C829" s="8" t="s">
        <v>3050</v>
      </c>
      <c r="D829" s="8" t="s">
        <v>17</v>
      </c>
      <c r="E829" s="9" t="s">
        <v>2463</v>
      </c>
      <c r="F829" s="10" t="s">
        <v>3051</v>
      </c>
      <c r="G829" s="10" t="s">
        <v>467</v>
      </c>
      <c r="H829" s="10" t="s">
        <v>2899</v>
      </c>
      <c r="I829" s="11" t="s">
        <v>3052</v>
      </c>
      <c r="J829" s="11" t="s">
        <v>3053</v>
      </c>
      <c r="K829" s="12" t="s">
        <v>17</v>
      </c>
      <c r="L829" s="10" t="s">
        <v>2892</v>
      </c>
      <c r="M829" s="2" t="s">
        <v>15</v>
      </c>
      <c r="N829" s="2" t="s">
        <v>17</v>
      </c>
      <c r="O829" s="2" t="s">
        <v>17</v>
      </c>
      <c r="P829" s="2" t="s">
        <v>17</v>
      </c>
      <c r="S829" s="13"/>
    </row>
    <row r="830" spans="1:19" x14ac:dyDescent="0.2">
      <c r="A830" s="2">
        <v>827</v>
      </c>
      <c r="B830" s="8">
        <v>350808045</v>
      </c>
      <c r="C830" s="8" t="s">
        <v>3054</v>
      </c>
      <c r="D830" s="8" t="s">
        <v>17</v>
      </c>
      <c r="E830" s="9" t="s">
        <v>2463</v>
      </c>
      <c r="F830" s="10" t="s">
        <v>3055</v>
      </c>
      <c r="G830" s="10" t="s">
        <v>2973</v>
      </c>
      <c r="H830" s="10" t="s">
        <v>2899</v>
      </c>
      <c r="I830" s="11" t="s">
        <v>3056</v>
      </c>
      <c r="J830" s="11" t="s">
        <v>3057</v>
      </c>
      <c r="K830" s="12" t="s">
        <v>17</v>
      </c>
      <c r="L830" s="10" t="s">
        <v>2892</v>
      </c>
      <c r="M830" s="2" t="s">
        <v>15</v>
      </c>
      <c r="N830" s="2" t="s">
        <v>17</v>
      </c>
      <c r="O830" s="2" t="s">
        <v>17</v>
      </c>
      <c r="P830" s="2" t="s">
        <v>17</v>
      </c>
      <c r="S830" s="13"/>
    </row>
    <row r="831" spans="1:19" x14ac:dyDescent="0.2">
      <c r="A831" s="2">
        <v>828</v>
      </c>
      <c r="B831" s="8">
        <v>350808046</v>
      </c>
      <c r="C831" s="8" t="s">
        <v>2926</v>
      </c>
      <c r="D831" s="8" t="s">
        <v>17</v>
      </c>
      <c r="E831" s="9" t="s">
        <v>2463</v>
      </c>
      <c r="F831" s="10" t="s">
        <v>2926</v>
      </c>
      <c r="G831" s="10" t="s">
        <v>2927</v>
      </c>
      <c r="H831" s="10" t="s">
        <v>2899</v>
      </c>
      <c r="I831" s="11" t="s">
        <v>3058</v>
      </c>
      <c r="J831" s="11" t="s">
        <v>3059</v>
      </c>
      <c r="K831" s="12" t="s">
        <v>17</v>
      </c>
      <c r="L831" s="10" t="s">
        <v>2892</v>
      </c>
      <c r="M831" s="2" t="s">
        <v>15</v>
      </c>
      <c r="N831" s="2" t="s">
        <v>17</v>
      </c>
      <c r="O831" s="2" t="s">
        <v>17</v>
      </c>
      <c r="P831" s="2" t="s">
        <v>17</v>
      </c>
      <c r="S831" s="13"/>
    </row>
    <row r="832" spans="1:19" x14ac:dyDescent="0.2">
      <c r="A832" s="2">
        <v>829</v>
      </c>
      <c r="B832" s="8">
        <v>350808047</v>
      </c>
      <c r="C832" s="8" t="s">
        <v>3060</v>
      </c>
      <c r="D832" s="8" t="s">
        <v>17</v>
      </c>
      <c r="E832" s="9" t="s">
        <v>2463</v>
      </c>
      <c r="F832" s="10" t="s">
        <v>3060</v>
      </c>
      <c r="G832" s="10" t="s">
        <v>3060</v>
      </c>
      <c r="H832" s="10" t="s">
        <v>2899</v>
      </c>
      <c r="I832" s="11" t="s">
        <v>3061</v>
      </c>
      <c r="J832" s="11" t="s">
        <v>3062</v>
      </c>
      <c r="K832" s="12" t="s">
        <v>17</v>
      </c>
      <c r="L832" s="10" t="s">
        <v>2892</v>
      </c>
      <c r="M832" s="2" t="s">
        <v>15</v>
      </c>
      <c r="N832" s="2" t="s">
        <v>17</v>
      </c>
      <c r="O832" s="2" t="s">
        <v>17</v>
      </c>
      <c r="P832" s="2" t="s">
        <v>17</v>
      </c>
      <c r="S832" s="13"/>
    </row>
    <row r="833" spans="1:19" x14ac:dyDescent="0.2">
      <c r="A833" s="2">
        <v>830</v>
      </c>
      <c r="B833" s="8">
        <v>350808048</v>
      </c>
      <c r="C833" s="8" t="s">
        <v>3063</v>
      </c>
      <c r="D833" s="8" t="s">
        <v>17</v>
      </c>
      <c r="E833" s="9" t="s">
        <v>2463</v>
      </c>
      <c r="F833" s="10" t="s">
        <v>2947</v>
      </c>
      <c r="G833" s="10" t="s">
        <v>2936</v>
      </c>
      <c r="H833" s="10" t="s">
        <v>2899</v>
      </c>
      <c r="I833" s="11" t="s">
        <v>3064</v>
      </c>
      <c r="J833" s="11" t="s">
        <v>3065</v>
      </c>
      <c r="K833" s="12" t="s">
        <v>17</v>
      </c>
      <c r="L833" s="10" t="s">
        <v>2892</v>
      </c>
      <c r="M833" s="2" t="s">
        <v>15</v>
      </c>
      <c r="N833" s="2" t="s">
        <v>17</v>
      </c>
      <c r="O833" s="2" t="s">
        <v>17</v>
      </c>
      <c r="P833" s="2" t="s">
        <v>17</v>
      </c>
      <c r="S833" s="13"/>
    </row>
    <row r="834" spans="1:19" x14ac:dyDescent="0.2">
      <c r="A834" s="2">
        <v>831</v>
      </c>
      <c r="B834" s="8">
        <v>350808049</v>
      </c>
      <c r="C834" s="8" t="s">
        <v>3066</v>
      </c>
      <c r="D834" s="8" t="s">
        <v>17</v>
      </c>
      <c r="E834" s="9" t="s">
        <v>2463</v>
      </c>
      <c r="F834" s="10" t="s">
        <v>3066</v>
      </c>
      <c r="G834" s="10" t="s">
        <v>2907</v>
      </c>
      <c r="H834" s="10" t="s">
        <v>2899</v>
      </c>
      <c r="I834" s="11" t="s">
        <v>3067</v>
      </c>
      <c r="J834" s="11" t="s">
        <v>3068</v>
      </c>
      <c r="K834" s="12" t="s">
        <v>17</v>
      </c>
      <c r="L834" s="10" t="s">
        <v>2892</v>
      </c>
      <c r="M834" s="2" t="s">
        <v>15</v>
      </c>
      <c r="N834" s="2" t="s">
        <v>17</v>
      </c>
      <c r="O834" s="2" t="s">
        <v>17</v>
      </c>
      <c r="P834" s="2" t="s">
        <v>17</v>
      </c>
      <c r="S834" s="13"/>
    </row>
    <row r="835" spans="1:19" x14ac:dyDescent="0.2">
      <c r="A835" s="2">
        <v>832</v>
      </c>
      <c r="B835" s="8">
        <v>350808050</v>
      </c>
      <c r="C835" s="8" t="s">
        <v>3069</v>
      </c>
      <c r="D835" s="8" t="s">
        <v>17</v>
      </c>
      <c r="E835" s="9" t="s">
        <v>2463</v>
      </c>
      <c r="F835" s="10" t="s">
        <v>3070</v>
      </c>
      <c r="G835" s="10" t="s">
        <v>3070</v>
      </c>
      <c r="H835" s="10" t="s">
        <v>2899</v>
      </c>
      <c r="I835" s="11" t="s">
        <v>3071</v>
      </c>
      <c r="J835" s="11" t="s">
        <v>3072</v>
      </c>
      <c r="K835" s="12" t="s">
        <v>17</v>
      </c>
      <c r="L835" s="10" t="s">
        <v>2892</v>
      </c>
      <c r="M835" s="2" t="s">
        <v>15</v>
      </c>
      <c r="N835" s="2" t="s">
        <v>17</v>
      </c>
      <c r="O835" s="2" t="s">
        <v>17</v>
      </c>
      <c r="P835" s="2" t="s">
        <v>17</v>
      </c>
      <c r="S835" s="13"/>
    </row>
    <row r="836" spans="1:19" x14ac:dyDescent="0.2">
      <c r="A836" s="2">
        <v>833</v>
      </c>
      <c r="B836" s="8">
        <v>350808051</v>
      </c>
      <c r="C836" s="8" t="s">
        <v>3073</v>
      </c>
      <c r="D836" s="8" t="s">
        <v>17</v>
      </c>
      <c r="E836" s="9" t="s">
        <v>2463</v>
      </c>
      <c r="F836" s="10" t="s">
        <v>2896</v>
      </c>
      <c r="G836" s="10" t="s">
        <v>2954</v>
      </c>
      <c r="H836" s="10" t="s">
        <v>2899</v>
      </c>
      <c r="I836" s="11" t="s">
        <v>3074</v>
      </c>
      <c r="J836" s="11" t="s">
        <v>3075</v>
      </c>
      <c r="K836" s="12" t="s">
        <v>17</v>
      </c>
      <c r="L836" s="10" t="s">
        <v>2892</v>
      </c>
      <c r="M836" s="2" t="s">
        <v>15</v>
      </c>
      <c r="N836" s="2" t="s">
        <v>17</v>
      </c>
      <c r="O836" s="2" t="s">
        <v>17</v>
      </c>
      <c r="P836" s="2" t="s">
        <v>17</v>
      </c>
      <c r="S836" s="13"/>
    </row>
    <row r="837" spans="1:19" x14ac:dyDescent="0.2">
      <c r="A837" s="2">
        <v>834</v>
      </c>
      <c r="B837" s="8">
        <v>350808052</v>
      </c>
      <c r="C837" s="8" t="s">
        <v>3076</v>
      </c>
      <c r="D837" s="8" t="s">
        <v>17</v>
      </c>
      <c r="E837" s="9" t="s">
        <v>2463</v>
      </c>
      <c r="F837" s="10" t="s">
        <v>3077</v>
      </c>
      <c r="G837" s="10" t="s">
        <v>3060</v>
      </c>
      <c r="H837" s="10" t="s">
        <v>2899</v>
      </c>
      <c r="I837" s="11" t="s">
        <v>3078</v>
      </c>
      <c r="J837" s="11" t="s">
        <v>3079</v>
      </c>
      <c r="K837" s="12" t="s">
        <v>17</v>
      </c>
      <c r="L837" s="10" t="s">
        <v>2892</v>
      </c>
      <c r="M837" s="2" t="s">
        <v>15</v>
      </c>
      <c r="N837" s="2" t="s">
        <v>17</v>
      </c>
      <c r="O837" s="2" t="s">
        <v>17</v>
      </c>
      <c r="P837" s="2" t="s">
        <v>17</v>
      </c>
      <c r="S837" s="13"/>
    </row>
    <row r="838" spans="1:19" x14ac:dyDescent="0.2">
      <c r="A838" s="2">
        <v>835</v>
      </c>
      <c r="B838" s="8">
        <v>350808053</v>
      </c>
      <c r="C838" s="8" t="s">
        <v>3080</v>
      </c>
      <c r="D838" s="8" t="s">
        <v>17</v>
      </c>
      <c r="E838" s="9" t="s">
        <v>2463</v>
      </c>
      <c r="F838" s="10" t="s">
        <v>3081</v>
      </c>
      <c r="G838" s="10" t="s">
        <v>2995</v>
      </c>
      <c r="H838" s="10" t="s">
        <v>2899</v>
      </c>
      <c r="I838" s="11" t="s">
        <v>3082</v>
      </c>
      <c r="J838" s="11" t="s">
        <v>3083</v>
      </c>
      <c r="K838" s="12" t="s">
        <v>17</v>
      </c>
      <c r="L838" s="10" t="s">
        <v>2892</v>
      </c>
      <c r="M838" s="2" t="s">
        <v>15</v>
      </c>
      <c r="N838" s="2" t="s">
        <v>17</v>
      </c>
      <c r="O838" s="2" t="s">
        <v>17</v>
      </c>
      <c r="P838" s="2" t="s">
        <v>17</v>
      </c>
      <c r="S838" s="13"/>
    </row>
    <row r="839" spans="1:19" x14ac:dyDescent="0.2">
      <c r="A839" s="2">
        <v>836</v>
      </c>
      <c r="B839" s="8">
        <v>350809001</v>
      </c>
      <c r="C839" s="8" t="s">
        <v>3084</v>
      </c>
      <c r="D839" s="8" t="s">
        <v>17</v>
      </c>
      <c r="E839" s="9" t="s">
        <v>2463</v>
      </c>
      <c r="F839" s="10" t="s">
        <v>3084</v>
      </c>
      <c r="G839" s="10" t="s">
        <v>3085</v>
      </c>
      <c r="H839" s="10" t="s">
        <v>3086</v>
      </c>
      <c r="I839" s="11" t="s">
        <v>3087</v>
      </c>
      <c r="J839" s="11" t="s">
        <v>3088</v>
      </c>
      <c r="K839" s="12" t="s">
        <v>17</v>
      </c>
      <c r="L839" s="10" t="s">
        <v>2892</v>
      </c>
      <c r="M839" s="2" t="s">
        <v>15</v>
      </c>
      <c r="N839" s="2" t="s">
        <v>17</v>
      </c>
      <c r="O839" s="2" t="s">
        <v>17</v>
      </c>
      <c r="P839" s="2" t="s">
        <v>17</v>
      </c>
      <c r="S839" s="13"/>
    </row>
    <row r="840" spans="1:19" x14ac:dyDescent="0.2">
      <c r="A840" s="2">
        <v>837</v>
      </c>
      <c r="B840" s="8">
        <v>350809002</v>
      </c>
      <c r="C840" s="8" t="s">
        <v>3089</v>
      </c>
      <c r="D840" s="8" t="s">
        <v>17</v>
      </c>
      <c r="E840" s="9" t="s">
        <v>2463</v>
      </c>
      <c r="F840" s="10" t="s">
        <v>3089</v>
      </c>
      <c r="G840" s="10" t="s">
        <v>3090</v>
      </c>
      <c r="H840" s="10" t="s">
        <v>3086</v>
      </c>
      <c r="I840" s="11" t="s">
        <v>3091</v>
      </c>
      <c r="J840" s="11" t="s">
        <v>3092</v>
      </c>
      <c r="K840" s="12" t="s">
        <v>17</v>
      </c>
      <c r="L840" s="10" t="s">
        <v>2892</v>
      </c>
      <c r="M840" s="2" t="s">
        <v>15</v>
      </c>
      <c r="N840" s="2" t="s">
        <v>17</v>
      </c>
      <c r="O840" s="2" t="s">
        <v>17</v>
      </c>
      <c r="P840" s="2" t="s">
        <v>17</v>
      </c>
      <c r="S840" s="13"/>
    </row>
    <row r="841" spans="1:19" x14ac:dyDescent="0.2">
      <c r="A841" s="2">
        <v>838</v>
      </c>
      <c r="B841" s="8">
        <v>350809003</v>
      </c>
      <c r="C841" s="8" t="s">
        <v>3093</v>
      </c>
      <c r="D841" s="8" t="s">
        <v>17</v>
      </c>
      <c r="E841" s="9" t="s">
        <v>2463</v>
      </c>
      <c r="F841" s="10" t="s">
        <v>1061</v>
      </c>
      <c r="G841" s="10" t="s">
        <v>3094</v>
      </c>
      <c r="H841" s="10" t="s">
        <v>3086</v>
      </c>
      <c r="I841" s="11" t="s">
        <v>3095</v>
      </c>
      <c r="J841" s="11" t="s">
        <v>3096</v>
      </c>
      <c r="K841" s="12" t="s">
        <v>17</v>
      </c>
      <c r="L841" s="10" t="s">
        <v>2892</v>
      </c>
      <c r="M841" s="2" t="s">
        <v>15</v>
      </c>
      <c r="N841" s="2" t="s">
        <v>17</v>
      </c>
      <c r="O841" s="2" t="s">
        <v>17</v>
      </c>
      <c r="P841" s="2" t="s">
        <v>17</v>
      </c>
      <c r="S841" s="13"/>
    </row>
    <row r="842" spans="1:19" x14ac:dyDescent="0.2">
      <c r="A842" s="2">
        <v>839</v>
      </c>
      <c r="B842" s="8">
        <v>350809004</v>
      </c>
      <c r="C842" s="8" t="s">
        <v>3097</v>
      </c>
      <c r="D842" s="8" t="s">
        <v>17</v>
      </c>
      <c r="E842" s="9" t="s">
        <v>2463</v>
      </c>
      <c r="F842" s="10" t="s">
        <v>3097</v>
      </c>
      <c r="G842" s="10" t="s">
        <v>3098</v>
      </c>
      <c r="H842" s="10" t="s">
        <v>3086</v>
      </c>
      <c r="I842" s="11" t="s">
        <v>3099</v>
      </c>
      <c r="J842" s="11" t="s">
        <v>3100</v>
      </c>
      <c r="K842" s="12" t="s">
        <v>17</v>
      </c>
      <c r="L842" s="10" t="s">
        <v>2892</v>
      </c>
      <c r="M842" s="2" t="s">
        <v>15</v>
      </c>
      <c r="N842" s="2" t="s">
        <v>17</v>
      </c>
      <c r="O842" s="2" t="s">
        <v>17</v>
      </c>
      <c r="P842" s="2" t="s">
        <v>17</v>
      </c>
      <c r="S842" s="13"/>
    </row>
    <row r="843" spans="1:19" x14ac:dyDescent="0.2">
      <c r="A843" s="2">
        <v>840</v>
      </c>
      <c r="B843" s="8">
        <v>350809005</v>
      </c>
      <c r="C843" s="8" t="s">
        <v>3101</v>
      </c>
      <c r="D843" s="8" t="s">
        <v>17</v>
      </c>
      <c r="E843" s="9" t="s">
        <v>2463</v>
      </c>
      <c r="F843" s="10" t="s">
        <v>3101</v>
      </c>
      <c r="G843" s="10" t="s">
        <v>3094</v>
      </c>
      <c r="H843" s="10" t="s">
        <v>3086</v>
      </c>
      <c r="I843" s="11" t="s">
        <v>3102</v>
      </c>
      <c r="J843" s="11" t="s">
        <v>3103</v>
      </c>
      <c r="K843" s="12" t="s">
        <v>17</v>
      </c>
      <c r="L843" s="10" t="s">
        <v>2892</v>
      </c>
      <c r="M843" s="2" t="s">
        <v>15</v>
      </c>
      <c r="N843" s="2" t="s">
        <v>17</v>
      </c>
      <c r="O843" s="2" t="s">
        <v>17</v>
      </c>
      <c r="P843" s="2" t="s">
        <v>17</v>
      </c>
      <c r="S843" s="13"/>
    </row>
    <row r="844" spans="1:19" x14ac:dyDescent="0.2">
      <c r="A844" s="2">
        <v>841</v>
      </c>
      <c r="B844" s="8">
        <v>350809006</v>
      </c>
      <c r="C844" s="8" t="s">
        <v>3104</v>
      </c>
      <c r="D844" s="8" t="s">
        <v>17</v>
      </c>
      <c r="E844" s="9" t="s">
        <v>2463</v>
      </c>
      <c r="F844" s="10" t="s">
        <v>3105</v>
      </c>
      <c r="G844" s="10" t="s">
        <v>3104</v>
      </c>
      <c r="H844" s="10" t="s">
        <v>3086</v>
      </c>
      <c r="I844" s="11" t="s">
        <v>3106</v>
      </c>
      <c r="J844" s="11" t="s">
        <v>3107</v>
      </c>
      <c r="K844" s="12" t="s">
        <v>17</v>
      </c>
      <c r="L844" s="10" t="s">
        <v>2892</v>
      </c>
      <c r="M844" s="2" t="s">
        <v>15</v>
      </c>
      <c r="N844" s="2" t="s">
        <v>17</v>
      </c>
      <c r="O844" s="2" t="s">
        <v>17</v>
      </c>
      <c r="P844" s="2" t="s">
        <v>17</v>
      </c>
      <c r="S844" s="13"/>
    </row>
    <row r="845" spans="1:19" x14ac:dyDescent="0.2">
      <c r="A845" s="2">
        <v>842</v>
      </c>
      <c r="B845" s="8">
        <v>350809007</v>
      </c>
      <c r="C845" s="8" t="s">
        <v>3108</v>
      </c>
      <c r="D845" s="8" t="s">
        <v>17</v>
      </c>
      <c r="E845" s="9" t="s">
        <v>2463</v>
      </c>
      <c r="F845" s="10" t="s">
        <v>3108</v>
      </c>
      <c r="G845" s="10" t="s">
        <v>3109</v>
      </c>
      <c r="H845" s="10" t="s">
        <v>3086</v>
      </c>
      <c r="I845" s="11" t="s">
        <v>3110</v>
      </c>
      <c r="J845" s="11" t="s">
        <v>3111</v>
      </c>
      <c r="K845" s="12" t="s">
        <v>17</v>
      </c>
      <c r="L845" s="10" t="s">
        <v>2892</v>
      </c>
      <c r="M845" s="2" t="s">
        <v>15</v>
      </c>
      <c r="N845" s="2" t="s">
        <v>17</v>
      </c>
      <c r="O845" s="2" t="s">
        <v>17</v>
      </c>
      <c r="P845" s="2" t="s">
        <v>17</v>
      </c>
      <c r="S845" s="13"/>
    </row>
    <row r="846" spans="1:19" x14ac:dyDescent="0.2">
      <c r="A846" s="2">
        <v>843</v>
      </c>
      <c r="B846" s="8">
        <v>350809008</v>
      </c>
      <c r="C846" s="8" t="s">
        <v>3112</v>
      </c>
      <c r="D846" s="8" t="s">
        <v>17</v>
      </c>
      <c r="E846" s="9" t="s">
        <v>2463</v>
      </c>
      <c r="F846" s="10" t="s">
        <v>3112</v>
      </c>
      <c r="G846" s="10" t="s">
        <v>3113</v>
      </c>
      <c r="H846" s="10" t="s">
        <v>3086</v>
      </c>
      <c r="I846" s="11" t="s">
        <v>3114</v>
      </c>
      <c r="J846" s="11" t="s">
        <v>3115</v>
      </c>
      <c r="K846" s="12" t="s">
        <v>17</v>
      </c>
      <c r="L846" s="10" t="s">
        <v>2892</v>
      </c>
      <c r="M846" s="2" t="s">
        <v>15</v>
      </c>
      <c r="N846" s="2" t="s">
        <v>17</v>
      </c>
      <c r="O846" s="2" t="s">
        <v>17</v>
      </c>
      <c r="P846" s="2" t="s">
        <v>17</v>
      </c>
      <c r="S846" s="13"/>
    </row>
    <row r="847" spans="1:19" x14ac:dyDescent="0.2">
      <c r="A847" s="2">
        <v>844</v>
      </c>
      <c r="B847" s="8">
        <v>350809009</v>
      </c>
      <c r="C847" s="8" t="s">
        <v>3116</v>
      </c>
      <c r="D847" s="8" t="s">
        <v>17</v>
      </c>
      <c r="E847" s="9" t="s">
        <v>2463</v>
      </c>
      <c r="F847" s="10" t="s">
        <v>2721</v>
      </c>
      <c r="G847" s="10" t="s">
        <v>2721</v>
      </c>
      <c r="H847" s="10" t="s">
        <v>3086</v>
      </c>
      <c r="I847" s="11" t="s">
        <v>3117</v>
      </c>
      <c r="J847" s="11" t="s">
        <v>3118</v>
      </c>
      <c r="K847" s="12" t="s">
        <v>17</v>
      </c>
      <c r="L847" s="10" t="s">
        <v>2892</v>
      </c>
      <c r="M847" s="2" t="s">
        <v>15</v>
      </c>
      <c r="N847" s="2" t="s">
        <v>17</v>
      </c>
      <c r="O847" s="2" t="s">
        <v>17</v>
      </c>
      <c r="P847" s="2" t="s">
        <v>17</v>
      </c>
      <c r="S847" s="13"/>
    </row>
    <row r="848" spans="1:19" x14ac:dyDescent="0.2">
      <c r="A848" s="2">
        <v>845</v>
      </c>
      <c r="B848" s="8">
        <v>350809010</v>
      </c>
      <c r="C848" s="8" t="s">
        <v>3119</v>
      </c>
      <c r="D848" s="8" t="s">
        <v>17</v>
      </c>
      <c r="E848" s="9" t="s">
        <v>2463</v>
      </c>
      <c r="F848" s="10" t="s">
        <v>3120</v>
      </c>
      <c r="G848" s="10" t="s">
        <v>3121</v>
      </c>
      <c r="H848" s="10" t="s">
        <v>3086</v>
      </c>
      <c r="I848" s="11" t="s">
        <v>3122</v>
      </c>
      <c r="J848" s="11" t="s">
        <v>3123</v>
      </c>
      <c r="K848" s="12" t="s">
        <v>17</v>
      </c>
      <c r="L848" s="10" t="s">
        <v>2892</v>
      </c>
      <c r="M848" s="2" t="s">
        <v>15</v>
      </c>
      <c r="N848" s="2" t="s">
        <v>17</v>
      </c>
      <c r="O848" s="2" t="s">
        <v>17</v>
      </c>
      <c r="P848" s="2" t="s">
        <v>17</v>
      </c>
      <c r="S848" s="13" t="e">
        <f t="shared" si="0"/>
        <v>#VALUE!</v>
      </c>
    </row>
    <row r="849" spans="1:19" x14ac:dyDescent="0.2">
      <c r="A849" s="2">
        <v>846</v>
      </c>
      <c r="B849" s="8">
        <v>350809011</v>
      </c>
      <c r="C849" s="8" t="s">
        <v>3124</v>
      </c>
      <c r="D849" s="8" t="s">
        <v>17</v>
      </c>
      <c r="E849" s="9" t="s">
        <v>2463</v>
      </c>
      <c r="F849" s="10" t="s">
        <v>3125</v>
      </c>
      <c r="G849" s="10" t="s">
        <v>3121</v>
      </c>
      <c r="H849" s="10" t="s">
        <v>3086</v>
      </c>
      <c r="I849" s="11" t="s">
        <v>3126</v>
      </c>
      <c r="J849" s="11" t="s">
        <v>3127</v>
      </c>
      <c r="K849" s="12" t="s">
        <v>17</v>
      </c>
      <c r="L849" s="10" t="s">
        <v>2892</v>
      </c>
      <c r="M849" s="10" t="s">
        <v>15</v>
      </c>
      <c r="N849" s="2" t="s">
        <v>17</v>
      </c>
      <c r="O849" s="2" t="s">
        <v>17</v>
      </c>
      <c r="P849" s="2" t="s">
        <v>17</v>
      </c>
      <c r="S849" s="13" t="e">
        <f t="shared" si="0"/>
        <v>#VALUE!</v>
      </c>
    </row>
    <row r="850" spans="1:19" x14ac:dyDescent="0.2">
      <c r="A850" s="2">
        <v>847</v>
      </c>
      <c r="B850" s="8">
        <v>350809012</v>
      </c>
      <c r="C850" s="8" t="s">
        <v>3128</v>
      </c>
      <c r="D850" s="8" t="s">
        <v>17</v>
      </c>
      <c r="E850" s="9" t="s">
        <v>2463</v>
      </c>
      <c r="F850" s="10" t="s">
        <v>3129</v>
      </c>
      <c r="G850" s="10" t="s">
        <v>3113</v>
      </c>
      <c r="H850" s="10" t="s">
        <v>3086</v>
      </c>
      <c r="I850" s="11" t="s">
        <v>3130</v>
      </c>
      <c r="J850" s="11" t="s">
        <v>3131</v>
      </c>
      <c r="K850" s="12" t="s">
        <v>17</v>
      </c>
      <c r="L850" s="10" t="s">
        <v>2892</v>
      </c>
      <c r="M850" s="10" t="s">
        <v>15</v>
      </c>
      <c r="N850" s="2" t="s">
        <v>17</v>
      </c>
      <c r="O850" s="2" t="s">
        <v>17</v>
      </c>
      <c r="P850" s="2" t="s">
        <v>17</v>
      </c>
      <c r="S850" s="13" t="e">
        <f t="shared" si="0"/>
        <v>#VALUE!</v>
      </c>
    </row>
    <row r="851" spans="1:19" x14ac:dyDescent="0.2">
      <c r="A851" s="2">
        <v>848</v>
      </c>
      <c r="B851" s="8">
        <v>350809013</v>
      </c>
      <c r="C851" s="8" t="s">
        <v>3132</v>
      </c>
      <c r="D851" s="8" t="s">
        <v>17</v>
      </c>
      <c r="E851" s="9" t="s">
        <v>2463</v>
      </c>
      <c r="F851" s="10" t="s">
        <v>3133</v>
      </c>
      <c r="G851" s="10" t="s">
        <v>3133</v>
      </c>
      <c r="H851" s="10" t="s">
        <v>3086</v>
      </c>
      <c r="I851" s="11" t="s">
        <v>3134</v>
      </c>
      <c r="J851" s="11" t="s">
        <v>3135</v>
      </c>
      <c r="K851" s="12" t="s">
        <v>17</v>
      </c>
      <c r="L851" s="10" t="s">
        <v>2892</v>
      </c>
      <c r="M851" s="10" t="s">
        <v>15</v>
      </c>
      <c r="N851" s="2" t="s">
        <v>17</v>
      </c>
      <c r="O851" s="2" t="s">
        <v>17</v>
      </c>
      <c r="P851" s="2" t="s">
        <v>17</v>
      </c>
      <c r="S851" s="13" t="e">
        <f t="shared" si="0"/>
        <v>#VALUE!</v>
      </c>
    </row>
    <row r="852" spans="1:19" x14ac:dyDescent="0.2">
      <c r="A852" s="2">
        <v>849</v>
      </c>
      <c r="B852" s="8">
        <v>350809014</v>
      </c>
      <c r="C852" s="8" t="s">
        <v>3136</v>
      </c>
      <c r="D852" s="8" t="s">
        <v>17</v>
      </c>
      <c r="E852" s="9" t="s">
        <v>2463</v>
      </c>
      <c r="F852" s="10" t="s">
        <v>3120</v>
      </c>
      <c r="G852" s="10" t="s">
        <v>3121</v>
      </c>
      <c r="H852" s="10" t="s">
        <v>3086</v>
      </c>
      <c r="I852" s="11" t="s">
        <v>3137</v>
      </c>
      <c r="J852" s="11" t="s">
        <v>3138</v>
      </c>
      <c r="K852" s="12" t="s">
        <v>17</v>
      </c>
      <c r="L852" s="10" t="s">
        <v>2892</v>
      </c>
      <c r="M852" s="10" t="s">
        <v>15</v>
      </c>
      <c r="N852" s="2" t="s">
        <v>17</v>
      </c>
      <c r="O852" s="2" t="s">
        <v>17</v>
      </c>
      <c r="P852" s="2" t="s">
        <v>17</v>
      </c>
      <c r="S852" s="13" t="e">
        <f t="shared" si="0"/>
        <v>#VALUE!</v>
      </c>
    </row>
    <row r="853" spans="1:19" x14ac:dyDescent="0.2">
      <c r="A853" s="2">
        <v>850</v>
      </c>
      <c r="B853" s="8">
        <v>350809015</v>
      </c>
      <c r="C853" s="8" t="s">
        <v>3139</v>
      </c>
      <c r="D853" s="8" t="s">
        <v>17</v>
      </c>
      <c r="E853" s="9" t="s">
        <v>2463</v>
      </c>
      <c r="F853" s="10" t="s">
        <v>3140</v>
      </c>
      <c r="G853" s="10" t="s">
        <v>3113</v>
      </c>
      <c r="H853" s="10" t="s">
        <v>3086</v>
      </c>
      <c r="I853" s="11" t="s">
        <v>3141</v>
      </c>
      <c r="J853" s="11" t="s">
        <v>3142</v>
      </c>
      <c r="K853" s="12" t="s">
        <v>17</v>
      </c>
      <c r="L853" s="10" t="s">
        <v>2892</v>
      </c>
      <c r="M853" s="10" t="s">
        <v>15</v>
      </c>
      <c r="N853" s="2" t="s">
        <v>17</v>
      </c>
      <c r="O853" s="2" t="s">
        <v>17</v>
      </c>
      <c r="P853" s="2" t="s">
        <v>17</v>
      </c>
      <c r="S853" s="13" t="e">
        <f t="shared" si="0"/>
        <v>#VALUE!</v>
      </c>
    </row>
    <row r="854" spans="1:19" x14ac:dyDescent="0.2">
      <c r="A854" s="2">
        <v>851</v>
      </c>
      <c r="B854" s="8">
        <v>350809016</v>
      </c>
      <c r="C854" s="8" t="s">
        <v>3143</v>
      </c>
      <c r="D854" s="8" t="s">
        <v>17</v>
      </c>
      <c r="E854" s="9" t="s">
        <v>2463</v>
      </c>
      <c r="F854" s="10" t="s">
        <v>3144</v>
      </c>
      <c r="G854" s="10" t="s">
        <v>3145</v>
      </c>
      <c r="H854" s="10" t="s">
        <v>3086</v>
      </c>
      <c r="I854" s="11" t="s">
        <v>3146</v>
      </c>
      <c r="J854" s="11" t="s">
        <v>3147</v>
      </c>
      <c r="K854" s="12" t="s">
        <v>17</v>
      </c>
      <c r="L854" s="10" t="s">
        <v>2892</v>
      </c>
      <c r="M854" s="10" t="s">
        <v>15</v>
      </c>
      <c r="N854" s="2" t="s">
        <v>17</v>
      </c>
      <c r="O854" s="2" t="s">
        <v>17</v>
      </c>
      <c r="P854" s="2" t="s">
        <v>17</v>
      </c>
      <c r="S854" s="13" t="e">
        <f t="shared" si="0"/>
        <v>#VALUE!</v>
      </c>
    </row>
    <row r="855" spans="1:19" x14ac:dyDescent="0.2">
      <c r="A855" s="2">
        <v>852</v>
      </c>
      <c r="B855" s="8">
        <v>350809017</v>
      </c>
      <c r="C855" s="8" t="s">
        <v>3148</v>
      </c>
      <c r="D855" s="8" t="s">
        <v>17</v>
      </c>
      <c r="E855" s="10" t="s">
        <v>2463</v>
      </c>
      <c r="F855" s="10" t="s">
        <v>3149</v>
      </c>
      <c r="G855" s="10" t="s">
        <v>3098</v>
      </c>
      <c r="H855" s="10" t="s">
        <v>3086</v>
      </c>
      <c r="I855" s="11" t="s">
        <v>3150</v>
      </c>
      <c r="J855" s="11" t="s">
        <v>3151</v>
      </c>
      <c r="K855" s="12" t="s">
        <v>17</v>
      </c>
      <c r="L855" s="10" t="s">
        <v>2892</v>
      </c>
      <c r="M855" s="10" t="s">
        <v>15</v>
      </c>
      <c r="N855" s="2" t="s">
        <v>17</v>
      </c>
      <c r="O855" s="2" t="s">
        <v>17</v>
      </c>
      <c r="P855" s="2" t="s">
        <v>17</v>
      </c>
      <c r="S855" s="13" t="e">
        <f t="shared" si="0"/>
        <v>#VALUE!</v>
      </c>
    </row>
    <row r="856" spans="1:19" x14ac:dyDescent="0.2">
      <c r="A856" s="2">
        <v>853</v>
      </c>
      <c r="B856" s="8">
        <v>350809018</v>
      </c>
      <c r="C856" s="8" t="s">
        <v>3152</v>
      </c>
      <c r="D856" s="8" t="s">
        <v>17</v>
      </c>
      <c r="E856" s="10" t="s">
        <v>2463</v>
      </c>
      <c r="F856" s="10" t="s">
        <v>3153</v>
      </c>
      <c r="G856" s="10" t="s">
        <v>3153</v>
      </c>
      <c r="H856" s="10" t="s">
        <v>3086</v>
      </c>
      <c r="I856" s="11" t="s">
        <v>3154</v>
      </c>
      <c r="J856" s="11" t="s">
        <v>3155</v>
      </c>
      <c r="K856" s="12" t="s">
        <v>17</v>
      </c>
      <c r="L856" s="10" t="s">
        <v>2892</v>
      </c>
      <c r="M856" s="10" t="s">
        <v>15</v>
      </c>
      <c r="N856" s="2" t="s">
        <v>17</v>
      </c>
      <c r="O856" s="2" t="s">
        <v>17</v>
      </c>
      <c r="P856" s="2" t="s">
        <v>17</v>
      </c>
      <c r="S856" s="13" t="e">
        <f t="shared" si="0"/>
        <v>#VALUE!</v>
      </c>
    </row>
    <row r="857" spans="1:19" x14ac:dyDescent="0.2">
      <c r="A857" s="2">
        <v>854</v>
      </c>
      <c r="B857" s="8">
        <v>350809019</v>
      </c>
      <c r="C857" s="8" t="s">
        <v>3156</v>
      </c>
      <c r="D857" s="8" t="s">
        <v>17</v>
      </c>
      <c r="E857" s="10" t="s">
        <v>2463</v>
      </c>
      <c r="F857" s="10" t="s">
        <v>3157</v>
      </c>
      <c r="G857" s="10" t="s">
        <v>3158</v>
      </c>
      <c r="H857" s="10" t="s">
        <v>3086</v>
      </c>
      <c r="I857" s="11" t="s">
        <v>3159</v>
      </c>
      <c r="J857" s="11" t="s">
        <v>3160</v>
      </c>
      <c r="K857" s="12" t="s">
        <v>17</v>
      </c>
      <c r="L857" s="10" t="s">
        <v>2892</v>
      </c>
      <c r="M857" s="10" t="s">
        <v>15</v>
      </c>
      <c r="N857" s="2" t="s">
        <v>17</v>
      </c>
      <c r="O857" s="2" t="s">
        <v>17</v>
      </c>
      <c r="P857" s="2" t="s">
        <v>17</v>
      </c>
      <c r="S857" s="13" t="e">
        <f t="shared" si="0"/>
        <v>#VALUE!</v>
      </c>
    </row>
    <row r="858" spans="1:19" x14ac:dyDescent="0.2">
      <c r="A858" s="2">
        <v>855</v>
      </c>
      <c r="B858" s="8">
        <v>350809020</v>
      </c>
      <c r="C858" s="8" t="s">
        <v>3161</v>
      </c>
      <c r="D858" s="8" t="s">
        <v>17</v>
      </c>
      <c r="E858" s="10" t="s">
        <v>2463</v>
      </c>
      <c r="F858" s="10" t="s">
        <v>3162</v>
      </c>
      <c r="G858" s="10" t="s">
        <v>3163</v>
      </c>
      <c r="H858" s="10" t="s">
        <v>3086</v>
      </c>
      <c r="I858" s="11" t="s">
        <v>3164</v>
      </c>
      <c r="J858" s="11" t="s">
        <v>3165</v>
      </c>
      <c r="K858" s="12" t="s">
        <v>17</v>
      </c>
      <c r="L858" s="10" t="s">
        <v>2892</v>
      </c>
      <c r="M858" s="10" t="s">
        <v>15</v>
      </c>
      <c r="N858" s="2" t="s">
        <v>17</v>
      </c>
      <c r="O858" s="2" t="s">
        <v>17</v>
      </c>
      <c r="P858" s="2" t="s">
        <v>17</v>
      </c>
      <c r="S858" s="13" t="e">
        <f t="shared" si="0"/>
        <v>#VALUE!</v>
      </c>
    </row>
    <row r="859" spans="1:19" x14ac:dyDescent="0.2">
      <c r="A859" s="2">
        <v>856</v>
      </c>
      <c r="B859" s="8">
        <v>350809021</v>
      </c>
      <c r="C859" s="8" t="s">
        <v>3166</v>
      </c>
      <c r="D859" s="8" t="s">
        <v>17</v>
      </c>
      <c r="E859" s="9" t="s">
        <v>2463</v>
      </c>
      <c r="F859" s="10" t="s">
        <v>3167</v>
      </c>
      <c r="G859" s="10" t="s">
        <v>3163</v>
      </c>
      <c r="H859" s="10" t="s">
        <v>3086</v>
      </c>
      <c r="I859" s="11" t="s">
        <v>3168</v>
      </c>
      <c r="J859" s="11" t="s">
        <v>3169</v>
      </c>
      <c r="K859" s="12" t="s">
        <v>17</v>
      </c>
      <c r="L859" s="10" t="s">
        <v>2892</v>
      </c>
      <c r="M859" s="10" t="s">
        <v>15</v>
      </c>
      <c r="N859" s="2" t="s">
        <v>17</v>
      </c>
      <c r="O859" s="2" t="s">
        <v>17</v>
      </c>
      <c r="P859" s="2" t="s">
        <v>17</v>
      </c>
      <c r="S859" s="13" t="e">
        <f t="shared" si="0"/>
        <v>#VALUE!</v>
      </c>
    </row>
    <row r="860" spans="1:19" x14ac:dyDescent="0.2">
      <c r="A860" s="2">
        <v>857</v>
      </c>
      <c r="B860" s="8">
        <v>350809022</v>
      </c>
      <c r="C860" s="8" t="s">
        <v>3170</v>
      </c>
      <c r="D860" s="8" t="s">
        <v>17</v>
      </c>
      <c r="E860" s="10" t="s">
        <v>2463</v>
      </c>
      <c r="F860" s="10" t="s">
        <v>3171</v>
      </c>
      <c r="G860" s="10" t="s">
        <v>3163</v>
      </c>
      <c r="H860" s="10" t="s">
        <v>3086</v>
      </c>
      <c r="I860" s="11" t="s">
        <v>3172</v>
      </c>
      <c r="J860" s="11" t="s">
        <v>3173</v>
      </c>
      <c r="K860" s="12" t="s">
        <v>17</v>
      </c>
      <c r="L860" s="10" t="s">
        <v>2892</v>
      </c>
      <c r="M860" s="10" t="s">
        <v>15</v>
      </c>
      <c r="N860" s="2" t="s">
        <v>17</v>
      </c>
      <c r="O860" s="2" t="s">
        <v>17</v>
      </c>
      <c r="P860" s="2" t="s">
        <v>17</v>
      </c>
      <c r="S860" s="13" t="e">
        <f t="shared" si="0"/>
        <v>#VALUE!</v>
      </c>
    </row>
    <row r="861" spans="1:19" x14ac:dyDescent="0.2">
      <c r="A861" s="2">
        <v>858</v>
      </c>
      <c r="B861" s="8">
        <v>350809023</v>
      </c>
      <c r="C861" s="8" t="s">
        <v>3174</v>
      </c>
      <c r="D861" s="8" t="s">
        <v>17</v>
      </c>
      <c r="E861" s="9" t="s">
        <v>2463</v>
      </c>
      <c r="F861" s="10" t="s">
        <v>3174</v>
      </c>
      <c r="G861" s="10" t="s">
        <v>963</v>
      </c>
      <c r="H861" s="10" t="s">
        <v>3086</v>
      </c>
      <c r="I861" s="11" t="s">
        <v>3175</v>
      </c>
      <c r="J861" s="11" t="s">
        <v>3176</v>
      </c>
      <c r="K861" s="12" t="s">
        <v>17</v>
      </c>
      <c r="L861" s="10" t="s">
        <v>2892</v>
      </c>
      <c r="M861" s="10" t="s">
        <v>15</v>
      </c>
      <c r="N861" s="2" t="s">
        <v>17</v>
      </c>
      <c r="O861" s="2" t="s">
        <v>17</v>
      </c>
      <c r="P861" s="2" t="s">
        <v>17</v>
      </c>
      <c r="S861" s="13" t="e">
        <f t="shared" si="0"/>
        <v>#VALUE!</v>
      </c>
    </row>
    <row r="862" spans="1:19" x14ac:dyDescent="0.2">
      <c r="A862" s="2">
        <v>859</v>
      </c>
      <c r="B862" s="8">
        <v>350809024</v>
      </c>
      <c r="C862" s="8" t="s">
        <v>3177</v>
      </c>
      <c r="D862" s="8" t="s">
        <v>17</v>
      </c>
      <c r="E862" s="10" t="s">
        <v>2463</v>
      </c>
      <c r="F862" s="10" t="s">
        <v>3177</v>
      </c>
      <c r="G862" s="10" t="s">
        <v>3178</v>
      </c>
      <c r="H862" s="10" t="s">
        <v>3086</v>
      </c>
      <c r="I862" s="11" t="s">
        <v>3179</v>
      </c>
      <c r="J862" s="11" t="s">
        <v>3180</v>
      </c>
      <c r="K862" s="12" t="s">
        <v>17</v>
      </c>
      <c r="L862" s="10" t="s">
        <v>2892</v>
      </c>
      <c r="M862" s="10" t="s">
        <v>15</v>
      </c>
      <c r="N862" s="2" t="s">
        <v>17</v>
      </c>
      <c r="O862" s="2" t="s">
        <v>17</v>
      </c>
      <c r="P862" s="2" t="s">
        <v>17</v>
      </c>
      <c r="S862" s="13" t="e">
        <f t="shared" si="0"/>
        <v>#VALUE!</v>
      </c>
    </row>
    <row r="863" spans="1:19" x14ac:dyDescent="0.2">
      <c r="A863" s="2">
        <v>860</v>
      </c>
      <c r="B863" s="8">
        <v>350809025</v>
      </c>
      <c r="C863" s="8" t="s">
        <v>3181</v>
      </c>
      <c r="D863" s="8" t="s">
        <v>17</v>
      </c>
      <c r="E863" s="9" t="s">
        <v>2463</v>
      </c>
      <c r="F863" s="10" t="s">
        <v>3181</v>
      </c>
      <c r="G863" s="10" t="s">
        <v>3090</v>
      </c>
      <c r="H863" s="10" t="s">
        <v>3086</v>
      </c>
      <c r="I863" s="11" t="s">
        <v>3182</v>
      </c>
      <c r="J863" s="11" t="s">
        <v>3183</v>
      </c>
      <c r="K863" s="12" t="s">
        <v>17</v>
      </c>
      <c r="L863" s="10" t="s">
        <v>2892</v>
      </c>
      <c r="M863" s="10" t="s">
        <v>15</v>
      </c>
      <c r="N863" s="2" t="s">
        <v>17</v>
      </c>
      <c r="O863" s="2" t="s">
        <v>17</v>
      </c>
      <c r="P863" s="2" t="s">
        <v>17</v>
      </c>
      <c r="S863" s="13" t="e">
        <f t="shared" si="0"/>
        <v>#VALUE!</v>
      </c>
    </row>
    <row r="864" spans="1:19" x14ac:dyDescent="0.2">
      <c r="A864" s="2">
        <v>861</v>
      </c>
      <c r="B864" s="8">
        <v>350809026</v>
      </c>
      <c r="C864" s="8" t="s">
        <v>3184</v>
      </c>
      <c r="D864" s="8" t="s">
        <v>17</v>
      </c>
      <c r="E864" s="9" t="s">
        <v>2463</v>
      </c>
      <c r="F864" s="10" t="s">
        <v>3185</v>
      </c>
      <c r="G864" s="10" t="s">
        <v>3104</v>
      </c>
      <c r="H864" s="10" t="s">
        <v>3086</v>
      </c>
      <c r="I864" s="11" t="s">
        <v>3186</v>
      </c>
      <c r="J864" s="11" t="s">
        <v>3187</v>
      </c>
      <c r="K864" s="12" t="s">
        <v>17</v>
      </c>
      <c r="L864" s="10" t="s">
        <v>2892</v>
      </c>
      <c r="M864" s="10" t="s">
        <v>15</v>
      </c>
      <c r="N864" s="2" t="s">
        <v>17</v>
      </c>
      <c r="O864" s="2" t="s">
        <v>17</v>
      </c>
      <c r="P864" s="2" t="s">
        <v>17</v>
      </c>
      <c r="S864" s="13" t="e">
        <f t="shared" si="0"/>
        <v>#VALUE!</v>
      </c>
    </row>
    <row r="865" spans="1:19" x14ac:dyDescent="0.2">
      <c r="A865" s="2">
        <v>862</v>
      </c>
      <c r="B865" s="8">
        <v>350809027</v>
      </c>
      <c r="C865" s="8" t="s">
        <v>3188</v>
      </c>
      <c r="D865" s="8" t="s">
        <v>17</v>
      </c>
      <c r="E865" s="10" t="s">
        <v>2463</v>
      </c>
      <c r="F865" s="10" t="s">
        <v>3094</v>
      </c>
      <c r="G865" s="10" t="s">
        <v>3094</v>
      </c>
      <c r="H865" s="10" t="s">
        <v>3086</v>
      </c>
      <c r="I865" s="11" t="s">
        <v>3189</v>
      </c>
      <c r="J865" s="11" t="s">
        <v>3190</v>
      </c>
      <c r="K865" s="12" t="s">
        <v>17</v>
      </c>
      <c r="L865" s="10" t="s">
        <v>2892</v>
      </c>
      <c r="M865" s="10" t="s">
        <v>15</v>
      </c>
      <c r="N865" s="2" t="s">
        <v>17</v>
      </c>
      <c r="O865" s="2" t="s">
        <v>17</v>
      </c>
      <c r="P865" s="2" t="s">
        <v>17</v>
      </c>
      <c r="S865" s="13" t="e">
        <f t="shared" si="0"/>
        <v>#VALUE!</v>
      </c>
    </row>
    <row r="866" spans="1:19" x14ac:dyDescent="0.2">
      <c r="A866" s="2">
        <v>863</v>
      </c>
      <c r="B866" s="8">
        <v>350809028</v>
      </c>
      <c r="C866" s="8" t="s">
        <v>3191</v>
      </c>
      <c r="D866" s="8" t="s">
        <v>17</v>
      </c>
      <c r="E866" s="10" t="s">
        <v>2463</v>
      </c>
      <c r="F866" s="10" t="s">
        <v>3094</v>
      </c>
      <c r="G866" s="10" t="s">
        <v>3094</v>
      </c>
      <c r="H866" s="10" t="s">
        <v>3086</v>
      </c>
      <c r="I866" s="11" t="s">
        <v>3192</v>
      </c>
      <c r="J866" s="11" t="s">
        <v>3193</v>
      </c>
      <c r="K866" s="12" t="s">
        <v>17</v>
      </c>
      <c r="L866" s="10" t="s">
        <v>2892</v>
      </c>
      <c r="M866" s="10" t="s">
        <v>15</v>
      </c>
      <c r="N866" s="2" t="s">
        <v>17</v>
      </c>
      <c r="O866" s="2" t="s">
        <v>17</v>
      </c>
      <c r="P866" s="2" t="s">
        <v>17</v>
      </c>
      <c r="S866" s="13" t="e">
        <f t="shared" si="0"/>
        <v>#VALUE!</v>
      </c>
    </row>
    <row r="867" spans="1:19" x14ac:dyDescent="0.2">
      <c r="A867" s="2">
        <v>864</v>
      </c>
      <c r="B867" s="8">
        <v>350809029</v>
      </c>
      <c r="C867" s="8" t="s">
        <v>3194</v>
      </c>
      <c r="D867" s="8" t="s">
        <v>17</v>
      </c>
      <c r="E867" s="10" t="s">
        <v>2463</v>
      </c>
      <c r="F867" s="10" t="s">
        <v>3194</v>
      </c>
      <c r="G867" s="10" t="s">
        <v>3195</v>
      </c>
      <c r="H867" s="10" t="s">
        <v>3086</v>
      </c>
      <c r="I867" s="11" t="s">
        <v>3196</v>
      </c>
      <c r="J867" s="11" t="s">
        <v>3197</v>
      </c>
      <c r="K867" s="12" t="s">
        <v>17</v>
      </c>
      <c r="L867" s="10" t="s">
        <v>2892</v>
      </c>
      <c r="M867" s="10" t="s">
        <v>15</v>
      </c>
      <c r="N867" s="2" t="s">
        <v>17</v>
      </c>
      <c r="O867" s="2" t="s">
        <v>17</v>
      </c>
      <c r="P867" s="2" t="s">
        <v>17</v>
      </c>
      <c r="S867" s="13" t="e">
        <f t="shared" si="0"/>
        <v>#VALUE!</v>
      </c>
    </row>
    <row r="868" spans="1:19" x14ac:dyDescent="0.2">
      <c r="A868" s="2">
        <v>865</v>
      </c>
      <c r="B868" s="8">
        <v>350809030</v>
      </c>
      <c r="C868" s="8" t="s">
        <v>1810</v>
      </c>
      <c r="D868" s="8" t="s">
        <v>17</v>
      </c>
      <c r="E868" s="10" t="s">
        <v>2463</v>
      </c>
      <c r="F868" s="10" t="s">
        <v>3198</v>
      </c>
      <c r="G868" s="10" t="s">
        <v>3153</v>
      </c>
      <c r="H868" s="10" t="s">
        <v>3086</v>
      </c>
      <c r="I868" s="11" t="s">
        <v>3199</v>
      </c>
      <c r="J868" s="11" t="s">
        <v>3200</v>
      </c>
      <c r="K868" s="12" t="s">
        <v>17</v>
      </c>
      <c r="L868" s="10" t="s">
        <v>2892</v>
      </c>
      <c r="M868" s="10" t="s">
        <v>15</v>
      </c>
      <c r="N868" s="2" t="s">
        <v>17</v>
      </c>
      <c r="O868" s="2" t="s">
        <v>17</v>
      </c>
      <c r="P868" s="2" t="s">
        <v>17</v>
      </c>
      <c r="S868" s="13" t="e">
        <f t="shared" si="0"/>
        <v>#VALUE!</v>
      </c>
    </row>
    <row r="869" spans="1:19" x14ac:dyDescent="0.2">
      <c r="A869" s="2">
        <v>866</v>
      </c>
      <c r="B869" s="8">
        <v>350809031</v>
      </c>
      <c r="C869" s="8" t="s">
        <v>3086</v>
      </c>
      <c r="D869" s="8" t="s">
        <v>17</v>
      </c>
      <c r="E869" s="10" t="s">
        <v>2463</v>
      </c>
      <c r="F869" s="10" t="s">
        <v>693</v>
      </c>
      <c r="G869" s="10" t="s">
        <v>2162</v>
      </c>
      <c r="H869" s="10" t="s">
        <v>3086</v>
      </c>
      <c r="I869" s="11" t="s">
        <v>3201</v>
      </c>
      <c r="J869" s="11" t="s">
        <v>3202</v>
      </c>
      <c r="K869" s="12" t="s">
        <v>17</v>
      </c>
      <c r="L869" s="10" t="s">
        <v>2892</v>
      </c>
      <c r="M869" s="10" t="s">
        <v>15</v>
      </c>
      <c r="N869" s="2" t="s">
        <v>17</v>
      </c>
      <c r="O869" s="2" t="s">
        <v>17</v>
      </c>
      <c r="P869" s="2" t="s">
        <v>17</v>
      </c>
      <c r="S869" s="13" t="e">
        <f t="shared" si="0"/>
        <v>#VALUE!</v>
      </c>
    </row>
    <row r="870" spans="1:19" x14ac:dyDescent="0.2">
      <c r="A870" s="2">
        <v>867</v>
      </c>
      <c r="B870" s="8">
        <v>350809032</v>
      </c>
      <c r="C870" s="8" t="s">
        <v>3203</v>
      </c>
      <c r="D870" s="8" t="s">
        <v>17</v>
      </c>
      <c r="E870" s="10" t="s">
        <v>2463</v>
      </c>
      <c r="F870" s="10" t="s">
        <v>3203</v>
      </c>
      <c r="G870" s="10" t="s">
        <v>3178</v>
      </c>
      <c r="H870" s="10" t="s">
        <v>3086</v>
      </c>
      <c r="I870" s="11" t="s">
        <v>3204</v>
      </c>
      <c r="J870" s="11" t="s">
        <v>3205</v>
      </c>
      <c r="K870" s="12" t="s">
        <v>17</v>
      </c>
      <c r="L870" s="10" t="s">
        <v>2892</v>
      </c>
      <c r="M870" s="10" t="s">
        <v>15</v>
      </c>
      <c r="N870" s="2" t="s">
        <v>17</v>
      </c>
      <c r="O870" s="2" t="s">
        <v>17</v>
      </c>
      <c r="P870" s="2" t="s">
        <v>17</v>
      </c>
      <c r="S870" s="13" t="e">
        <f t="shared" si="0"/>
        <v>#VALUE!</v>
      </c>
    </row>
    <row r="871" spans="1:19" x14ac:dyDescent="0.2">
      <c r="A871" s="2">
        <v>868</v>
      </c>
      <c r="B871" s="8">
        <v>350809033</v>
      </c>
      <c r="C871" s="8" t="s">
        <v>3153</v>
      </c>
      <c r="D871" s="8" t="s">
        <v>17</v>
      </c>
      <c r="E871" s="10" t="s">
        <v>2463</v>
      </c>
      <c r="F871" s="10" t="s">
        <v>3153</v>
      </c>
      <c r="G871" s="10" t="s">
        <v>3153</v>
      </c>
      <c r="H871" s="10" t="s">
        <v>3086</v>
      </c>
      <c r="I871" s="11" t="s">
        <v>3206</v>
      </c>
      <c r="J871" s="11" t="s">
        <v>3207</v>
      </c>
      <c r="K871" s="12" t="s">
        <v>17</v>
      </c>
      <c r="L871" s="10" t="s">
        <v>2892</v>
      </c>
      <c r="M871" s="10" t="s">
        <v>15</v>
      </c>
      <c r="N871" s="2" t="s">
        <v>17</v>
      </c>
      <c r="O871" s="2" t="s">
        <v>17</v>
      </c>
      <c r="P871" s="2" t="s">
        <v>17</v>
      </c>
      <c r="S871" s="13" t="e">
        <f t="shared" si="0"/>
        <v>#VALUE!</v>
      </c>
    </row>
    <row r="872" spans="1:19" x14ac:dyDescent="0.2">
      <c r="A872" s="2">
        <v>869</v>
      </c>
      <c r="B872" s="8">
        <v>350809034</v>
      </c>
      <c r="C872" s="8" t="s">
        <v>2515</v>
      </c>
      <c r="D872" s="8" t="s">
        <v>17</v>
      </c>
      <c r="E872" s="10" t="s">
        <v>2463</v>
      </c>
      <c r="F872" s="10" t="s">
        <v>2515</v>
      </c>
      <c r="G872" s="10" t="s">
        <v>3090</v>
      </c>
      <c r="H872" s="10" t="s">
        <v>3086</v>
      </c>
      <c r="I872" s="11" t="s">
        <v>3208</v>
      </c>
      <c r="J872" s="11" t="s">
        <v>3209</v>
      </c>
      <c r="K872" s="12" t="s">
        <v>17</v>
      </c>
      <c r="L872" s="10" t="s">
        <v>2892</v>
      </c>
      <c r="M872" s="10" t="s">
        <v>15</v>
      </c>
      <c r="N872" s="2" t="s">
        <v>17</v>
      </c>
      <c r="O872" s="2" t="s">
        <v>17</v>
      </c>
      <c r="P872" s="2" t="s">
        <v>17</v>
      </c>
      <c r="S872" s="13" t="e">
        <f t="shared" si="0"/>
        <v>#VALUE!</v>
      </c>
    </row>
    <row r="873" spans="1:19" x14ac:dyDescent="0.2">
      <c r="A873" s="2">
        <v>870</v>
      </c>
      <c r="B873" s="8">
        <v>350809035</v>
      </c>
      <c r="C873" s="8" t="s">
        <v>3210</v>
      </c>
      <c r="D873" s="8" t="s">
        <v>17</v>
      </c>
      <c r="E873" s="10" t="s">
        <v>2463</v>
      </c>
      <c r="F873" s="10" t="s">
        <v>3211</v>
      </c>
      <c r="G873" s="10" t="s">
        <v>2721</v>
      </c>
      <c r="H873" s="10" t="s">
        <v>3086</v>
      </c>
      <c r="I873" s="11" t="s">
        <v>3212</v>
      </c>
      <c r="J873" s="11" t="s">
        <v>3213</v>
      </c>
      <c r="K873" s="12" t="s">
        <v>17</v>
      </c>
      <c r="L873" s="10" t="s">
        <v>2892</v>
      </c>
      <c r="M873" s="10" t="s">
        <v>15</v>
      </c>
      <c r="N873" s="2" t="s">
        <v>17</v>
      </c>
      <c r="O873" s="2" t="s">
        <v>17</v>
      </c>
      <c r="P873" s="2" t="s">
        <v>17</v>
      </c>
      <c r="S873" s="13" t="e">
        <f t="shared" si="0"/>
        <v>#VALUE!</v>
      </c>
    </row>
    <row r="874" spans="1:19" x14ac:dyDescent="0.2">
      <c r="A874" s="2">
        <v>871</v>
      </c>
      <c r="B874" s="8">
        <v>350809036</v>
      </c>
      <c r="C874" s="8" t="s">
        <v>3214</v>
      </c>
      <c r="D874" s="8" t="s">
        <v>17</v>
      </c>
      <c r="E874" s="10" t="s">
        <v>2463</v>
      </c>
      <c r="F874" s="10" t="s">
        <v>3215</v>
      </c>
      <c r="G874" s="10" t="s">
        <v>3195</v>
      </c>
      <c r="H874" s="10" t="s">
        <v>3086</v>
      </c>
      <c r="I874" s="11" t="s">
        <v>3216</v>
      </c>
      <c r="J874" s="11" t="s">
        <v>3217</v>
      </c>
      <c r="K874" s="12" t="s">
        <v>17</v>
      </c>
      <c r="L874" s="10" t="s">
        <v>2892</v>
      </c>
      <c r="M874" s="10" t="s">
        <v>15</v>
      </c>
      <c r="N874" s="2" t="s">
        <v>17</v>
      </c>
      <c r="O874" s="2" t="s">
        <v>17</v>
      </c>
      <c r="P874" s="2" t="s">
        <v>17</v>
      </c>
      <c r="S874" s="13" t="e">
        <f t="shared" si="0"/>
        <v>#VALUE!</v>
      </c>
    </row>
    <row r="875" spans="1:19" x14ac:dyDescent="0.2">
      <c r="A875" s="2">
        <v>872</v>
      </c>
      <c r="B875" s="8">
        <v>350809037</v>
      </c>
      <c r="C875" s="8" t="s">
        <v>3218</v>
      </c>
      <c r="D875" s="8" t="s">
        <v>17</v>
      </c>
      <c r="E875" s="10" t="s">
        <v>2463</v>
      </c>
      <c r="F875" s="10" t="s">
        <v>3219</v>
      </c>
      <c r="G875" s="10" t="s">
        <v>3219</v>
      </c>
      <c r="H875" s="10" t="s">
        <v>3086</v>
      </c>
      <c r="I875" s="11" t="s">
        <v>3220</v>
      </c>
      <c r="J875" s="11" t="s">
        <v>3221</v>
      </c>
      <c r="K875" s="12" t="s">
        <v>17</v>
      </c>
      <c r="L875" s="10" t="s">
        <v>2892</v>
      </c>
      <c r="M875" s="10" t="s">
        <v>15</v>
      </c>
      <c r="N875" s="2" t="s">
        <v>17</v>
      </c>
      <c r="O875" s="2" t="s">
        <v>17</v>
      </c>
      <c r="P875" s="2" t="s">
        <v>17</v>
      </c>
      <c r="S875" s="13" t="e">
        <f t="shared" si="0"/>
        <v>#VALUE!</v>
      </c>
    </row>
    <row r="876" spans="1:19" x14ac:dyDescent="0.2">
      <c r="A876" s="2">
        <v>873</v>
      </c>
      <c r="B876" s="8">
        <v>350809038</v>
      </c>
      <c r="C876" s="8" t="s">
        <v>3222</v>
      </c>
      <c r="D876" s="8" t="s">
        <v>17</v>
      </c>
      <c r="E876" s="10" t="s">
        <v>2463</v>
      </c>
      <c r="F876" s="10" t="s">
        <v>3222</v>
      </c>
      <c r="G876" s="10" t="s">
        <v>3104</v>
      </c>
      <c r="H876" s="10" t="s">
        <v>3086</v>
      </c>
      <c r="I876" s="11" t="s">
        <v>3223</v>
      </c>
      <c r="J876" s="11" t="s">
        <v>3224</v>
      </c>
      <c r="K876" s="12" t="s">
        <v>17</v>
      </c>
      <c r="L876" s="10" t="s">
        <v>2892</v>
      </c>
      <c r="M876" s="10" t="s">
        <v>15</v>
      </c>
      <c r="N876" s="2" t="s">
        <v>17</v>
      </c>
      <c r="O876" s="2" t="s">
        <v>17</v>
      </c>
      <c r="P876" s="2" t="s">
        <v>17</v>
      </c>
      <c r="S876" s="13" t="e">
        <f t="shared" si="0"/>
        <v>#VALUE!</v>
      </c>
    </row>
    <row r="877" spans="1:19" x14ac:dyDescent="0.2">
      <c r="A877" s="2">
        <v>874</v>
      </c>
      <c r="B877" s="8">
        <v>350809039</v>
      </c>
      <c r="C877" s="8" t="s">
        <v>3225</v>
      </c>
      <c r="D877" s="8" t="s">
        <v>17</v>
      </c>
      <c r="E877" s="10" t="s">
        <v>2463</v>
      </c>
      <c r="F877" s="10" t="s">
        <v>3226</v>
      </c>
      <c r="G877" s="10" t="s">
        <v>3153</v>
      </c>
      <c r="H877" s="10" t="s">
        <v>3086</v>
      </c>
      <c r="I877" s="11" t="s">
        <v>3227</v>
      </c>
      <c r="J877" s="11" t="s">
        <v>3228</v>
      </c>
      <c r="K877" s="12" t="s">
        <v>17</v>
      </c>
      <c r="L877" s="10" t="s">
        <v>2892</v>
      </c>
      <c r="M877" s="10" t="s">
        <v>15</v>
      </c>
      <c r="N877" s="2" t="s">
        <v>17</v>
      </c>
      <c r="O877" s="2" t="s">
        <v>17</v>
      </c>
      <c r="P877" s="2" t="s">
        <v>17</v>
      </c>
      <c r="S877" s="13" t="e">
        <f t="shared" si="0"/>
        <v>#VALUE!</v>
      </c>
    </row>
    <row r="878" spans="1:19" x14ac:dyDescent="0.2">
      <c r="A878" s="2">
        <v>875</v>
      </c>
      <c r="B878" s="8">
        <v>350809040</v>
      </c>
      <c r="C878" s="8" t="s">
        <v>3229</v>
      </c>
      <c r="D878" s="8" t="s">
        <v>17</v>
      </c>
      <c r="E878" s="10" t="s">
        <v>2463</v>
      </c>
      <c r="F878" s="10" t="s">
        <v>1517</v>
      </c>
      <c r="G878" s="10" t="s">
        <v>1517</v>
      </c>
      <c r="H878" s="10" t="s">
        <v>3086</v>
      </c>
      <c r="I878" s="11" t="s">
        <v>3230</v>
      </c>
      <c r="J878" s="11" t="s">
        <v>3231</v>
      </c>
      <c r="K878" s="12" t="s">
        <v>17</v>
      </c>
      <c r="L878" s="10" t="s">
        <v>2892</v>
      </c>
      <c r="M878" s="10" t="s">
        <v>15</v>
      </c>
      <c r="N878" s="2" t="s">
        <v>17</v>
      </c>
      <c r="O878" s="2" t="s">
        <v>17</v>
      </c>
      <c r="P878" s="2" t="s">
        <v>17</v>
      </c>
      <c r="S878" s="13" t="e">
        <f t="shared" si="0"/>
        <v>#VALUE!</v>
      </c>
    </row>
    <row r="879" spans="1:19" x14ac:dyDescent="0.2">
      <c r="A879" s="2">
        <v>876</v>
      </c>
      <c r="B879" s="8">
        <v>350809041</v>
      </c>
      <c r="C879" s="8" t="s">
        <v>1517</v>
      </c>
      <c r="D879" s="8" t="s">
        <v>17</v>
      </c>
      <c r="E879" s="10" t="s">
        <v>2463</v>
      </c>
      <c r="F879" s="10" t="s">
        <v>1517</v>
      </c>
      <c r="G879" s="10" t="s">
        <v>1517</v>
      </c>
      <c r="H879" s="10" t="s">
        <v>3086</v>
      </c>
      <c r="I879" s="11" t="s">
        <v>3232</v>
      </c>
      <c r="J879" s="11" t="s">
        <v>3233</v>
      </c>
      <c r="K879" s="12" t="s">
        <v>17</v>
      </c>
      <c r="L879" s="10" t="s">
        <v>2892</v>
      </c>
      <c r="M879" s="10" t="s">
        <v>15</v>
      </c>
      <c r="N879" s="2" t="s">
        <v>17</v>
      </c>
      <c r="O879" s="2" t="s">
        <v>17</v>
      </c>
      <c r="P879" s="2" t="s">
        <v>17</v>
      </c>
      <c r="S879" s="13" t="e">
        <f t="shared" si="0"/>
        <v>#VALUE!</v>
      </c>
    </row>
    <row r="880" spans="1:19" x14ac:dyDescent="0.2">
      <c r="A880" s="2">
        <v>877</v>
      </c>
      <c r="B880" s="8">
        <v>350809042</v>
      </c>
      <c r="C880" s="8" t="s">
        <v>3234</v>
      </c>
      <c r="D880" s="8" t="s">
        <v>17</v>
      </c>
      <c r="E880" s="10" t="s">
        <v>2463</v>
      </c>
      <c r="F880" s="10" t="s">
        <v>3234</v>
      </c>
      <c r="G880" s="10" t="s">
        <v>3235</v>
      </c>
      <c r="H880" s="10" t="s">
        <v>3086</v>
      </c>
      <c r="I880" s="11" t="s">
        <v>3236</v>
      </c>
      <c r="J880" s="11" t="s">
        <v>3237</v>
      </c>
      <c r="K880" s="12" t="s">
        <v>17</v>
      </c>
      <c r="L880" s="10" t="s">
        <v>2892</v>
      </c>
      <c r="M880" s="10" t="s">
        <v>15</v>
      </c>
      <c r="N880" s="2" t="s">
        <v>17</v>
      </c>
      <c r="O880" s="2" t="s">
        <v>17</v>
      </c>
      <c r="P880" s="2" t="s">
        <v>17</v>
      </c>
      <c r="S880" s="13" t="e">
        <f t="shared" si="0"/>
        <v>#VALUE!</v>
      </c>
    </row>
    <row r="881" spans="1:19" x14ac:dyDescent="0.2">
      <c r="A881" s="2">
        <v>878</v>
      </c>
      <c r="B881" s="8">
        <v>350809043</v>
      </c>
      <c r="C881" s="8" t="s">
        <v>3238</v>
      </c>
      <c r="D881" s="8" t="s">
        <v>17</v>
      </c>
      <c r="E881" s="10" t="s">
        <v>2463</v>
      </c>
      <c r="F881" s="10" t="s">
        <v>3238</v>
      </c>
      <c r="G881" s="10" t="s">
        <v>3090</v>
      </c>
      <c r="H881" s="10" t="s">
        <v>3086</v>
      </c>
      <c r="I881" s="11" t="s">
        <v>3239</v>
      </c>
      <c r="J881" s="11" t="s">
        <v>3240</v>
      </c>
      <c r="K881" s="12" t="s">
        <v>17</v>
      </c>
      <c r="L881" s="10" t="s">
        <v>2892</v>
      </c>
      <c r="M881" s="10" t="s">
        <v>15</v>
      </c>
      <c r="N881" s="2" t="s">
        <v>17</v>
      </c>
      <c r="O881" s="2" t="s">
        <v>17</v>
      </c>
      <c r="P881" s="2" t="s">
        <v>17</v>
      </c>
      <c r="S881" s="13" t="e">
        <f t="shared" si="0"/>
        <v>#VALUE!</v>
      </c>
    </row>
    <row r="882" spans="1:19" x14ac:dyDescent="0.2">
      <c r="A882" s="2">
        <v>879</v>
      </c>
      <c r="B882" s="8">
        <v>350809044</v>
      </c>
      <c r="C882" s="8" t="s">
        <v>3241</v>
      </c>
      <c r="D882" s="8" t="s">
        <v>17</v>
      </c>
      <c r="E882" s="9" t="s">
        <v>2463</v>
      </c>
      <c r="F882" s="10" t="s">
        <v>3241</v>
      </c>
      <c r="G882" s="10" t="s">
        <v>3241</v>
      </c>
      <c r="H882" s="10" t="s">
        <v>3086</v>
      </c>
      <c r="I882" s="11" t="s">
        <v>3242</v>
      </c>
      <c r="J882" s="11" t="s">
        <v>3243</v>
      </c>
      <c r="K882" s="12" t="s">
        <v>17</v>
      </c>
      <c r="L882" s="10" t="s">
        <v>2892</v>
      </c>
      <c r="M882" s="10" t="s">
        <v>15</v>
      </c>
      <c r="N882" s="2" t="s">
        <v>17</v>
      </c>
      <c r="O882" s="2" t="s">
        <v>17</v>
      </c>
      <c r="P882" s="2" t="s">
        <v>17</v>
      </c>
      <c r="S882" s="13" t="e">
        <f t="shared" si="0"/>
        <v>#VALUE!</v>
      </c>
    </row>
    <row r="883" spans="1:19" x14ac:dyDescent="0.2">
      <c r="A883" s="2">
        <v>880</v>
      </c>
      <c r="B883" s="8">
        <v>350809045</v>
      </c>
      <c r="C883" s="8" t="s">
        <v>3195</v>
      </c>
      <c r="D883" s="8" t="s">
        <v>17</v>
      </c>
      <c r="E883" s="9" t="s">
        <v>2463</v>
      </c>
      <c r="F883" s="10" t="s">
        <v>3195</v>
      </c>
      <c r="G883" s="10" t="s">
        <v>3195</v>
      </c>
      <c r="H883" s="10" t="s">
        <v>3086</v>
      </c>
      <c r="I883" s="11" t="s">
        <v>3244</v>
      </c>
      <c r="J883" s="11" t="s">
        <v>3245</v>
      </c>
      <c r="K883" s="12" t="s">
        <v>17</v>
      </c>
      <c r="L883" s="10" t="s">
        <v>2892</v>
      </c>
      <c r="M883" s="10" t="s">
        <v>15</v>
      </c>
      <c r="N883" s="2" t="s">
        <v>17</v>
      </c>
      <c r="O883" s="2" t="s">
        <v>17</v>
      </c>
      <c r="P883" s="2" t="s">
        <v>17</v>
      </c>
      <c r="S883" s="13" t="e">
        <f t="shared" si="0"/>
        <v>#VALUE!</v>
      </c>
    </row>
    <row r="884" spans="1:19" x14ac:dyDescent="0.2">
      <c r="A884" s="2">
        <v>881</v>
      </c>
      <c r="B884" s="8">
        <v>350809046</v>
      </c>
      <c r="C884" s="8" t="s">
        <v>3178</v>
      </c>
      <c r="D884" s="8" t="s">
        <v>17</v>
      </c>
      <c r="E884" s="10" t="s">
        <v>2463</v>
      </c>
      <c r="F884" s="10" t="s">
        <v>1041</v>
      </c>
      <c r="G884" s="10" t="s">
        <v>3178</v>
      </c>
      <c r="H884" s="10" t="s">
        <v>3086</v>
      </c>
      <c r="I884" s="11" t="s">
        <v>3246</v>
      </c>
      <c r="J884" s="11" t="s">
        <v>3247</v>
      </c>
      <c r="K884" s="12" t="s">
        <v>17</v>
      </c>
      <c r="L884" s="10" t="s">
        <v>2892</v>
      </c>
      <c r="M884" s="10" t="s">
        <v>15</v>
      </c>
      <c r="N884" s="2" t="s">
        <v>17</v>
      </c>
      <c r="O884" s="2" t="s">
        <v>17</v>
      </c>
      <c r="P884" s="2" t="s">
        <v>17</v>
      </c>
      <c r="S884" s="13" t="e">
        <f t="shared" si="0"/>
        <v>#VALUE!</v>
      </c>
    </row>
    <row r="885" spans="1:19" x14ac:dyDescent="0.2">
      <c r="A885" s="2">
        <v>882</v>
      </c>
      <c r="B885" s="8">
        <v>350809047</v>
      </c>
      <c r="C885" s="8" t="s">
        <v>3013</v>
      </c>
      <c r="D885" s="8" t="s">
        <v>17</v>
      </c>
      <c r="E885" s="9" t="s">
        <v>2463</v>
      </c>
      <c r="F885" s="10" t="s">
        <v>3013</v>
      </c>
      <c r="G885" s="10" t="s">
        <v>3248</v>
      </c>
      <c r="H885" s="10" t="s">
        <v>3086</v>
      </c>
      <c r="I885" s="11" t="s">
        <v>3249</v>
      </c>
      <c r="J885" s="11" t="s">
        <v>3250</v>
      </c>
      <c r="K885" s="12" t="s">
        <v>17</v>
      </c>
      <c r="L885" s="10" t="s">
        <v>2892</v>
      </c>
      <c r="M885" s="10" t="s">
        <v>15</v>
      </c>
      <c r="N885" s="2" t="s">
        <v>17</v>
      </c>
      <c r="O885" s="2" t="s">
        <v>17</v>
      </c>
      <c r="P885" s="2" t="s">
        <v>17</v>
      </c>
      <c r="S885" s="13" t="e">
        <f t="shared" si="0"/>
        <v>#VALUE!</v>
      </c>
    </row>
    <row r="886" spans="1:19" x14ac:dyDescent="0.2">
      <c r="A886" s="2">
        <v>883</v>
      </c>
      <c r="B886" s="8">
        <v>350809048</v>
      </c>
      <c r="C886" s="8" t="s">
        <v>3251</v>
      </c>
      <c r="D886" s="8" t="s">
        <v>17</v>
      </c>
      <c r="E886" s="10" t="s">
        <v>2463</v>
      </c>
      <c r="F886" s="10" t="s">
        <v>3252</v>
      </c>
      <c r="G886" s="10" t="s">
        <v>661</v>
      </c>
      <c r="H886" s="10" t="s">
        <v>3086</v>
      </c>
      <c r="I886" s="11" t="s">
        <v>3253</v>
      </c>
      <c r="J886" s="11" t="s">
        <v>3254</v>
      </c>
      <c r="K886" s="12" t="s">
        <v>17</v>
      </c>
      <c r="L886" s="10" t="s">
        <v>2892</v>
      </c>
      <c r="M886" s="10" t="s">
        <v>15</v>
      </c>
      <c r="N886" s="2" t="s">
        <v>17</v>
      </c>
      <c r="O886" s="2" t="s">
        <v>17</v>
      </c>
      <c r="P886" s="2" t="s">
        <v>17</v>
      </c>
      <c r="S886" s="13" t="e">
        <f t="shared" si="0"/>
        <v>#VALUE!</v>
      </c>
    </row>
    <row r="887" spans="1:19" x14ac:dyDescent="0.2">
      <c r="A887" s="2">
        <v>884</v>
      </c>
      <c r="B887" s="8">
        <v>350809049</v>
      </c>
      <c r="C887" s="8" t="s">
        <v>3255</v>
      </c>
      <c r="D887" s="8" t="s">
        <v>17</v>
      </c>
      <c r="E887" s="9" t="s">
        <v>2463</v>
      </c>
      <c r="F887" s="10" t="s">
        <v>3255</v>
      </c>
      <c r="G887" s="10" t="s">
        <v>3256</v>
      </c>
      <c r="H887" s="10" t="s">
        <v>3086</v>
      </c>
      <c r="I887" s="11" t="s">
        <v>3257</v>
      </c>
      <c r="J887" s="11" t="s">
        <v>3258</v>
      </c>
      <c r="K887" s="12" t="s">
        <v>17</v>
      </c>
      <c r="L887" s="10" t="s">
        <v>2892</v>
      </c>
      <c r="M887" s="10" t="s">
        <v>15</v>
      </c>
      <c r="N887" s="2" t="s">
        <v>17</v>
      </c>
      <c r="O887" s="2" t="s">
        <v>17</v>
      </c>
      <c r="P887" s="2" t="s">
        <v>17</v>
      </c>
      <c r="S887" s="13" t="e">
        <f t="shared" si="0"/>
        <v>#VALUE!</v>
      </c>
    </row>
    <row r="888" spans="1:19" x14ac:dyDescent="0.2">
      <c r="A888" s="2">
        <v>885</v>
      </c>
      <c r="B888" s="8">
        <v>350809051</v>
      </c>
      <c r="C888" s="8" t="s">
        <v>3259</v>
      </c>
      <c r="D888" s="8" t="s">
        <v>17</v>
      </c>
      <c r="E888" s="10" t="s">
        <v>2463</v>
      </c>
      <c r="F888" s="10" t="s">
        <v>3260</v>
      </c>
      <c r="G888" s="10" t="s">
        <v>661</v>
      </c>
      <c r="H888" s="10" t="s">
        <v>3086</v>
      </c>
      <c r="I888" s="11" t="s">
        <v>3261</v>
      </c>
      <c r="J888" s="11" t="s">
        <v>3262</v>
      </c>
      <c r="K888" s="12" t="s">
        <v>17</v>
      </c>
      <c r="L888" s="10" t="s">
        <v>2892</v>
      </c>
      <c r="M888" s="10" t="s">
        <v>15</v>
      </c>
      <c r="N888" s="2" t="s">
        <v>17</v>
      </c>
      <c r="O888" s="2" t="s">
        <v>17</v>
      </c>
      <c r="P888" s="2" t="s">
        <v>17</v>
      </c>
      <c r="S888" s="13" t="e">
        <f t="shared" si="0"/>
        <v>#VALUE!</v>
      </c>
    </row>
    <row r="889" spans="1:19" x14ac:dyDescent="0.2">
      <c r="A889" s="2">
        <v>886</v>
      </c>
      <c r="B889" s="8">
        <v>350809052</v>
      </c>
      <c r="C889" s="8" t="s">
        <v>3113</v>
      </c>
      <c r="D889" s="8" t="s">
        <v>17</v>
      </c>
      <c r="E889" s="9" t="s">
        <v>2463</v>
      </c>
      <c r="F889" s="10" t="s">
        <v>3113</v>
      </c>
      <c r="G889" s="10" t="s">
        <v>3113</v>
      </c>
      <c r="H889" s="10" t="s">
        <v>3086</v>
      </c>
      <c r="I889" s="11" t="s">
        <v>3263</v>
      </c>
      <c r="J889" s="11" t="s">
        <v>3264</v>
      </c>
      <c r="K889" s="12" t="s">
        <v>17</v>
      </c>
      <c r="L889" s="10" t="s">
        <v>2892</v>
      </c>
      <c r="M889" s="10" t="s">
        <v>15</v>
      </c>
      <c r="N889" s="2" t="s">
        <v>17</v>
      </c>
      <c r="O889" s="2" t="s">
        <v>17</v>
      </c>
      <c r="P889" s="2" t="s">
        <v>17</v>
      </c>
      <c r="S889" s="13" t="e">
        <f t="shared" si="0"/>
        <v>#VALUE!</v>
      </c>
    </row>
    <row r="890" spans="1:19" x14ac:dyDescent="0.2">
      <c r="A890" s="2">
        <v>887</v>
      </c>
      <c r="B890" s="8">
        <v>350809053</v>
      </c>
      <c r="C890" s="8" t="s">
        <v>3265</v>
      </c>
      <c r="D890" s="8" t="s">
        <v>17</v>
      </c>
      <c r="E890" s="9" t="s">
        <v>2463</v>
      </c>
      <c r="F890" s="10" t="s">
        <v>3266</v>
      </c>
      <c r="G890" s="10" t="s">
        <v>3113</v>
      </c>
      <c r="H890" s="10" t="s">
        <v>3086</v>
      </c>
      <c r="I890" s="11" t="s">
        <v>3267</v>
      </c>
      <c r="J890" s="11" t="s">
        <v>3268</v>
      </c>
      <c r="K890" s="12" t="s">
        <v>17</v>
      </c>
      <c r="L890" s="10" t="s">
        <v>2892</v>
      </c>
      <c r="M890" s="10" t="s">
        <v>15</v>
      </c>
      <c r="N890" s="2" t="s">
        <v>17</v>
      </c>
      <c r="O890" s="2" t="s">
        <v>17</v>
      </c>
      <c r="P890" s="2" t="s">
        <v>17</v>
      </c>
      <c r="S890" s="13" t="e">
        <f t="shared" si="0"/>
        <v>#VALUE!</v>
      </c>
    </row>
    <row r="891" spans="1:19" x14ac:dyDescent="0.2">
      <c r="A891" s="2">
        <v>888</v>
      </c>
      <c r="B891" s="8">
        <v>350809054</v>
      </c>
      <c r="C891" s="8" t="s">
        <v>3269</v>
      </c>
      <c r="D891" s="8" t="s">
        <v>17</v>
      </c>
      <c r="E891" s="9" t="s">
        <v>2463</v>
      </c>
      <c r="F891" s="10" t="s">
        <v>3084</v>
      </c>
      <c r="G891" s="10" t="s">
        <v>3084</v>
      </c>
      <c r="H891" s="10" t="s">
        <v>3086</v>
      </c>
      <c r="I891" s="11" t="s">
        <v>3270</v>
      </c>
      <c r="J891" s="11" t="s">
        <v>3271</v>
      </c>
      <c r="K891" s="12" t="s">
        <v>17</v>
      </c>
      <c r="L891" s="10" t="s">
        <v>2892</v>
      </c>
      <c r="M891" s="10" t="s">
        <v>15</v>
      </c>
      <c r="N891" s="2" t="s">
        <v>17</v>
      </c>
      <c r="O891" s="2" t="s">
        <v>17</v>
      </c>
      <c r="P891" s="2" t="s">
        <v>17</v>
      </c>
      <c r="S891" s="13" t="e">
        <f t="shared" si="0"/>
        <v>#VALUE!</v>
      </c>
    </row>
    <row r="892" spans="1:19" x14ac:dyDescent="0.2">
      <c r="A892" s="2">
        <v>889</v>
      </c>
      <c r="B892" s="8">
        <v>350809055</v>
      </c>
      <c r="C892" s="8" t="s">
        <v>3272</v>
      </c>
      <c r="D892" s="8" t="s">
        <v>17</v>
      </c>
      <c r="E892" s="10" t="s">
        <v>2463</v>
      </c>
      <c r="F892" s="10" t="s">
        <v>3272</v>
      </c>
      <c r="G892" s="10" t="s">
        <v>3272</v>
      </c>
      <c r="H892" s="10" t="s">
        <v>3086</v>
      </c>
      <c r="I892" s="11" t="s">
        <v>3273</v>
      </c>
      <c r="J892" s="11" t="s">
        <v>3274</v>
      </c>
      <c r="K892" s="12" t="s">
        <v>17</v>
      </c>
      <c r="L892" s="10" t="s">
        <v>2892</v>
      </c>
      <c r="M892" s="10" t="s">
        <v>15</v>
      </c>
      <c r="N892" s="2" t="s">
        <v>17</v>
      </c>
      <c r="O892" s="2" t="s">
        <v>17</v>
      </c>
      <c r="P892" s="2" t="s">
        <v>17</v>
      </c>
      <c r="S892" s="13" t="e">
        <f t="shared" si="0"/>
        <v>#VALUE!</v>
      </c>
    </row>
    <row r="893" spans="1:19" s="7" customFormat="1" x14ac:dyDescent="0.2">
      <c r="A893" s="2">
        <v>890</v>
      </c>
      <c r="B893" s="14">
        <v>350809056</v>
      </c>
      <c r="C893" s="14" t="s">
        <v>3275</v>
      </c>
      <c r="D893" s="14" t="s">
        <v>17</v>
      </c>
      <c r="E893" s="9" t="s">
        <v>2463</v>
      </c>
      <c r="F893" s="9" t="s">
        <v>3275</v>
      </c>
      <c r="G893" s="9" t="s">
        <v>3241</v>
      </c>
      <c r="H893" s="9" t="s">
        <v>3086</v>
      </c>
      <c r="I893" s="15" t="s">
        <v>3276</v>
      </c>
      <c r="J893" s="15" t="s">
        <v>3277</v>
      </c>
      <c r="K893" s="16" t="s">
        <v>17</v>
      </c>
      <c r="L893" s="10" t="s">
        <v>2892</v>
      </c>
      <c r="M893" s="9" t="s">
        <v>15</v>
      </c>
      <c r="N893" s="2" t="s">
        <v>17</v>
      </c>
      <c r="O893" s="2" t="s">
        <v>17</v>
      </c>
      <c r="P893" s="2" t="s">
        <v>17</v>
      </c>
      <c r="S893" s="17" t="e">
        <f t="shared" si="0"/>
        <v>#VALUE!</v>
      </c>
    </row>
    <row r="894" spans="1:19" x14ac:dyDescent="0.2">
      <c r="A894" s="2">
        <v>891</v>
      </c>
      <c r="B894" s="14">
        <v>350809057</v>
      </c>
      <c r="C894" s="14" t="s">
        <v>3278</v>
      </c>
      <c r="D894" s="14" t="s">
        <v>17</v>
      </c>
      <c r="E894" s="9" t="s">
        <v>2463</v>
      </c>
      <c r="F894" s="9" t="s">
        <v>3279</v>
      </c>
      <c r="G894" s="9" t="s">
        <v>3219</v>
      </c>
      <c r="H894" s="9" t="s">
        <v>3086</v>
      </c>
      <c r="I894" s="15" t="s">
        <v>3280</v>
      </c>
      <c r="J894" s="15" t="s">
        <v>3281</v>
      </c>
      <c r="K894" s="16" t="s">
        <v>17</v>
      </c>
      <c r="L894" s="10" t="s">
        <v>2892</v>
      </c>
      <c r="M894" s="9" t="s">
        <v>15</v>
      </c>
      <c r="N894" s="2" t="s">
        <v>17</v>
      </c>
      <c r="O894" s="2" t="s">
        <v>17</v>
      </c>
      <c r="P894" s="2" t="s">
        <v>17</v>
      </c>
      <c r="S894" s="13" t="e">
        <f t="shared" si="0"/>
        <v>#VALUE!</v>
      </c>
    </row>
    <row r="895" spans="1:19" x14ac:dyDescent="0.2">
      <c r="A895" s="2">
        <v>892</v>
      </c>
      <c r="B895" s="14">
        <v>350809058</v>
      </c>
      <c r="C895" s="14" t="s">
        <v>3282</v>
      </c>
      <c r="D895" s="14" t="s">
        <v>17</v>
      </c>
      <c r="E895" s="9" t="s">
        <v>2463</v>
      </c>
      <c r="F895" s="9" t="s">
        <v>3279</v>
      </c>
      <c r="G895" s="9" t="s">
        <v>3219</v>
      </c>
      <c r="H895" s="9" t="s">
        <v>3086</v>
      </c>
      <c r="I895" s="15" t="s">
        <v>3283</v>
      </c>
      <c r="J895" s="15" t="s">
        <v>3284</v>
      </c>
      <c r="K895" s="16" t="s">
        <v>17</v>
      </c>
      <c r="L895" s="10" t="s">
        <v>2892</v>
      </c>
      <c r="M895" s="9" t="s">
        <v>15</v>
      </c>
      <c r="N895" s="2" t="s">
        <v>17</v>
      </c>
      <c r="O895" s="2" t="s">
        <v>17</v>
      </c>
      <c r="P895" s="2" t="s">
        <v>17</v>
      </c>
      <c r="S895" s="13" t="e">
        <f t="shared" si="0"/>
        <v>#VALUE!</v>
      </c>
    </row>
    <row r="896" spans="1:19" x14ac:dyDescent="0.2">
      <c r="A896" s="2">
        <v>893</v>
      </c>
      <c r="B896" s="14">
        <v>350809059</v>
      </c>
      <c r="C896" s="14" t="s">
        <v>3285</v>
      </c>
      <c r="D896" s="14" t="s">
        <v>17</v>
      </c>
      <c r="E896" s="9" t="s">
        <v>2463</v>
      </c>
      <c r="F896" s="9" t="s">
        <v>3285</v>
      </c>
      <c r="G896" s="9" t="s">
        <v>1639</v>
      </c>
      <c r="H896" s="9" t="s">
        <v>3086</v>
      </c>
      <c r="I896" s="15" t="s">
        <v>3286</v>
      </c>
      <c r="J896" s="15" t="s">
        <v>3287</v>
      </c>
      <c r="K896" s="16" t="s">
        <v>17</v>
      </c>
      <c r="L896" s="10" t="s">
        <v>2892</v>
      </c>
      <c r="M896" s="9" t="s">
        <v>15</v>
      </c>
      <c r="N896" s="2" t="s">
        <v>17</v>
      </c>
      <c r="O896" s="2" t="s">
        <v>17</v>
      </c>
      <c r="P896" s="2" t="s">
        <v>17</v>
      </c>
      <c r="S896" s="13" t="e">
        <f t="shared" si="0"/>
        <v>#VALUE!</v>
      </c>
    </row>
    <row r="897" spans="1:19" x14ac:dyDescent="0.2">
      <c r="A897" s="2">
        <v>894</v>
      </c>
      <c r="B897" s="14">
        <v>350809060</v>
      </c>
      <c r="C897" s="14" t="s">
        <v>3288</v>
      </c>
      <c r="D897" s="14" t="s">
        <v>17</v>
      </c>
      <c r="E897" s="9" t="s">
        <v>2463</v>
      </c>
      <c r="F897" s="9" t="s">
        <v>3109</v>
      </c>
      <c r="G897" s="9" t="s">
        <v>3109</v>
      </c>
      <c r="H897" s="9" t="s">
        <v>3086</v>
      </c>
      <c r="I897" s="15" t="s">
        <v>3289</v>
      </c>
      <c r="J897" s="15" t="s">
        <v>3290</v>
      </c>
      <c r="K897" s="16" t="s">
        <v>17</v>
      </c>
      <c r="L897" s="10" t="s">
        <v>2892</v>
      </c>
      <c r="M897" s="9" t="s">
        <v>15</v>
      </c>
      <c r="N897" s="2" t="s">
        <v>17</v>
      </c>
      <c r="O897" s="2" t="s">
        <v>17</v>
      </c>
      <c r="P897" s="2" t="s">
        <v>17</v>
      </c>
      <c r="S897" s="13" t="e">
        <f t="shared" si="0"/>
        <v>#VALUE!</v>
      </c>
    </row>
    <row r="898" spans="1:19" x14ac:dyDescent="0.2">
      <c r="A898" s="2">
        <v>895</v>
      </c>
      <c r="B898" s="14">
        <v>350809061</v>
      </c>
      <c r="C898" s="14" t="s">
        <v>3291</v>
      </c>
      <c r="D898" s="14" t="s">
        <v>17</v>
      </c>
      <c r="E898" s="9" t="s">
        <v>2463</v>
      </c>
      <c r="F898" s="9" t="s">
        <v>3292</v>
      </c>
      <c r="G898" s="9" t="s">
        <v>3085</v>
      </c>
      <c r="H898" s="9" t="s">
        <v>3086</v>
      </c>
      <c r="I898" s="15" t="s">
        <v>3293</v>
      </c>
      <c r="J898" s="15" t="s">
        <v>3294</v>
      </c>
      <c r="K898" s="16" t="s">
        <v>17</v>
      </c>
      <c r="L898" s="10" t="s">
        <v>2892</v>
      </c>
      <c r="M898" s="9" t="s">
        <v>15</v>
      </c>
      <c r="N898" s="2" t="s">
        <v>17</v>
      </c>
      <c r="O898" s="2" t="s">
        <v>17</v>
      </c>
      <c r="P898" s="2" t="s">
        <v>17</v>
      </c>
      <c r="S898" s="13" t="e">
        <f t="shared" si="0"/>
        <v>#VALUE!</v>
      </c>
    </row>
    <row r="899" spans="1:19" x14ac:dyDescent="0.2">
      <c r="A899" s="2">
        <v>896</v>
      </c>
      <c r="B899" s="14">
        <v>350809062</v>
      </c>
      <c r="C899" s="14" t="s">
        <v>3256</v>
      </c>
      <c r="D899" s="14" t="s">
        <v>17</v>
      </c>
      <c r="E899" s="9" t="s">
        <v>2463</v>
      </c>
      <c r="F899" s="9" t="s">
        <v>3256</v>
      </c>
      <c r="G899" s="9" t="s">
        <v>3256</v>
      </c>
      <c r="H899" s="9" t="s">
        <v>3086</v>
      </c>
      <c r="I899" s="15" t="s">
        <v>3295</v>
      </c>
      <c r="J899" s="15" t="s">
        <v>3296</v>
      </c>
      <c r="K899" s="16" t="s">
        <v>17</v>
      </c>
      <c r="L899" s="10" t="s">
        <v>2892</v>
      </c>
      <c r="M899" s="9" t="s">
        <v>15</v>
      </c>
      <c r="N899" s="2" t="s">
        <v>17</v>
      </c>
      <c r="O899" s="2" t="s">
        <v>17</v>
      </c>
      <c r="P899" s="2" t="s">
        <v>17</v>
      </c>
      <c r="S899" s="13" t="e">
        <f t="shared" si="0"/>
        <v>#VALUE!</v>
      </c>
    </row>
    <row r="900" spans="1:19" x14ac:dyDescent="0.2">
      <c r="A900" s="2">
        <v>897</v>
      </c>
      <c r="B900" s="14">
        <v>350809063</v>
      </c>
      <c r="C900" s="14" t="s">
        <v>3297</v>
      </c>
      <c r="D900" s="14" t="s">
        <v>17</v>
      </c>
      <c r="E900" s="9" t="s">
        <v>2463</v>
      </c>
      <c r="F900" s="9" t="s">
        <v>3297</v>
      </c>
      <c r="G900" s="9" t="s">
        <v>3298</v>
      </c>
      <c r="H900" s="9" t="s">
        <v>3086</v>
      </c>
      <c r="I900" s="15" t="s">
        <v>3299</v>
      </c>
      <c r="J900" s="15" t="s">
        <v>3300</v>
      </c>
      <c r="K900" s="16" t="s">
        <v>17</v>
      </c>
      <c r="L900" s="10" t="s">
        <v>2892</v>
      </c>
      <c r="M900" s="9" t="s">
        <v>15</v>
      </c>
      <c r="N900" s="2" t="s">
        <v>17</v>
      </c>
      <c r="O900" s="2" t="s">
        <v>17</v>
      </c>
      <c r="P900" s="2" t="s">
        <v>17</v>
      </c>
      <c r="S900" s="13" t="e">
        <f t="shared" si="0"/>
        <v>#VALUE!</v>
      </c>
    </row>
    <row r="901" spans="1:19" x14ac:dyDescent="0.2">
      <c r="A901" s="2">
        <v>898</v>
      </c>
      <c r="B901" s="14">
        <v>350809064</v>
      </c>
      <c r="C901" s="14" t="s">
        <v>382</v>
      </c>
      <c r="D901" s="14" t="s">
        <v>17</v>
      </c>
      <c r="E901" s="9" t="s">
        <v>2463</v>
      </c>
      <c r="F901" s="9" t="s">
        <v>382</v>
      </c>
      <c r="G901" s="9" t="s">
        <v>3301</v>
      </c>
      <c r="H901" s="9" t="s">
        <v>3086</v>
      </c>
      <c r="I901" s="15" t="s">
        <v>3302</v>
      </c>
      <c r="J901" s="15" t="s">
        <v>3303</v>
      </c>
      <c r="K901" s="16" t="s">
        <v>17</v>
      </c>
      <c r="L901" s="10" t="s">
        <v>2892</v>
      </c>
      <c r="M901" s="9" t="s">
        <v>15</v>
      </c>
      <c r="N901" s="2" t="s">
        <v>17</v>
      </c>
      <c r="O901" s="2" t="s">
        <v>17</v>
      </c>
      <c r="P901" s="2" t="s">
        <v>17</v>
      </c>
      <c r="S901" s="13" t="e">
        <f t="shared" si="0"/>
        <v>#VALUE!</v>
      </c>
    </row>
    <row r="902" spans="1:19" x14ac:dyDescent="0.2">
      <c r="A902" s="2">
        <v>899</v>
      </c>
      <c r="B902" s="14">
        <v>350809065</v>
      </c>
      <c r="C902" s="14" t="s">
        <v>382</v>
      </c>
      <c r="D902" s="14" t="s">
        <v>17</v>
      </c>
      <c r="E902" s="9" t="s">
        <v>2463</v>
      </c>
      <c r="F902" s="9" t="s">
        <v>382</v>
      </c>
      <c r="G902" s="9" t="s">
        <v>3163</v>
      </c>
      <c r="H902" s="9" t="s">
        <v>3086</v>
      </c>
      <c r="I902" s="15" t="s">
        <v>3304</v>
      </c>
      <c r="J902" s="15" t="s">
        <v>3305</v>
      </c>
      <c r="K902" s="16" t="s">
        <v>17</v>
      </c>
      <c r="L902" s="10" t="s">
        <v>2892</v>
      </c>
      <c r="M902" s="9" t="s">
        <v>15</v>
      </c>
      <c r="N902" s="2" t="s">
        <v>17</v>
      </c>
      <c r="O902" s="2" t="s">
        <v>17</v>
      </c>
      <c r="P902" s="2" t="s">
        <v>17</v>
      </c>
      <c r="S902" s="13" t="e">
        <f t="shared" si="0"/>
        <v>#VALUE!</v>
      </c>
    </row>
    <row r="903" spans="1:19" x14ac:dyDescent="0.2">
      <c r="A903" s="2">
        <v>900</v>
      </c>
      <c r="B903" s="14">
        <v>350809066</v>
      </c>
      <c r="C903" s="14" t="s">
        <v>3301</v>
      </c>
      <c r="D903" s="14" t="s">
        <v>17</v>
      </c>
      <c r="E903" s="9" t="s">
        <v>2463</v>
      </c>
      <c r="F903" s="9" t="s">
        <v>3301</v>
      </c>
      <c r="G903" s="9" t="s">
        <v>3301</v>
      </c>
      <c r="H903" s="9" t="s">
        <v>3086</v>
      </c>
      <c r="I903" s="15" t="s">
        <v>3306</v>
      </c>
      <c r="J903" s="15" t="s">
        <v>3307</v>
      </c>
      <c r="K903" s="16" t="s">
        <v>17</v>
      </c>
      <c r="L903" s="10" t="s">
        <v>2892</v>
      </c>
      <c r="M903" s="9" t="s">
        <v>15</v>
      </c>
      <c r="N903" s="2" t="s">
        <v>17</v>
      </c>
      <c r="O903" s="2" t="s">
        <v>17</v>
      </c>
      <c r="P903" s="2" t="s">
        <v>17</v>
      </c>
      <c r="S903" s="13" t="e">
        <f t="shared" si="0"/>
        <v>#VALUE!</v>
      </c>
    </row>
    <row r="904" spans="1:19" x14ac:dyDescent="0.2">
      <c r="A904" s="2">
        <v>901</v>
      </c>
      <c r="B904" s="14">
        <v>350809067</v>
      </c>
      <c r="C904" s="14" t="s">
        <v>3308</v>
      </c>
      <c r="D904" s="14" t="s">
        <v>17</v>
      </c>
      <c r="E904" s="9" t="s">
        <v>2463</v>
      </c>
      <c r="F904" s="9" t="s">
        <v>3309</v>
      </c>
      <c r="G904" s="9" t="s">
        <v>3272</v>
      </c>
      <c r="H904" s="9" t="s">
        <v>3086</v>
      </c>
      <c r="I904" s="15" t="s">
        <v>3310</v>
      </c>
      <c r="J904" s="15" t="s">
        <v>3311</v>
      </c>
      <c r="K904" s="16" t="s">
        <v>17</v>
      </c>
      <c r="L904" s="10" t="s">
        <v>2892</v>
      </c>
      <c r="M904" s="9" t="s">
        <v>15</v>
      </c>
      <c r="N904" s="2" t="s">
        <v>17</v>
      </c>
      <c r="O904" s="2" t="s">
        <v>17</v>
      </c>
      <c r="P904" s="2" t="s">
        <v>17</v>
      </c>
      <c r="S904" s="13" t="e">
        <f t="shared" si="0"/>
        <v>#VALUE!</v>
      </c>
    </row>
    <row r="905" spans="1:19" x14ac:dyDescent="0.2">
      <c r="A905" s="2">
        <v>902</v>
      </c>
      <c r="B905" s="14">
        <v>350809068</v>
      </c>
      <c r="C905" s="14" t="s">
        <v>104</v>
      </c>
      <c r="D905" s="14" t="s">
        <v>17</v>
      </c>
      <c r="E905" s="9" t="s">
        <v>2463</v>
      </c>
      <c r="F905" s="9" t="s">
        <v>104</v>
      </c>
      <c r="G905" s="9" t="s">
        <v>3219</v>
      </c>
      <c r="H905" s="9" t="s">
        <v>3086</v>
      </c>
      <c r="I905" s="15" t="s">
        <v>3312</v>
      </c>
      <c r="J905" s="15" t="s">
        <v>3313</v>
      </c>
      <c r="K905" s="16" t="s">
        <v>17</v>
      </c>
      <c r="L905" s="10" t="s">
        <v>2892</v>
      </c>
      <c r="M905" s="9" t="s">
        <v>15</v>
      </c>
      <c r="N905" s="2" t="s">
        <v>17</v>
      </c>
      <c r="O905" s="2" t="s">
        <v>17</v>
      </c>
      <c r="P905" s="2" t="s">
        <v>17</v>
      </c>
      <c r="S905" s="13" t="e">
        <f t="shared" si="0"/>
        <v>#VALUE!</v>
      </c>
    </row>
    <row r="906" spans="1:19" x14ac:dyDescent="0.2">
      <c r="A906" s="2">
        <v>903</v>
      </c>
      <c r="B906" s="14">
        <v>350809069</v>
      </c>
      <c r="C906" s="14" t="s">
        <v>2507</v>
      </c>
      <c r="D906" s="14" t="s">
        <v>17</v>
      </c>
      <c r="E906" s="9" t="s">
        <v>2463</v>
      </c>
      <c r="F906" s="9" t="s">
        <v>2507</v>
      </c>
      <c r="G906" s="9" t="s">
        <v>3090</v>
      </c>
      <c r="H906" s="9" t="s">
        <v>3086</v>
      </c>
      <c r="I906" s="15" t="s">
        <v>3314</v>
      </c>
      <c r="J906" s="15" t="s">
        <v>3315</v>
      </c>
      <c r="K906" s="16" t="s">
        <v>17</v>
      </c>
      <c r="L906" s="10" t="s">
        <v>2892</v>
      </c>
      <c r="M906" s="9" t="s">
        <v>15</v>
      </c>
      <c r="N906" s="2" t="s">
        <v>17</v>
      </c>
      <c r="O906" s="2" t="s">
        <v>17</v>
      </c>
      <c r="P906" s="2" t="s">
        <v>17</v>
      </c>
      <c r="S906" s="13" t="e">
        <f t="shared" si="0"/>
        <v>#VALUE!</v>
      </c>
    </row>
    <row r="907" spans="1:19" x14ac:dyDescent="0.2">
      <c r="A907" s="2">
        <v>904</v>
      </c>
      <c r="B907" s="14">
        <v>350809070</v>
      </c>
      <c r="C907" s="14" t="s">
        <v>3316</v>
      </c>
      <c r="D907" s="14" t="s">
        <v>17</v>
      </c>
      <c r="E907" s="9" t="s">
        <v>2463</v>
      </c>
      <c r="F907" s="9" t="s">
        <v>3317</v>
      </c>
      <c r="G907" s="9" t="s">
        <v>963</v>
      </c>
      <c r="H907" s="9" t="s">
        <v>3086</v>
      </c>
      <c r="I907" s="15" t="s">
        <v>3318</v>
      </c>
      <c r="J907" s="15" t="s">
        <v>3319</v>
      </c>
      <c r="K907" s="16" t="s">
        <v>17</v>
      </c>
      <c r="L907" s="10" t="s">
        <v>2892</v>
      </c>
      <c r="M907" s="9" t="s">
        <v>15</v>
      </c>
      <c r="N907" s="2" t="s">
        <v>17</v>
      </c>
      <c r="O907" s="2" t="s">
        <v>17</v>
      </c>
      <c r="P907" s="2" t="s">
        <v>17</v>
      </c>
      <c r="S907" s="13" t="e">
        <f t="shared" si="0"/>
        <v>#VALUE!</v>
      </c>
    </row>
    <row r="908" spans="1:19" x14ac:dyDescent="0.2">
      <c r="A908" s="2">
        <v>905</v>
      </c>
      <c r="B908" s="14">
        <v>350809071</v>
      </c>
      <c r="C908" s="14" t="s">
        <v>3320</v>
      </c>
      <c r="D908" s="14" t="s">
        <v>17</v>
      </c>
      <c r="E908" s="9" t="s">
        <v>2463</v>
      </c>
      <c r="F908" s="9" t="s">
        <v>3320</v>
      </c>
      <c r="G908" s="9" t="s">
        <v>3090</v>
      </c>
      <c r="H908" s="9" t="s">
        <v>3086</v>
      </c>
      <c r="I908" s="15" t="s">
        <v>3321</v>
      </c>
      <c r="J908" s="15" t="s">
        <v>3322</v>
      </c>
      <c r="K908" s="16" t="s">
        <v>17</v>
      </c>
      <c r="L908" s="10" t="s">
        <v>2892</v>
      </c>
      <c r="M908" s="9" t="s">
        <v>15</v>
      </c>
      <c r="N908" s="2" t="s">
        <v>17</v>
      </c>
      <c r="O908" s="2" t="s">
        <v>17</v>
      </c>
      <c r="P908" s="2" t="s">
        <v>17</v>
      </c>
      <c r="S908" s="13" t="e">
        <f t="shared" si="0"/>
        <v>#VALUE!</v>
      </c>
    </row>
    <row r="909" spans="1:19" x14ac:dyDescent="0.2">
      <c r="A909" s="2">
        <v>906</v>
      </c>
      <c r="B909" s="14">
        <v>350809072</v>
      </c>
      <c r="C909" s="14" t="s">
        <v>1639</v>
      </c>
      <c r="D909" s="14" t="s">
        <v>17</v>
      </c>
      <c r="E909" s="9" t="s">
        <v>2463</v>
      </c>
      <c r="F909" s="9" t="s">
        <v>1639</v>
      </c>
      <c r="G909" s="9" t="s">
        <v>1639</v>
      </c>
      <c r="H909" s="9" t="s">
        <v>3086</v>
      </c>
      <c r="I909" s="15" t="s">
        <v>3323</v>
      </c>
      <c r="J909" s="15" t="s">
        <v>3324</v>
      </c>
      <c r="K909" s="16" t="s">
        <v>17</v>
      </c>
      <c r="L909" s="10" t="s">
        <v>2892</v>
      </c>
      <c r="M909" s="9" t="s">
        <v>15</v>
      </c>
      <c r="N909" s="2" t="s">
        <v>17</v>
      </c>
      <c r="O909" s="2" t="s">
        <v>17</v>
      </c>
      <c r="P909" s="2" t="s">
        <v>17</v>
      </c>
      <c r="S909" s="13" t="e">
        <f t="shared" ref="S909:S923" si="1">-J909</f>
        <v>#VALUE!</v>
      </c>
    </row>
    <row r="910" spans="1:19" x14ac:dyDescent="0.2">
      <c r="A910" s="2">
        <v>907</v>
      </c>
      <c r="B910" s="14">
        <v>350809073</v>
      </c>
      <c r="C910" s="14" t="s">
        <v>3325</v>
      </c>
      <c r="D910" s="14" t="s">
        <v>17</v>
      </c>
      <c r="E910" s="9" t="s">
        <v>2463</v>
      </c>
      <c r="F910" s="9" t="s">
        <v>3326</v>
      </c>
      <c r="G910" s="9" t="s">
        <v>3327</v>
      </c>
      <c r="H910" s="9" t="s">
        <v>3086</v>
      </c>
      <c r="I910" s="15" t="s">
        <v>3328</v>
      </c>
      <c r="J910" s="15" t="s">
        <v>3329</v>
      </c>
      <c r="K910" s="16" t="s">
        <v>17</v>
      </c>
      <c r="L910" s="10" t="s">
        <v>2892</v>
      </c>
      <c r="M910" s="9" t="s">
        <v>15</v>
      </c>
      <c r="N910" s="2" t="s">
        <v>17</v>
      </c>
      <c r="O910" s="2" t="s">
        <v>17</v>
      </c>
      <c r="P910" s="2" t="s">
        <v>17</v>
      </c>
      <c r="S910" s="13" t="e">
        <f t="shared" si="1"/>
        <v>#VALUE!</v>
      </c>
    </row>
    <row r="911" spans="1:19" x14ac:dyDescent="0.2">
      <c r="A911" s="2">
        <v>908</v>
      </c>
      <c r="B911" s="14">
        <v>350809074</v>
      </c>
      <c r="C911" s="14" t="s">
        <v>3330</v>
      </c>
      <c r="D911" s="14" t="s">
        <v>17</v>
      </c>
      <c r="E911" s="9" t="s">
        <v>2463</v>
      </c>
      <c r="F911" s="9" t="s">
        <v>3330</v>
      </c>
      <c r="G911" s="9" t="s">
        <v>2162</v>
      </c>
      <c r="H911" s="9" t="s">
        <v>3086</v>
      </c>
      <c r="I911" s="15" t="s">
        <v>3331</v>
      </c>
      <c r="J911" s="15" t="s">
        <v>3332</v>
      </c>
      <c r="K911" s="16" t="s">
        <v>17</v>
      </c>
      <c r="L911" s="10" t="s">
        <v>2892</v>
      </c>
      <c r="M911" s="2" t="s">
        <v>15</v>
      </c>
      <c r="N911" s="2" t="s">
        <v>17</v>
      </c>
      <c r="O911" s="2" t="s">
        <v>17</v>
      </c>
      <c r="P911" s="2" t="s">
        <v>17</v>
      </c>
      <c r="S911" s="13" t="e">
        <f t="shared" si="1"/>
        <v>#VALUE!</v>
      </c>
    </row>
    <row r="912" spans="1:19" ht="15" x14ac:dyDescent="0.2">
      <c r="A912" s="2">
        <v>909</v>
      </c>
      <c r="B912" s="14">
        <v>350809075</v>
      </c>
      <c r="C912" s="14" t="s">
        <v>3333</v>
      </c>
      <c r="D912" s="14" t="s">
        <v>17</v>
      </c>
      <c r="E912" s="18" t="s">
        <v>2463</v>
      </c>
      <c r="F912" s="18" t="s">
        <v>612</v>
      </c>
      <c r="G912" s="18" t="s">
        <v>1517</v>
      </c>
      <c r="H912" s="18" t="s">
        <v>3086</v>
      </c>
      <c r="I912" s="19" t="s">
        <v>3334</v>
      </c>
      <c r="J912" s="19" t="s">
        <v>3335</v>
      </c>
      <c r="K912" s="20" t="s">
        <v>17</v>
      </c>
      <c r="L912" s="18" t="s">
        <v>2892</v>
      </c>
      <c r="M912" s="2" t="s">
        <v>15</v>
      </c>
      <c r="N912" s="2" t="s">
        <v>17</v>
      </c>
      <c r="O912" s="2" t="s">
        <v>17</v>
      </c>
      <c r="P912" s="2" t="s">
        <v>17</v>
      </c>
      <c r="S912" s="13" t="e">
        <f t="shared" si="1"/>
        <v>#VALUE!</v>
      </c>
    </row>
    <row r="913" spans="1:19" ht="15" x14ac:dyDescent="0.2">
      <c r="A913" s="2">
        <v>910</v>
      </c>
      <c r="B913" s="14">
        <v>350809076</v>
      </c>
      <c r="C913" s="14" t="s">
        <v>3336</v>
      </c>
      <c r="D913" s="14" t="s">
        <v>17</v>
      </c>
      <c r="E913" s="18" t="s">
        <v>2463</v>
      </c>
      <c r="F913" s="18" t="s">
        <v>3260</v>
      </c>
      <c r="G913" s="18" t="s">
        <v>661</v>
      </c>
      <c r="H913" s="18" t="s">
        <v>3086</v>
      </c>
      <c r="I913" s="19" t="s">
        <v>3337</v>
      </c>
      <c r="J913" s="19" t="s">
        <v>3338</v>
      </c>
      <c r="K913" s="20" t="s">
        <v>17</v>
      </c>
      <c r="L913" s="18" t="s">
        <v>2892</v>
      </c>
      <c r="M913" s="2" t="s">
        <v>15</v>
      </c>
      <c r="N913" s="2" t="s">
        <v>17</v>
      </c>
      <c r="O913" s="2" t="s">
        <v>17</v>
      </c>
      <c r="P913" s="2" t="s">
        <v>17</v>
      </c>
      <c r="S913" s="13" t="e">
        <f t="shared" si="1"/>
        <v>#VALUE!</v>
      </c>
    </row>
    <row r="914" spans="1:19" ht="15" x14ac:dyDescent="0.2">
      <c r="A914" s="2">
        <v>911</v>
      </c>
      <c r="B914" s="14">
        <v>350809077</v>
      </c>
      <c r="C914" s="14" t="s">
        <v>3339</v>
      </c>
      <c r="D914" s="14" t="s">
        <v>17</v>
      </c>
      <c r="E914" s="18" t="s">
        <v>2463</v>
      </c>
      <c r="F914" s="18" t="s">
        <v>3339</v>
      </c>
      <c r="G914" s="18" t="s">
        <v>3094</v>
      </c>
      <c r="H914" s="18" t="s">
        <v>3086</v>
      </c>
      <c r="I914" s="19" t="s">
        <v>3340</v>
      </c>
      <c r="J914" s="19" t="s">
        <v>3341</v>
      </c>
      <c r="K914" s="20" t="s">
        <v>17</v>
      </c>
      <c r="L914" s="18" t="s">
        <v>2892</v>
      </c>
      <c r="M914" s="2" t="s">
        <v>15</v>
      </c>
      <c r="N914" s="2" t="s">
        <v>17</v>
      </c>
      <c r="O914" s="2" t="s">
        <v>17</v>
      </c>
      <c r="P914" s="2" t="s">
        <v>17</v>
      </c>
      <c r="S914" s="13" t="e">
        <f t="shared" si="1"/>
        <v>#VALUE!</v>
      </c>
    </row>
    <row r="915" spans="1:19" ht="15" x14ac:dyDescent="0.2">
      <c r="A915" s="2">
        <v>912</v>
      </c>
      <c r="B915" s="14">
        <v>350809079</v>
      </c>
      <c r="C915" s="14" t="s">
        <v>3342</v>
      </c>
      <c r="D915" s="14" t="s">
        <v>17</v>
      </c>
      <c r="E915" s="18" t="s">
        <v>2463</v>
      </c>
      <c r="F915" s="18" t="s">
        <v>3343</v>
      </c>
      <c r="G915" s="18" t="s">
        <v>3327</v>
      </c>
      <c r="H915" s="18" t="s">
        <v>3086</v>
      </c>
      <c r="I915" s="19" t="s">
        <v>3344</v>
      </c>
      <c r="J915" s="19" t="s">
        <v>3345</v>
      </c>
      <c r="K915" s="20" t="s">
        <v>17</v>
      </c>
      <c r="L915" s="18" t="s">
        <v>2892</v>
      </c>
      <c r="M915" s="2" t="s">
        <v>15</v>
      </c>
      <c r="N915" s="2" t="s">
        <v>17</v>
      </c>
      <c r="O915" s="2" t="s">
        <v>17</v>
      </c>
      <c r="P915" s="2" t="s">
        <v>17</v>
      </c>
      <c r="S915" s="13" t="e">
        <f t="shared" si="1"/>
        <v>#VALUE!</v>
      </c>
    </row>
    <row r="916" spans="1:19" ht="15" x14ac:dyDescent="0.2">
      <c r="A916" s="2">
        <v>913</v>
      </c>
      <c r="B916" s="14">
        <v>350809080</v>
      </c>
      <c r="C916" s="14" t="s">
        <v>3346</v>
      </c>
      <c r="D916" s="14" t="s">
        <v>17</v>
      </c>
      <c r="E916" s="18" t="s">
        <v>2463</v>
      </c>
      <c r="F916" s="18" t="s">
        <v>3346</v>
      </c>
      <c r="G916" s="18" t="s">
        <v>3327</v>
      </c>
      <c r="H916" s="18" t="s">
        <v>3086</v>
      </c>
      <c r="I916" s="19" t="s">
        <v>3347</v>
      </c>
      <c r="J916" s="19" t="s">
        <v>3348</v>
      </c>
      <c r="K916" s="20" t="s">
        <v>17</v>
      </c>
      <c r="L916" s="18" t="s">
        <v>2892</v>
      </c>
      <c r="M916" s="2" t="s">
        <v>15</v>
      </c>
      <c r="N916" s="2" t="s">
        <v>17</v>
      </c>
      <c r="O916" s="2" t="s">
        <v>17</v>
      </c>
      <c r="P916" s="2" t="s">
        <v>17</v>
      </c>
      <c r="S916" s="13" t="e">
        <f t="shared" si="1"/>
        <v>#VALUE!</v>
      </c>
    </row>
    <row r="917" spans="1:19" ht="15" x14ac:dyDescent="0.2">
      <c r="A917" s="2">
        <v>914</v>
      </c>
      <c r="B917" s="14">
        <v>350809081</v>
      </c>
      <c r="C917" s="14" t="s">
        <v>3349</v>
      </c>
      <c r="D917" s="14" t="s">
        <v>17</v>
      </c>
      <c r="E917" s="18" t="s">
        <v>2463</v>
      </c>
      <c r="F917" s="18" t="s">
        <v>427</v>
      </c>
      <c r="G917" s="18" t="s">
        <v>3121</v>
      </c>
      <c r="H917" s="18" t="s">
        <v>3086</v>
      </c>
      <c r="I917" s="19" t="s">
        <v>3350</v>
      </c>
      <c r="J917" s="19" t="s">
        <v>3351</v>
      </c>
      <c r="K917" s="20" t="s">
        <v>17</v>
      </c>
      <c r="L917" s="18" t="s">
        <v>2892</v>
      </c>
      <c r="M917" s="2" t="s">
        <v>15</v>
      </c>
      <c r="N917" s="2" t="s">
        <v>17</v>
      </c>
      <c r="O917" s="2" t="s">
        <v>17</v>
      </c>
      <c r="P917" s="2" t="s">
        <v>17</v>
      </c>
      <c r="S917" s="13" t="e">
        <f t="shared" si="1"/>
        <v>#VALUE!</v>
      </c>
    </row>
    <row r="918" spans="1:19" ht="15" x14ac:dyDescent="0.2">
      <c r="A918" s="2">
        <v>915</v>
      </c>
      <c r="B918" s="14">
        <v>350809082</v>
      </c>
      <c r="C918" s="14" t="s">
        <v>108</v>
      </c>
      <c r="D918" s="14" t="s">
        <v>17</v>
      </c>
      <c r="E918" s="18" t="s">
        <v>2463</v>
      </c>
      <c r="F918" s="18" t="s">
        <v>3352</v>
      </c>
      <c r="G918" s="18" t="s">
        <v>3133</v>
      </c>
      <c r="H918" s="18" t="s">
        <v>3086</v>
      </c>
      <c r="I918" s="19" t="s">
        <v>3353</v>
      </c>
      <c r="J918" s="19" t="s">
        <v>3354</v>
      </c>
      <c r="K918" s="20" t="s">
        <v>17</v>
      </c>
      <c r="L918" s="18" t="s">
        <v>2892</v>
      </c>
      <c r="M918" s="2" t="s">
        <v>15</v>
      </c>
      <c r="N918" s="2" t="s">
        <v>17</v>
      </c>
      <c r="O918" s="2" t="s">
        <v>17</v>
      </c>
      <c r="P918" s="2" t="s">
        <v>17</v>
      </c>
      <c r="S918" s="13" t="e">
        <f t="shared" si="1"/>
        <v>#VALUE!</v>
      </c>
    </row>
    <row r="919" spans="1:19" ht="15" x14ac:dyDescent="0.2">
      <c r="A919" s="2">
        <v>916</v>
      </c>
      <c r="B919" s="14">
        <v>350809083</v>
      </c>
      <c r="C919" s="14" t="s">
        <v>3355</v>
      </c>
      <c r="D919" s="14" t="s">
        <v>17</v>
      </c>
      <c r="E919" s="18" t="s">
        <v>2463</v>
      </c>
      <c r="F919" s="18" t="s">
        <v>3356</v>
      </c>
      <c r="G919" s="18" t="s">
        <v>2721</v>
      </c>
      <c r="H919" s="18" t="s">
        <v>3086</v>
      </c>
      <c r="I919" s="19" t="s">
        <v>3357</v>
      </c>
      <c r="J919" s="19" t="s">
        <v>3358</v>
      </c>
      <c r="K919" s="20" t="s">
        <v>17</v>
      </c>
      <c r="L919" s="18" t="s">
        <v>2892</v>
      </c>
      <c r="M919" s="2" t="s">
        <v>15</v>
      </c>
      <c r="N919" s="2" t="s">
        <v>17</v>
      </c>
      <c r="O919" s="2" t="s">
        <v>17</v>
      </c>
      <c r="P919" s="2" t="s">
        <v>17</v>
      </c>
      <c r="S919" s="13" t="e">
        <f t="shared" si="1"/>
        <v>#VALUE!</v>
      </c>
    </row>
    <row r="920" spans="1:19" ht="15" x14ac:dyDescent="0.2">
      <c r="A920" s="2">
        <v>917</v>
      </c>
      <c r="B920" s="21">
        <v>350926001</v>
      </c>
      <c r="C920" s="21" t="s">
        <v>3359</v>
      </c>
      <c r="D920" s="21" t="s">
        <v>17</v>
      </c>
      <c r="E920" s="22" t="s">
        <v>3360</v>
      </c>
      <c r="F920" s="22" t="s">
        <v>3361</v>
      </c>
      <c r="G920" s="22" t="s">
        <v>3361</v>
      </c>
      <c r="H920" s="22" t="s">
        <v>3362</v>
      </c>
      <c r="I920" s="23" t="s">
        <v>3363</v>
      </c>
      <c r="J920" s="23" t="s">
        <v>3364</v>
      </c>
      <c r="K920" s="24" t="s">
        <v>17</v>
      </c>
      <c r="L920" s="22" t="s">
        <v>3365</v>
      </c>
      <c r="M920" s="2" t="s">
        <v>15</v>
      </c>
      <c r="N920" s="2" t="s">
        <v>17</v>
      </c>
      <c r="O920" s="2" t="s">
        <v>17</v>
      </c>
      <c r="P920" s="2" t="s">
        <v>17</v>
      </c>
      <c r="S920" s="13" t="e">
        <f t="shared" si="1"/>
        <v>#VALUE!</v>
      </c>
    </row>
    <row r="921" spans="1:19" ht="15" x14ac:dyDescent="0.2">
      <c r="A921" s="2">
        <v>918</v>
      </c>
      <c r="B921" s="14">
        <v>350926002</v>
      </c>
      <c r="C921" s="14" t="s">
        <v>3366</v>
      </c>
      <c r="D921" s="14" t="s">
        <v>17</v>
      </c>
      <c r="E921" s="18" t="s">
        <v>3360</v>
      </c>
      <c r="F921" s="18" t="s">
        <v>3366</v>
      </c>
      <c r="G921" s="18" t="s">
        <v>3366</v>
      </c>
      <c r="H921" s="18" t="s">
        <v>3362</v>
      </c>
      <c r="I921" s="25" t="s">
        <v>3367</v>
      </c>
      <c r="J921" s="25" t="s">
        <v>3368</v>
      </c>
      <c r="K921" s="20" t="s">
        <v>17</v>
      </c>
      <c r="L921" s="18" t="s">
        <v>3365</v>
      </c>
      <c r="M921" s="2" t="s">
        <v>15</v>
      </c>
      <c r="N921" s="2" t="s">
        <v>17</v>
      </c>
      <c r="O921" s="2" t="s">
        <v>17</v>
      </c>
      <c r="P921" s="2" t="s">
        <v>17</v>
      </c>
      <c r="S921" s="13" t="e">
        <f t="shared" si="1"/>
        <v>#VALUE!</v>
      </c>
    </row>
    <row r="922" spans="1:19" ht="15" x14ac:dyDescent="0.2">
      <c r="A922" s="2">
        <v>919</v>
      </c>
      <c r="B922" s="14">
        <v>350926003</v>
      </c>
      <c r="C922" s="14" t="s">
        <v>3369</v>
      </c>
      <c r="D922" s="14" t="s">
        <v>17</v>
      </c>
      <c r="E922" s="18" t="s">
        <v>3360</v>
      </c>
      <c r="F922" s="18" t="s">
        <v>3370</v>
      </c>
      <c r="G922" s="18" t="s">
        <v>3370</v>
      </c>
      <c r="H922" s="18" t="s">
        <v>3362</v>
      </c>
      <c r="I922" s="26" t="s">
        <v>3371</v>
      </c>
      <c r="J922" s="26" t="s">
        <v>3372</v>
      </c>
      <c r="K922" s="20" t="s">
        <v>17</v>
      </c>
      <c r="L922" s="18" t="s">
        <v>3365</v>
      </c>
      <c r="M922" s="2" t="s">
        <v>15</v>
      </c>
      <c r="N922" s="2" t="s">
        <v>17</v>
      </c>
      <c r="O922" s="2" t="s">
        <v>17</v>
      </c>
      <c r="P922" s="2" t="s">
        <v>17</v>
      </c>
      <c r="S922" s="13" t="e">
        <f t="shared" si="1"/>
        <v>#VALUE!</v>
      </c>
    </row>
    <row r="923" spans="1:19" ht="15" x14ac:dyDescent="0.2">
      <c r="A923" s="2">
        <v>920</v>
      </c>
      <c r="B923" s="14">
        <v>350926004</v>
      </c>
      <c r="C923" s="14" t="s">
        <v>2231</v>
      </c>
      <c r="D923" s="14" t="s">
        <v>17</v>
      </c>
      <c r="E923" s="18" t="s">
        <v>3360</v>
      </c>
      <c r="F923" s="18" t="s">
        <v>2231</v>
      </c>
      <c r="G923" s="18" t="s">
        <v>2231</v>
      </c>
      <c r="H923" s="18" t="s">
        <v>3362</v>
      </c>
      <c r="I923" s="19" t="s">
        <v>3373</v>
      </c>
      <c r="J923" s="19" t="s">
        <v>3374</v>
      </c>
      <c r="K923" s="20" t="s">
        <v>17</v>
      </c>
      <c r="L923" s="18" t="s">
        <v>3365</v>
      </c>
      <c r="M923" s="2" t="s">
        <v>15</v>
      </c>
      <c r="N923" s="2" t="s">
        <v>17</v>
      </c>
      <c r="O923" s="2" t="s">
        <v>17</v>
      </c>
      <c r="P923" s="2" t="s">
        <v>17</v>
      </c>
      <c r="S923" s="13" t="e">
        <f t="shared" si="1"/>
        <v>#VALUE!</v>
      </c>
    </row>
    <row r="924" spans="1:19" x14ac:dyDescent="0.2">
      <c r="A924" s="2">
        <v>921</v>
      </c>
      <c r="B924" s="2">
        <v>350926005</v>
      </c>
      <c r="C924" s="2" t="s">
        <v>3375</v>
      </c>
      <c r="D924" s="2" t="s">
        <v>17</v>
      </c>
      <c r="E924" s="2" t="s">
        <v>3360</v>
      </c>
      <c r="F924" s="2" t="s">
        <v>3375</v>
      </c>
      <c r="G924" s="2" t="s">
        <v>3375</v>
      </c>
      <c r="H924" s="2" t="s">
        <v>3362</v>
      </c>
      <c r="I924" s="27" t="s">
        <v>3376</v>
      </c>
      <c r="J924" s="27" t="s">
        <v>3377</v>
      </c>
      <c r="K924" s="2" t="s">
        <v>17</v>
      </c>
      <c r="L924" s="2" t="s">
        <v>3365</v>
      </c>
      <c r="M924" s="2" t="s">
        <v>15</v>
      </c>
      <c r="N924" s="2" t="s">
        <v>17</v>
      </c>
      <c r="O924" s="2" t="s">
        <v>17</v>
      </c>
      <c r="P924" s="2" t="s">
        <v>17</v>
      </c>
    </row>
    <row r="925" spans="1:19" x14ac:dyDescent="0.2">
      <c r="A925" s="2">
        <v>922</v>
      </c>
      <c r="B925" s="2">
        <v>350926006</v>
      </c>
      <c r="C925" s="2" t="s">
        <v>3378</v>
      </c>
      <c r="D925" s="2" t="s">
        <v>17</v>
      </c>
      <c r="E925" s="2" t="s">
        <v>3360</v>
      </c>
      <c r="F925" s="2" t="s">
        <v>3379</v>
      </c>
      <c r="G925" s="2" t="s">
        <v>3379</v>
      </c>
      <c r="H925" s="2" t="s">
        <v>3362</v>
      </c>
      <c r="I925" s="27" t="s">
        <v>3380</v>
      </c>
      <c r="J925" s="27" t="s">
        <v>3381</v>
      </c>
      <c r="K925" s="2" t="s">
        <v>17</v>
      </c>
      <c r="L925" s="2" t="s">
        <v>3365</v>
      </c>
      <c r="M925" s="2" t="s">
        <v>15</v>
      </c>
      <c r="N925" s="2" t="s">
        <v>17</v>
      </c>
      <c r="O925" s="2" t="s">
        <v>17</v>
      </c>
      <c r="P925" s="2" t="s">
        <v>17</v>
      </c>
    </row>
    <row r="926" spans="1:19" x14ac:dyDescent="0.2">
      <c r="A926" s="2">
        <v>923</v>
      </c>
      <c r="B926" s="2">
        <v>350926007</v>
      </c>
      <c r="C926" s="2" t="s">
        <v>3382</v>
      </c>
      <c r="D926" s="2" t="s">
        <v>17</v>
      </c>
      <c r="E926" s="2" t="s">
        <v>3360</v>
      </c>
      <c r="F926" s="2" t="s">
        <v>3382</v>
      </c>
      <c r="G926" s="2" t="s">
        <v>3382</v>
      </c>
      <c r="H926" s="2" t="s">
        <v>3362</v>
      </c>
      <c r="I926" s="27" t="s">
        <v>3383</v>
      </c>
      <c r="J926" s="27" t="s">
        <v>3384</v>
      </c>
      <c r="K926" s="2" t="s">
        <v>17</v>
      </c>
      <c r="L926" s="2" t="s">
        <v>3365</v>
      </c>
      <c r="M926" s="2" t="s">
        <v>15</v>
      </c>
      <c r="N926" s="2" t="s">
        <v>17</v>
      </c>
      <c r="O926" s="2" t="s">
        <v>17</v>
      </c>
      <c r="P926" s="2" t="s">
        <v>17</v>
      </c>
    </row>
    <row r="927" spans="1:19" x14ac:dyDescent="0.2">
      <c r="A927" s="2">
        <v>924</v>
      </c>
      <c r="B927" s="2">
        <v>350926008</v>
      </c>
      <c r="C927" s="2" t="s">
        <v>3385</v>
      </c>
      <c r="D927" s="2" t="s">
        <v>17</v>
      </c>
      <c r="E927" s="2" t="s">
        <v>3360</v>
      </c>
      <c r="F927" s="2" t="s">
        <v>3385</v>
      </c>
      <c r="G927" s="2" t="s">
        <v>3385</v>
      </c>
      <c r="H927" s="2" t="s">
        <v>3362</v>
      </c>
      <c r="I927" s="27" t="s">
        <v>3386</v>
      </c>
      <c r="J927" s="27" t="s">
        <v>3387</v>
      </c>
      <c r="K927" s="2" t="s">
        <v>17</v>
      </c>
      <c r="L927" s="2" t="s">
        <v>3365</v>
      </c>
      <c r="M927" s="2" t="s">
        <v>15</v>
      </c>
      <c r="N927" s="2" t="s">
        <v>17</v>
      </c>
      <c r="O927" s="2" t="s">
        <v>17</v>
      </c>
      <c r="P927" s="2" t="s">
        <v>17</v>
      </c>
    </row>
    <row r="928" spans="1:19" x14ac:dyDescent="0.2">
      <c r="A928" s="2">
        <v>925</v>
      </c>
      <c r="B928" s="2">
        <v>350926009</v>
      </c>
      <c r="C928" s="2" t="s">
        <v>3388</v>
      </c>
      <c r="D928" s="2" t="s">
        <v>17</v>
      </c>
      <c r="E928" s="2" t="s">
        <v>3360</v>
      </c>
      <c r="F928" s="2" t="s">
        <v>3388</v>
      </c>
      <c r="G928" s="2" t="s">
        <v>3388</v>
      </c>
      <c r="H928" s="2" t="s">
        <v>3362</v>
      </c>
      <c r="I928" s="27" t="s">
        <v>3389</v>
      </c>
      <c r="J928" s="27" t="s">
        <v>3390</v>
      </c>
      <c r="K928" s="2" t="s">
        <v>17</v>
      </c>
      <c r="L928" s="2" t="s">
        <v>3365</v>
      </c>
      <c r="M928" s="2" t="s">
        <v>15</v>
      </c>
      <c r="N928" s="2" t="s">
        <v>17</v>
      </c>
      <c r="O928" s="2" t="s">
        <v>17</v>
      </c>
      <c r="P928" s="2" t="s">
        <v>17</v>
      </c>
    </row>
    <row r="929" spans="1:16" x14ac:dyDescent="0.2">
      <c r="A929" s="2">
        <v>926</v>
      </c>
      <c r="B929" s="2">
        <v>350926010</v>
      </c>
      <c r="C929" s="2" t="s">
        <v>3391</v>
      </c>
      <c r="D929" s="2" t="s">
        <v>17</v>
      </c>
      <c r="E929" s="2" t="s">
        <v>3360</v>
      </c>
      <c r="F929" s="2" t="s">
        <v>3391</v>
      </c>
      <c r="G929" s="2" t="s">
        <v>3391</v>
      </c>
      <c r="H929" s="2" t="s">
        <v>3362</v>
      </c>
      <c r="I929" s="27" t="s">
        <v>3392</v>
      </c>
      <c r="J929" s="27" t="s">
        <v>3393</v>
      </c>
      <c r="K929" s="2" t="s">
        <v>17</v>
      </c>
      <c r="L929" s="2" t="s">
        <v>3365</v>
      </c>
      <c r="M929" s="2" t="s">
        <v>15</v>
      </c>
      <c r="N929" s="2" t="s">
        <v>17</v>
      </c>
      <c r="O929" s="2" t="s">
        <v>17</v>
      </c>
      <c r="P929" s="2" t="s">
        <v>17</v>
      </c>
    </row>
    <row r="930" spans="1:16" x14ac:dyDescent="0.2">
      <c r="A930" s="2">
        <v>927</v>
      </c>
      <c r="B930" s="2">
        <v>350926011</v>
      </c>
      <c r="C930" s="2" t="s">
        <v>3394</v>
      </c>
      <c r="D930" s="2" t="s">
        <v>17</v>
      </c>
      <c r="E930" s="2" t="s">
        <v>3360</v>
      </c>
      <c r="F930" s="2" t="s">
        <v>3394</v>
      </c>
      <c r="G930" s="2" t="s">
        <v>3394</v>
      </c>
      <c r="H930" s="2" t="s">
        <v>3362</v>
      </c>
      <c r="I930" s="27" t="s">
        <v>3395</v>
      </c>
      <c r="J930" s="27" t="s">
        <v>3396</v>
      </c>
      <c r="K930" s="2" t="s">
        <v>17</v>
      </c>
      <c r="L930" s="2" t="s">
        <v>3365</v>
      </c>
      <c r="M930" s="2" t="s">
        <v>15</v>
      </c>
      <c r="N930" s="2" t="s">
        <v>17</v>
      </c>
      <c r="O930" s="2" t="s">
        <v>17</v>
      </c>
      <c r="P930" s="2" t="s">
        <v>17</v>
      </c>
    </row>
    <row r="931" spans="1:16" x14ac:dyDescent="0.2">
      <c r="A931" s="2">
        <v>928</v>
      </c>
      <c r="B931" s="2">
        <v>350926012</v>
      </c>
      <c r="C931" s="2" t="s">
        <v>3397</v>
      </c>
      <c r="D931" s="2" t="s">
        <v>17</v>
      </c>
      <c r="E931" s="2" t="s">
        <v>3360</v>
      </c>
      <c r="F931" s="2" t="s">
        <v>3397</v>
      </c>
      <c r="G931" s="2" t="s">
        <v>3397</v>
      </c>
      <c r="H931" s="2" t="s">
        <v>3362</v>
      </c>
      <c r="I931" s="27" t="s">
        <v>3398</v>
      </c>
      <c r="J931" s="27" t="s">
        <v>3399</v>
      </c>
      <c r="K931" s="2" t="s">
        <v>17</v>
      </c>
      <c r="L931" s="2" t="s">
        <v>3365</v>
      </c>
      <c r="M931" s="2" t="s">
        <v>15</v>
      </c>
      <c r="N931" s="2" t="s">
        <v>17</v>
      </c>
      <c r="O931" s="2" t="s">
        <v>17</v>
      </c>
      <c r="P931" s="2" t="s">
        <v>17</v>
      </c>
    </row>
    <row r="932" spans="1:16" x14ac:dyDescent="0.2">
      <c r="A932" s="2">
        <v>929</v>
      </c>
      <c r="B932" s="2">
        <v>350926013</v>
      </c>
      <c r="C932" s="2" t="s">
        <v>3400</v>
      </c>
      <c r="D932" s="2" t="s">
        <v>17</v>
      </c>
      <c r="E932" s="2" t="s">
        <v>3360</v>
      </c>
      <c r="F932" s="2" t="s">
        <v>3400</v>
      </c>
      <c r="G932" s="2" t="s">
        <v>3401</v>
      </c>
      <c r="H932" s="2" t="s">
        <v>3362</v>
      </c>
      <c r="I932" s="27" t="s">
        <v>3402</v>
      </c>
      <c r="J932" s="27" t="s">
        <v>3403</v>
      </c>
      <c r="K932" s="2" t="s">
        <v>17</v>
      </c>
      <c r="L932" s="2" t="s">
        <v>3365</v>
      </c>
      <c r="M932" s="2" t="s">
        <v>15</v>
      </c>
      <c r="N932" s="2" t="s">
        <v>17</v>
      </c>
      <c r="O932" s="2" t="s">
        <v>17</v>
      </c>
      <c r="P932" s="2" t="s">
        <v>17</v>
      </c>
    </row>
    <row r="933" spans="1:16" x14ac:dyDescent="0.2">
      <c r="A933" s="2">
        <v>930</v>
      </c>
      <c r="B933" s="2">
        <v>350926014</v>
      </c>
      <c r="C933" s="2" t="s">
        <v>3404</v>
      </c>
      <c r="D933" s="2" t="s">
        <v>17</v>
      </c>
      <c r="E933" s="2" t="s">
        <v>3360</v>
      </c>
      <c r="F933" s="2" t="s">
        <v>3405</v>
      </c>
      <c r="G933" s="2" t="s">
        <v>3405</v>
      </c>
      <c r="H933" s="2" t="s">
        <v>3362</v>
      </c>
      <c r="I933" s="27" t="s">
        <v>3406</v>
      </c>
      <c r="J933" s="27" t="s">
        <v>3407</v>
      </c>
      <c r="K933" s="2" t="s">
        <v>17</v>
      </c>
      <c r="L933" s="2" t="s">
        <v>3365</v>
      </c>
      <c r="M933" s="2" t="s">
        <v>15</v>
      </c>
      <c r="N933" s="2" t="s">
        <v>17</v>
      </c>
      <c r="O933" s="2" t="s">
        <v>17</v>
      </c>
      <c r="P933" s="2" t="s">
        <v>17</v>
      </c>
    </row>
    <row r="934" spans="1:16" x14ac:dyDescent="0.2">
      <c r="A934" s="2">
        <v>931</v>
      </c>
      <c r="B934" s="2">
        <v>350926015</v>
      </c>
      <c r="C934" s="2" t="s">
        <v>3408</v>
      </c>
      <c r="D934" s="2" t="s">
        <v>17</v>
      </c>
      <c r="E934" s="2" t="s">
        <v>3360</v>
      </c>
      <c r="F934" s="2" t="s">
        <v>3408</v>
      </c>
      <c r="G934" s="2" t="s">
        <v>3408</v>
      </c>
      <c r="H934" s="2" t="s">
        <v>3362</v>
      </c>
      <c r="I934" s="27" t="s">
        <v>3409</v>
      </c>
      <c r="J934" s="27" t="s">
        <v>3410</v>
      </c>
      <c r="K934" s="2" t="s">
        <v>17</v>
      </c>
      <c r="L934" s="2" t="s">
        <v>3365</v>
      </c>
      <c r="M934" s="2" t="s">
        <v>15</v>
      </c>
      <c r="N934" s="2" t="s">
        <v>17</v>
      </c>
      <c r="O934" s="2" t="s">
        <v>17</v>
      </c>
      <c r="P934" s="2" t="s">
        <v>17</v>
      </c>
    </row>
    <row r="935" spans="1:16" x14ac:dyDescent="0.2">
      <c r="A935" s="2">
        <v>932</v>
      </c>
      <c r="B935" s="2">
        <v>350926016</v>
      </c>
      <c r="C935" s="2" t="s">
        <v>3411</v>
      </c>
      <c r="D935" s="2" t="s">
        <v>17</v>
      </c>
      <c r="E935" s="2" t="s">
        <v>3360</v>
      </c>
      <c r="F935" s="2" t="s">
        <v>3411</v>
      </c>
      <c r="G935" s="2" t="s">
        <v>3370</v>
      </c>
      <c r="H935" s="2" t="s">
        <v>3362</v>
      </c>
      <c r="I935" s="27" t="s">
        <v>3412</v>
      </c>
      <c r="J935" s="27" t="s">
        <v>3413</v>
      </c>
      <c r="K935" s="2" t="s">
        <v>17</v>
      </c>
      <c r="L935" s="2" t="s">
        <v>3365</v>
      </c>
      <c r="M935" s="2" t="s">
        <v>15</v>
      </c>
      <c r="N935" s="2" t="s">
        <v>17</v>
      </c>
      <c r="O935" s="2" t="s">
        <v>17</v>
      </c>
      <c r="P935" s="2" t="s">
        <v>17</v>
      </c>
    </row>
    <row r="936" spans="1:16" x14ac:dyDescent="0.2">
      <c r="A936" s="2">
        <v>933</v>
      </c>
      <c r="B936" s="2">
        <v>350926017</v>
      </c>
      <c r="C936" s="2" t="s">
        <v>3414</v>
      </c>
      <c r="D936" s="2" t="s">
        <v>17</v>
      </c>
      <c r="E936" s="2" t="s">
        <v>3360</v>
      </c>
      <c r="F936" s="2" t="s">
        <v>3414</v>
      </c>
      <c r="G936" s="2" t="s">
        <v>3414</v>
      </c>
      <c r="H936" s="2" t="s">
        <v>3362</v>
      </c>
      <c r="I936" s="27" t="s">
        <v>3415</v>
      </c>
      <c r="J936" s="27" t="s">
        <v>3416</v>
      </c>
      <c r="K936" s="2" t="s">
        <v>17</v>
      </c>
      <c r="L936" s="2" t="s">
        <v>3365</v>
      </c>
      <c r="M936" s="2" t="s">
        <v>15</v>
      </c>
      <c r="N936" s="2" t="s">
        <v>17</v>
      </c>
      <c r="O936" s="2" t="s">
        <v>17</v>
      </c>
      <c r="P936" s="2" t="s">
        <v>17</v>
      </c>
    </row>
    <row r="937" spans="1:16" x14ac:dyDescent="0.2">
      <c r="A937" s="2">
        <v>934</v>
      </c>
      <c r="B937" s="2">
        <v>350926018</v>
      </c>
      <c r="C937" s="2" t="s">
        <v>3362</v>
      </c>
      <c r="D937" s="2" t="s">
        <v>17</v>
      </c>
      <c r="E937" s="2" t="s">
        <v>3360</v>
      </c>
      <c r="F937" s="2" t="s">
        <v>3362</v>
      </c>
      <c r="G937" s="2" t="s">
        <v>3362</v>
      </c>
      <c r="H937" s="2" t="s">
        <v>3362</v>
      </c>
      <c r="I937" s="27" t="s">
        <v>3417</v>
      </c>
      <c r="J937" s="27" t="s">
        <v>3418</v>
      </c>
      <c r="K937" s="2" t="s">
        <v>17</v>
      </c>
      <c r="L937" s="2" t="s">
        <v>3365</v>
      </c>
      <c r="M937" s="2" t="s">
        <v>15</v>
      </c>
      <c r="N937" s="2" t="s">
        <v>17</v>
      </c>
      <c r="O937" s="2" t="s">
        <v>17</v>
      </c>
      <c r="P937" s="2" t="s">
        <v>17</v>
      </c>
    </row>
    <row r="938" spans="1:16" x14ac:dyDescent="0.2">
      <c r="A938" s="2">
        <v>935</v>
      </c>
      <c r="B938" s="2">
        <v>350926019</v>
      </c>
      <c r="C938" s="2" t="s">
        <v>3419</v>
      </c>
      <c r="D938" s="2" t="s">
        <v>17</v>
      </c>
      <c r="E938" s="2" t="s">
        <v>3360</v>
      </c>
      <c r="F938" s="2" t="s">
        <v>3419</v>
      </c>
      <c r="G938" s="2" t="s">
        <v>3419</v>
      </c>
      <c r="H938" s="2" t="s">
        <v>3362</v>
      </c>
      <c r="I938" s="27" t="s">
        <v>3420</v>
      </c>
      <c r="J938" s="27" t="s">
        <v>3421</v>
      </c>
      <c r="K938" s="2" t="s">
        <v>17</v>
      </c>
      <c r="L938" s="2" t="s">
        <v>3365</v>
      </c>
      <c r="M938" s="2" t="s">
        <v>15</v>
      </c>
      <c r="N938" s="2" t="s">
        <v>17</v>
      </c>
      <c r="O938" s="2" t="s">
        <v>17</v>
      </c>
      <c r="P938" s="2" t="s">
        <v>17</v>
      </c>
    </row>
    <row r="939" spans="1:16" x14ac:dyDescent="0.2">
      <c r="A939" s="2">
        <v>936</v>
      </c>
      <c r="B939" s="2">
        <v>350927001</v>
      </c>
      <c r="C939" s="2" t="s">
        <v>3422</v>
      </c>
      <c r="D939" s="2" t="s">
        <v>17</v>
      </c>
      <c r="E939" s="2" t="s">
        <v>3360</v>
      </c>
      <c r="F939" s="2" t="s">
        <v>3422</v>
      </c>
      <c r="G939" s="2" t="s">
        <v>3422</v>
      </c>
      <c r="H939" s="2" t="s">
        <v>3423</v>
      </c>
      <c r="I939" s="27" t="s">
        <v>3424</v>
      </c>
      <c r="J939" s="27" t="s">
        <v>3425</v>
      </c>
      <c r="K939" s="2" t="s">
        <v>17</v>
      </c>
      <c r="L939" s="2" t="s">
        <v>3365</v>
      </c>
      <c r="M939" s="2" t="s">
        <v>15</v>
      </c>
      <c r="N939" s="2" t="s">
        <v>17</v>
      </c>
      <c r="O939" s="2" t="s">
        <v>17</v>
      </c>
      <c r="P939" s="2" t="s">
        <v>17</v>
      </c>
    </row>
    <row r="940" spans="1:16" x14ac:dyDescent="0.2">
      <c r="A940" s="2">
        <v>937</v>
      </c>
      <c r="B940" s="2">
        <v>350927002</v>
      </c>
      <c r="C940" s="2" t="s">
        <v>3426</v>
      </c>
      <c r="D940" s="2" t="s">
        <v>17</v>
      </c>
      <c r="E940" s="2" t="s">
        <v>3360</v>
      </c>
      <c r="F940" s="2" t="s">
        <v>3426</v>
      </c>
      <c r="G940" s="2" t="s">
        <v>3426</v>
      </c>
      <c r="H940" s="2" t="s">
        <v>3423</v>
      </c>
      <c r="I940" s="27" t="s">
        <v>3427</v>
      </c>
      <c r="J940" s="27" t="s">
        <v>3428</v>
      </c>
      <c r="K940" s="2" t="s">
        <v>17</v>
      </c>
      <c r="L940" s="2" t="s">
        <v>3365</v>
      </c>
      <c r="M940" s="2" t="s">
        <v>15</v>
      </c>
      <c r="N940" s="2" t="s">
        <v>17</v>
      </c>
      <c r="O940" s="2" t="s">
        <v>17</v>
      </c>
      <c r="P940" s="2" t="s">
        <v>17</v>
      </c>
    </row>
    <row r="941" spans="1:16" x14ac:dyDescent="0.2">
      <c r="A941" s="2">
        <v>938</v>
      </c>
      <c r="B941" s="2">
        <v>350927003</v>
      </c>
      <c r="C941" s="2" t="s">
        <v>3429</v>
      </c>
      <c r="D941" s="2" t="s">
        <v>17</v>
      </c>
      <c r="E941" s="2" t="s">
        <v>3360</v>
      </c>
      <c r="F941" s="2" t="s">
        <v>3429</v>
      </c>
      <c r="G941" s="2" t="s">
        <v>3429</v>
      </c>
      <c r="H941" s="2" t="s">
        <v>3423</v>
      </c>
      <c r="I941" s="27" t="s">
        <v>3430</v>
      </c>
      <c r="J941" s="27" t="s">
        <v>3431</v>
      </c>
      <c r="K941" s="2" t="s">
        <v>17</v>
      </c>
      <c r="L941" s="2" t="s">
        <v>3365</v>
      </c>
      <c r="M941" s="2" t="s">
        <v>15</v>
      </c>
      <c r="N941" s="2" t="s">
        <v>17</v>
      </c>
      <c r="O941" s="2" t="s">
        <v>17</v>
      </c>
      <c r="P941" s="2" t="s">
        <v>17</v>
      </c>
    </row>
    <row r="942" spans="1:16" x14ac:dyDescent="0.2">
      <c r="A942" s="2">
        <v>939</v>
      </c>
      <c r="B942" s="2">
        <v>350927004</v>
      </c>
      <c r="C942" s="2" t="s">
        <v>3432</v>
      </c>
      <c r="D942" s="2" t="s">
        <v>17</v>
      </c>
      <c r="E942" s="2" t="s">
        <v>3360</v>
      </c>
      <c r="F942" s="2" t="s">
        <v>3432</v>
      </c>
      <c r="G942" s="2" t="s">
        <v>3432</v>
      </c>
      <c r="H942" s="2" t="s">
        <v>3423</v>
      </c>
      <c r="I942" s="27" t="s">
        <v>3433</v>
      </c>
      <c r="J942" s="27" t="s">
        <v>3434</v>
      </c>
      <c r="K942" s="2" t="s">
        <v>17</v>
      </c>
      <c r="L942" s="2" t="s">
        <v>3365</v>
      </c>
      <c r="M942" s="2" t="s">
        <v>15</v>
      </c>
      <c r="N942" s="2" t="s">
        <v>17</v>
      </c>
      <c r="O942" s="2" t="s">
        <v>17</v>
      </c>
      <c r="P942" s="2" t="s">
        <v>17</v>
      </c>
    </row>
    <row r="943" spans="1:16" x14ac:dyDescent="0.2">
      <c r="A943" s="2">
        <v>940</v>
      </c>
      <c r="B943" s="2">
        <v>350927005</v>
      </c>
      <c r="C943" s="2" t="s">
        <v>3435</v>
      </c>
      <c r="D943" s="2" t="s">
        <v>17</v>
      </c>
      <c r="E943" s="2" t="s">
        <v>3360</v>
      </c>
      <c r="F943" s="2" t="s">
        <v>3435</v>
      </c>
      <c r="G943" s="2" t="s">
        <v>3435</v>
      </c>
      <c r="H943" s="2" t="s">
        <v>3423</v>
      </c>
      <c r="I943" s="27" t="s">
        <v>3436</v>
      </c>
      <c r="J943" s="27" t="s">
        <v>3437</v>
      </c>
      <c r="K943" s="2" t="s">
        <v>17</v>
      </c>
      <c r="L943" s="2" t="s">
        <v>3365</v>
      </c>
      <c r="M943" s="2" t="s">
        <v>15</v>
      </c>
      <c r="N943" s="2" t="s">
        <v>17</v>
      </c>
      <c r="O943" s="2" t="s">
        <v>17</v>
      </c>
      <c r="P943" s="2" t="s">
        <v>17</v>
      </c>
    </row>
    <row r="944" spans="1:16" x14ac:dyDescent="0.2">
      <c r="A944" s="2">
        <v>941</v>
      </c>
      <c r="B944" s="2">
        <v>350927006</v>
      </c>
      <c r="C944" s="2" t="s">
        <v>3438</v>
      </c>
      <c r="D944" s="2" t="s">
        <v>17</v>
      </c>
      <c r="E944" s="2" t="s">
        <v>3360</v>
      </c>
      <c r="F944" s="2" t="s">
        <v>3438</v>
      </c>
      <c r="G944" s="2" t="s">
        <v>3439</v>
      </c>
      <c r="H944" s="2" t="s">
        <v>3423</v>
      </c>
      <c r="I944" s="27" t="s">
        <v>3440</v>
      </c>
      <c r="J944" s="27" t="s">
        <v>3441</v>
      </c>
      <c r="K944" s="2" t="s">
        <v>17</v>
      </c>
      <c r="L944" s="2" t="s">
        <v>3365</v>
      </c>
      <c r="M944" s="2" t="s">
        <v>15</v>
      </c>
      <c r="N944" s="2" t="s">
        <v>17</v>
      </c>
      <c r="O944" s="2" t="s">
        <v>17</v>
      </c>
      <c r="P944" s="2" t="s">
        <v>17</v>
      </c>
    </row>
    <row r="945" spans="1:16" x14ac:dyDescent="0.2">
      <c r="A945" s="2">
        <v>942</v>
      </c>
      <c r="B945" s="2">
        <v>350927007</v>
      </c>
      <c r="C945" s="2" t="s">
        <v>3442</v>
      </c>
      <c r="D945" s="2" t="s">
        <v>17</v>
      </c>
      <c r="E945" s="2" t="s">
        <v>3360</v>
      </c>
      <c r="F945" s="2" t="s">
        <v>3443</v>
      </c>
      <c r="G945" s="2" t="s">
        <v>3422</v>
      </c>
      <c r="H945" s="2" t="s">
        <v>3423</v>
      </c>
      <c r="I945" s="27" t="s">
        <v>3444</v>
      </c>
      <c r="J945" s="27" t="s">
        <v>3445</v>
      </c>
      <c r="K945" s="2" t="s">
        <v>17</v>
      </c>
      <c r="L945" s="2" t="s">
        <v>3365</v>
      </c>
      <c r="M945" s="2" t="s">
        <v>15</v>
      </c>
      <c r="N945" s="2" t="s">
        <v>17</v>
      </c>
      <c r="O945" s="2" t="s">
        <v>17</v>
      </c>
      <c r="P945" s="2" t="s">
        <v>17</v>
      </c>
    </row>
    <row r="946" spans="1:16" x14ac:dyDescent="0.2">
      <c r="A946" s="2">
        <v>943</v>
      </c>
      <c r="B946" s="2">
        <v>350927008</v>
      </c>
      <c r="C946" s="2" t="s">
        <v>3446</v>
      </c>
      <c r="D946" s="2" t="s">
        <v>17</v>
      </c>
      <c r="E946" s="2" t="s">
        <v>3360</v>
      </c>
      <c r="F946" s="2" t="s">
        <v>3446</v>
      </c>
      <c r="G946" s="2" t="s">
        <v>3446</v>
      </c>
      <c r="H946" s="2" t="s">
        <v>3423</v>
      </c>
      <c r="I946" s="27" t="s">
        <v>3447</v>
      </c>
      <c r="J946" s="27" t="s">
        <v>3448</v>
      </c>
      <c r="K946" s="2" t="s">
        <v>17</v>
      </c>
      <c r="L946" s="2" t="s">
        <v>3365</v>
      </c>
      <c r="M946" s="2" t="s">
        <v>15</v>
      </c>
      <c r="N946" s="2" t="s">
        <v>17</v>
      </c>
      <c r="O946" s="2" t="s">
        <v>17</v>
      </c>
      <c r="P946" s="2" t="s">
        <v>17</v>
      </c>
    </row>
    <row r="947" spans="1:16" x14ac:dyDescent="0.2">
      <c r="A947" s="2">
        <v>944</v>
      </c>
      <c r="B947" s="2">
        <v>350927009</v>
      </c>
      <c r="C947" s="2" t="s">
        <v>3449</v>
      </c>
      <c r="D947" s="2" t="s">
        <v>17</v>
      </c>
      <c r="E947" s="2" t="s">
        <v>3360</v>
      </c>
      <c r="F947" s="2" t="s">
        <v>3449</v>
      </c>
      <c r="G947" s="2" t="s">
        <v>3449</v>
      </c>
      <c r="H947" s="2" t="s">
        <v>3423</v>
      </c>
      <c r="I947" s="27" t="s">
        <v>3450</v>
      </c>
      <c r="J947" s="27" t="s">
        <v>3451</v>
      </c>
      <c r="K947" s="2" t="s">
        <v>17</v>
      </c>
      <c r="L947" s="2" t="s">
        <v>3365</v>
      </c>
      <c r="M947" s="2" t="s">
        <v>15</v>
      </c>
      <c r="N947" s="2" t="s">
        <v>17</v>
      </c>
      <c r="O947" s="2" t="s">
        <v>17</v>
      </c>
      <c r="P947" s="2" t="s">
        <v>17</v>
      </c>
    </row>
    <row r="948" spans="1:16" x14ac:dyDescent="0.2">
      <c r="A948" s="2">
        <v>945</v>
      </c>
      <c r="B948" s="2">
        <v>350927010</v>
      </c>
      <c r="C948" s="2" t="s">
        <v>3423</v>
      </c>
      <c r="D948" s="2" t="s">
        <v>17</v>
      </c>
      <c r="E948" s="2" t="s">
        <v>3360</v>
      </c>
      <c r="F948" s="2" t="s">
        <v>3423</v>
      </c>
      <c r="G948" s="2" t="s">
        <v>3423</v>
      </c>
      <c r="H948" s="2" t="s">
        <v>3423</v>
      </c>
      <c r="I948" s="27" t="s">
        <v>3452</v>
      </c>
      <c r="J948" s="27" t="s">
        <v>3453</v>
      </c>
      <c r="K948" s="2" t="s">
        <v>17</v>
      </c>
      <c r="L948" s="2" t="s">
        <v>3365</v>
      </c>
      <c r="M948" s="2" t="s">
        <v>15</v>
      </c>
      <c r="N948" s="2" t="s">
        <v>17</v>
      </c>
      <c r="O948" s="2" t="s">
        <v>17</v>
      </c>
      <c r="P948" s="2" t="s">
        <v>17</v>
      </c>
    </row>
    <row r="949" spans="1:16" x14ac:dyDescent="0.2">
      <c r="A949" s="2">
        <v>946</v>
      </c>
      <c r="B949" s="2">
        <v>350927011</v>
      </c>
      <c r="C949" s="2" t="s">
        <v>3454</v>
      </c>
      <c r="D949" s="2" t="s">
        <v>17</v>
      </c>
      <c r="E949" s="2" t="s">
        <v>3360</v>
      </c>
      <c r="F949" s="2" t="s">
        <v>3454</v>
      </c>
      <c r="G949" s="2" t="s">
        <v>3454</v>
      </c>
      <c r="H949" s="2" t="s">
        <v>3423</v>
      </c>
      <c r="I949" s="27" t="s">
        <v>3455</v>
      </c>
      <c r="J949" s="27" t="s">
        <v>3456</v>
      </c>
      <c r="K949" s="2" t="s">
        <v>17</v>
      </c>
      <c r="L949" s="2" t="s">
        <v>3365</v>
      </c>
      <c r="M949" s="2" t="s">
        <v>15</v>
      </c>
      <c r="N949" s="2" t="s">
        <v>17</v>
      </c>
      <c r="O949" s="2" t="s">
        <v>17</v>
      </c>
      <c r="P949" s="2" t="s">
        <v>17</v>
      </c>
    </row>
    <row r="950" spans="1:16" x14ac:dyDescent="0.2">
      <c r="A950" s="2">
        <v>947</v>
      </c>
      <c r="B950" s="2">
        <v>350927012</v>
      </c>
      <c r="C950" s="2" t="s">
        <v>3457</v>
      </c>
      <c r="D950" s="2" t="s">
        <v>17</v>
      </c>
      <c r="E950" s="2" t="s">
        <v>3360</v>
      </c>
      <c r="F950" s="2" t="s">
        <v>3458</v>
      </c>
      <c r="G950" s="2" t="s">
        <v>3458</v>
      </c>
      <c r="H950" s="2" t="s">
        <v>3423</v>
      </c>
      <c r="I950" s="27" t="s">
        <v>3459</v>
      </c>
      <c r="J950" s="27" t="s">
        <v>3460</v>
      </c>
      <c r="K950" s="2" t="s">
        <v>17</v>
      </c>
      <c r="L950" s="2" t="s">
        <v>3365</v>
      </c>
      <c r="M950" s="2" t="s">
        <v>15</v>
      </c>
      <c r="N950" s="2" t="s">
        <v>17</v>
      </c>
      <c r="O950" s="2" t="s">
        <v>17</v>
      </c>
      <c r="P950" s="2" t="s">
        <v>17</v>
      </c>
    </row>
    <row r="951" spans="1:16" x14ac:dyDescent="0.2">
      <c r="A951" s="2">
        <v>948</v>
      </c>
      <c r="B951" s="2">
        <v>350927013</v>
      </c>
      <c r="C951" s="2" t="s">
        <v>3461</v>
      </c>
      <c r="D951" s="2" t="s">
        <v>17</v>
      </c>
      <c r="E951" s="2" t="s">
        <v>3360</v>
      </c>
      <c r="F951" s="2" t="s">
        <v>3461</v>
      </c>
      <c r="G951" s="2" t="s">
        <v>3461</v>
      </c>
      <c r="H951" s="2" t="s">
        <v>3423</v>
      </c>
      <c r="I951" s="27" t="s">
        <v>3462</v>
      </c>
      <c r="J951" s="27" t="s">
        <v>3463</v>
      </c>
      <c r="K951" s="2" t="s">
        <v>17</v>
      </c>
      <c r="L951" s="2" t="s">
        <v>3365</v>
      </c>
      <c r="M951" s="2" t="s">
        <v>15</v>
      </c>
      <c r="N951" s="2" t="s">
        <v>17</v>
      </c>
      <c r="O951" s="2" t="s">
        <v>17</v>
      </c>
      <c r="P951" s="2" t="s">
        <v>17</v>
      </c>
    </row>
    <row r="952" spans="1:16" x14ac:dyDescent="0.2">
      <c r="A952" s="2">
        <v>949</v>
      </c>
      <c r="B952" s="2">
        <v>350927014</v>
      </c>
      <c r="C952" s="2" t="s">
        <v>3464</v>
      </c>
      <c r="D952" s="2" t="s">
        <v>17</v>
      </c>
      <c r="E952" s="2" t="s">
        <v>3360</v>
      </c>
      <c r="F952" s="2" t="s">
        <v>3465</v>
      </c>
      <c r="G952" s="2" t="s">
        <v>3432</v>
      </c>
      <c r="H952" s="2" t="s">
        <v>3423</v>
      </c>
      <c r="I952" s="27" t="s">
        <v>3466</v>
      </c>
      <c r="J952" s="27" t="s">
        <v>3467</v>
      </c>
      <c r="K952" s="2" t="s">
        <v>17</v>
      </c>
      <c r="L952" s="2" t="s">
        <v>3365</v>
      </c>
      <c r="M952" s="2" t="s">
        <v>15</v>
      </c>
      <c r="N952" s="2" t="s">
        <v>17</v>
      </c>
      <c r="O952" s="2" t="s">
        <v>17</v>
      </c>
      <c r="P952" s="2" t="s">
        <v>17</v>
      </c>
    </row>
    <row r="953" spans="1:16" x14ac:dyDescent="0.2">
      <c r="A953" s="2">
        <v>950</v>
      </c>
      <c r="B953" s="2">
        <v>350928001</v>
      </c>
      <c r="C953" s="2" t="s">
        <v>3468</v>
      </c>
      <c r="D953" s="2" t="s">
        <v>17</v>
      </c>
      <c r="E953" s="2" t="s">
        <v>3360</v>
      </c>
      <c r="F953" s="2" t="s">
        <v>3468</v>
      </c>
      <c r="G953" s="2" t="s">
        <v>3468</v>
      </c>
      <c r="H953" s="2" t="s">
        <v>3469</v>
      </c>
      <c r="I953" s="27" t="s">
        <v>3470</v>
      </c>
      <c r="J953" s="27" t="s">
        <v>3471</v>
      </c>
      <c r="K953" s="2" t="s">
        <v>17</v>
      </c>
      <c r="L953" s="2" t="s">
        <v>3365</v>
      </c>
      <c r="M953" s="2" t="s">
        <v>15</v>
      </c>
      <c r="N953" s="2" t="s">
        <v>17</v>
      </c>
      <c r="O953" s="2" t="s">
        <v>17</v>
      </c>
      <c r="P953" s="2" t="s">
        <v>17</v>
      </c>
    </row>
    <row r="954" spans="1:16" x14ac:dyDescent="0.2">
      <c r="A954" s="2">
        <v>951</v>
      </c>
      <c r="B954" s="2">
        <v>350928002</v>
      </c>
      <c r="C954" s="2" t="s">
        <v>3472</v>
      </c>
      <c r="D954" s="2" t="s">
        <v>17</v>
      </c>
      <c r="E954" s="2" t="s">
        <v>3360</v>
      </c>
      <c r="F954" s="2" t="s">
        <v>3472</v>
      </c>
      <c r="G954" s="2" t="s">
        <v>3469</v>
      </c>
      <c r="H954" s="2" t="s">
        <v>3469</v>
      </c>
      <c r="I954" s="27" t="s">
        <v>3473</v>
      </c>
      <c r="J954" s="27" t="s">
        <v>3474</v>
      </c>
      <c r="K954" s="2" t="s">
        <v>17</v>
      </c>
      <c r="L954" s="2" t="s">
        <v>3365</v>
      </c>
      <c r="M954" s="2" t="s">
        <v>15</v>
      </c>
      <c r="N954" s="2" t="s">
        <v>17</v>
      </c>
      <c r="O954" s="2" t="s">
        <v>17</v>
      </c>
      <c r="P954" s="2" t="s">
        <v>17</v>
      </c>
    </row>
    <row r="955" spans="1:16" x14ac:dyDescent="0.2">
      <c r="A955" s="2">
        <v>952</v>
      </c>
      <c r="B955" s="2">
        <v>350928003</v>
      </c>
      <c r="C955" s="2" t="s">
        <v>3475</v>
      </c>
      <c r="D955" s="2" t="s">
        <v>17</v>
      </c>
      <c r="E955" s="2" t="s">
        <v>3360</v>
      </c>
      <c r="F955" s="2" t="s">
        <v>3475</v>
      </c>
      <c r="G955" s="2" t="s">
        <v>3468</v>
      </c>
      <c r="H955" s="2" t="s">
        <v>3469</v>
      </c>
      <c r="I955" s="27" t="s">
        <v>3476</v>
      </c>
      <c r="J955" s="27" t="s">
        <v>3477</v>
      </c>
      <c r="K955" s="2" t="s">
        <v>17</v>
      </c>
      <c r="L955" s="2" t="s">
        <v>3365</v>
      </c>
      <c r="M955" s="2" t="s">
        <v>15</v>
      </c>
      <c r="N955" s="2" t="s">
        <v>17</v>
      </c>
      <c r="O955" s="2" t="s">
        <v>17</v>
      </c>
      <c r="P955" s="2" t="s">
        <v>17</v>
      </c>
    </row>
    <row r="956" spans="1:16" x14ac:dyDescent="0.2">
      <c r="A956" s="2">
        <v>953</v>
      </c>
      <c r="B956" s="2">
        <v>350928004</v>
      </c>
      <c r="C956" s="2" t="s">
        <v>3478</v>
      </c>
      <c r="D956" s="2" t="s">
        <v>17</v>
      </c>
      <c r="E956" s="2" t="s">
        <v>3360</v>
      </c>
      <c r="F956" s="2" t="s">
        <v>3479</v>
      </c>
      <c r="G956" s="2" t="s">
        <v>3478</v>
      </c>
      <c r="H956" s="2" t="s">
        <v>3469</v>
      </c>
      <c r="I956" s="27" t="s">
        <v>3480</v>
      </c>
      <c r="J956" s="27" t="s">
        <v>3481</v>
      </c>
      <c r="K956" s="2" t="s">
        <v>17</v>
      </c>
      <c r="L956" s="2" t="s">
        <v>3365</v>
      </c>
      <c r="M956" s="2" t="s">
        <v>15</v>
      </c>
      <c r="N956" s="2" t="s">
        <v>17</v>
      </c>
      <c r="O956" s="2" t="s">
        <v>17</v>
      </c>
      <c r="P956" s="2" t="s">
        <v>17</v>
      </c>
    </row>
    <row r="957" spans="1:16" x14ac:dyDescent="0.2">
      <c r="A957" s="2">
        <v>954</v>
      </c>
      <c r="B957" s="2">
        <v>350928005</v>
      </c>
      <c r="C957" s="2" t="s">
        <v>3482</v>
      </c>
      <c r="D957" s="2" t="s">
        <v>17</v>
      </c>
      <c r="E957" s="2" t="s">
        <v>3360</v>
      </c>
      <c r="F957" s="2" t="s">
        <v>3483</v>
      </c>
      <c r="G957" s="2" t="s">
        <v>3482</v>
      </c>
      <c r="H957" s="2" t="s">
        <v>3469</v>
      </c>
      <c r="I957" s="27" t="s">
        <v>3484</v>
      </c>
      <c r="J957" s="27" t="s">
        <v>3485</v>
      </c>
      <c r="K957" s="2" t="s">
        <v>17</v>
      </c>
      <c r="L957" s="2" t="s">
        <v>3365</v>
      </c>
      <c r="M957" s="2" t="s">
        <v>15</v>
      </c>
      <c r="N957" s="2" t="s">
        <v>17</v>
      </c>
      <c r="O957" s="2" t="s">
        <v>17</v>
      </c>
      <c r="P957" s="2" t="s">
        <v>17</v>
      </c>
    </row>
    <row r="958" spans="1:16" x14ac:dyDescent="0.2">
      <c r="A958" s="2">
        <v>955</v>
      </c>
      <c r="B958" s="2">
        <v>350928006</v>
      </c>
      <c r="C958" s="2" t="s">
        <v>3486</v>
      </c>
      <c r="D958" s="2" t="s">
        <v>17</v>
      </c>
      <c r="E958" s="2" t="s">
        <v>3360</v>
      </c>
      <c r="F958" s="2" t="s">
        <v>3486</v>
      </c>
      <c r="G958" s="2" t="s">
        <v>3469</v>
      </c>
      <c r="H958" s="2" t="s">
        <v>3469</v>
      </c>
      <c r="I958" s="27" t="s">
        <v>3487</v>
      </c>
      <c r="J958" s="27" t="s">
        <v>3488</v>
      </c>
      <c r="K958" s="2" t="s">
        <v>17</v>
      </c>
      <c r="L958" s="2" t="s">
        <v>3365</v>
      </c>
      <c r="M958" s="2" t="s">
        <v>15</v>
      </c>
      <c r="N958" s="2" t="s">
        <v>17</v>
      </c>
      <c r="O958" s="2" t="s">
        <v>17</v>
      </c>
      <c r="P958" s="2" t="s">
        <v>17</v>
      </c>
    </row>
    <row r="959" spans="1:16" x14ac:dyDescent="0.2">
      <c r="A959" s="2">
        <v>956</v>
      </c>
      <c r="B959" s="2">
        <v>350928007</v>
      </c>
      <c r="C959" s="2" t="s">
        <v>3489</v>
      </c>
      <c r="D959" s="2" t="s">
        <v>17</v>
      </c>
      <c r="E959" s="2" t="s">
        <v>3360</v>
      </c>
      <c r="F959" s="2" t="s">
        <v>3490</v>
      </c>
      <c r="G959" s="2" t="s">
        <v>3491</v>
      </c>
      <c r="H959" s="2" t="s">
        <v>3469</v>
      </c>
      <c r="I959" s="27" t="s">
        <v>3492</v>
      </c>
      <c r="J959" s="27" t="s">
        <v>3493</v>
      </c>
      <c r="K959" s="2" t="s">
        <v>17</v>
      </c>
      <c r="L959" s="2" t="s">
        <v>3365</v>
      </c>
      <c r="M959" s="2" t="s">
        <v>15</v>
      </c>
      <c r="N959" s="2" t="s">
        <v>17</v>
      </c>
      <c r="O959" s="2" t="s">
        <v>17</v>
      </c>
      <c r="P959" s="2" t="s">
        <v>17</v>
      </c>
    </row>
    <row r="960" spans="1:16" x14ac:dyDescent="0.2">
      <c r="A960" s="2">
        <v>957</v>
      </c>
      <c r="B960" s="2">
        <v>350928008</v>
      </c>
      <c r="C960" s="2" t="s">
        <v>3370</v>
      </c>
      <c r="D960" s="2" t="s">
        <v>17</v>
      </c>
      <c r="E960" s="2" t="s">
        <v>3360</v>
      </c>
      <c r="F960" s="2" t="s">
        <v>3370</v>
      </c>
      <c r="G960" s="2" t="s">
        <v>3370</v>
      </c>
      <c r="H960" s="2" t="s">
        <v>3469</v>
      </c>
      <c r="I960" s="27" t="s">
        <v>3494</v>
      </c>
      <c r="J960" s="27" t="s">
        <v>3495</v>
      </c>
      <c r="K960" s="2" t="s">
        <v>17</v>
      </c>
      <c r="L960" s="2" t="s">
        <v>3365</v>
      </c>
      <c r="M960" s="2" t="s">
        <v>15</v>
      </c>
      <c r="N960" s="2" t="s">
        <v>17</v>
      </c>
      <c r="O960" s="2" t="s">
        <v>17</v>
      </c>
      <c r="P960" s="2" t="s">
        <v>17</v>
      </c>
    </row>
    <row r="961" spans="1:16" x14ac:dyDescent="0.2">
      <c r="A961" s="2">
        <v>958</v>
      </c>
      <c r="B961" s="2">
        <v>350928009</v>
      </c>
      <c r="C961" s="2" t="s">
        <v>3496</v>
      </c>
      <c r="D961" s="2" t="s">
        <v>17</v>
      </c>
      <c r="E961" s="2" t="s">
        <v>3360</v>
      </c>
      <c r="F961" s="2" t="s">
        <v>3496</v>
      </c>
      <c r="G961" s="2" t="s">
        <v>3497</v>
      </c>
      <c r="H961" s="2" t="s">
        <v>3469</v>
      </c>
      <c r="I961" s="27" t="s">
        <v>3498</v>
      </c>
      <c r="J961" s="27" t="s">
        <v>3499</v>
      </c>
      <c r="K961" s="2" t="s">
        <v>17</v>
      </c>
      <c r="L961" s="2" t="s">
        <v>3365</v>
      </c>
      <c r="M961" s="2" t="s">
        <v>15</v>
      </c>
      <c r="N961" s="2" t="s">
        <v>17</v>
      </c>
      <c r="O961" s="2" t="s">
        <v>17</v>
      </c>
      <c r="P961" s="2" t="s">
        <v>17</v>
      </c>
    </row>
    <row r="962" spans="1:16" x14ac:dyDescent="0.2">
      <c r="A962" s="2">
        <v>959</v>
      </c>
      <c r="B962" s="2">
        <v>350928010</v>
      </c>
      <c r="C962" s="2" t="s">
        <v>3500</v>
      </c>
      <c r="D962" s="2" t="s">
        <v>17</v>
      </c>
      <c r="E962" s="2" t="s">
        <v>3360</v>
      </c>
      <c r="F962" s="2" t="s">
        <v>3500</v>
      </c>
      <c r="G962" s="2" t="s">
        <v>3500</v>
      </c>
      <c r="H962" s="2" t="s">
        <v>3469</v>
      </c>
      <c r="I962" s="27" t="s">
        <v>3501</v>
      </c>
      <c r="J962" s="27" t="s">
        <v>3502</v>
      </c>
      <c r="K962" s="2" t="s">
        <v>17</v>
      </c>
      <c r="L962" s="2" t="s">
        <v>3365</v>
      </c>
      <c r="M962" s="2" t="s">
        <v>15</v>
      </c>
      <c r="N962" s="2" t="s">
        <v>17</v>
      </c>
      <c r="O962" s="2" t="s">
        <v>17</v>
      </c>
      <c r="P962" s="2" t="s">
        <v>17</v>
      </c>
    </row>
    <row r="963" spans="1:16" x14ac:dyDescent="0.2">
      <c r="A963" s="2">
        <v>960</v>
      </c>
      <c r="B963" s="2">
        <v>350928011</v>
      </c>
      <c r="C963" s="2" t="s">
        <v>3503</v>
      </c>
      <c r="D963" s="2" t="s">
        <v>17</v>
      </c>
      <c r="E963" s="2" t="s">
        <v>3360</v>
      </c>
      <c r="F963" s="2" t="s">
        <v>3503</v>
      </c>
      <c r="G963" s="2" t="s">
        <v>3503</v>
      </c>
      <c r="H963" s="2" t="s">
        <v>3469</v>
      </c>
      <c r="I963" s="27" t="s">
        <v>3504</v>
      </c>
      <c r="J963" s="27" t="s">
        <v>3505</v>
      </c>
      <c r="K963" s="2" t="s">
        <v>17</v>
      </c>
      <c r="L963" s="2" t="s">
        <v>3365</v>
      </c>
      <c r="M963" s="2" t="s">
        <v>15</v>
      </c>
      <c r="N963" s="2" t="s">
        <v>17</v>
      </c>
      <c r="O963" s="2" t="s">
        <v>17</v>
      </c>
      <c r="P963" s="2" t="s">
        <v>17</v>
      </c>
    </row>
    <row r="964" spans="1:16" x14ac:dyDescent="0.2">
      <c r="A964" s="2">
        <v>961</v>
      </c>
      <c r="B964" s="2">
        <v>350928012</v>
      </c>
      <c r="C964" s="2" t="s">
        <v>3506</v>
      </c>
      <c r="D964" s="2" t="s">
        <v>17</v>
      </c>
      <c r="E964" s="2" t="s">
        <v>3360</v>
      </c>
      <c r="F964" s="2" t="s">
        <v>3506</v>
      </c>
      <c r="G964" s="2" t="s">
        <v>3506</v>
      </c>
      <c r="H964" s="2" t="s">
        <v>3469</v>
      </c>
      <c r="I964" s="27" t="s">
        <v>3507</v>
      </c>
      <c r="J964" s="27" t="s">
        <v>3508</v>
      </c>
      <c r="K964" s="2" t="s">
        <v>17</v>
      </c>
      <c r="L964" s="2" t="s">
        <v>3365</v>
      </c>
      <c r="M964" s="2" t="s">
        <v>15</v>
      </c>
      <c r="N964" s="2" t="s">
        <v>17</v>
      </c>
      <c r="O964" s="2" t="s">
        <v>17</v>
      </c>
      <c r="P964" s="2" t="s">
        <v>17</v>
      </c>
    </row>
    <row r="965" spans="1:16" x14ac:dyDescent="0.2">
      <c r="A965" s="2">
        <v>962</v>
      </c>
      <c r="B965" s="2">
        <v>350928013</v>
      </c>
      <c r="C965" s="2" t="s">
        <v>3509</v>
      </c>
      <c r="D965" s="2" t="s">
        <v>17</v>
      </c>
      <c r="E965" s="2" t="s">
        <v>3360</v>
      </c>
      <c r="F965" s="2" t="s">
        <v>3510</v>
      </c>
      <c r="G965" s="2" t="s">
        <v>3510</v>
      </c>
      <c r="H965" s="2" t="s">
        <v>3469</v>
      </c>
      <c r="I965" s="27" t="s">
        <v>3511</v>
      </c>
      <c r="J965" s="27" t="s">
        <v>3512</v>
      </c>
      <c r="K965" s="2" t="s">
        <v>17</v>
      </c>
      <c r="L965" s="2" t="s">
        <v>3365</v>
      </c>
      <c r="M965" s="2" t="s">
        <v>15</v>
      </c>
      <c r="N965" s="2" t="s">
        <v>17</v>
      </c>
      <c r="O965" s="2" t="s">
        <v>17</v>
      </c>
      <c r="P965" s="2" t="s">
        <v>17</v>
      </c>
    </row>
    <row r="966" spans="1:16" x14ac:dyDescent="0.2">
      <c r="A966" s="2">
        <v>963</v>
      </c>
      <c r="B966" s="2">
        <v>350928014</v>
      </c>
      <c r="C966" s="2" t="s">
        <v>3513</v>
      </c>
      <c r="D966" s="2" t="s">
        <v>17</v>
      </c>
      <c r="E966" s="2" t="s">
        <v>3360</v>
      </c>
      <c r="F966" s="2" t="s">
        <v>3513</v>
      </c>
      <c r="G966" s="2" t="s">
        <v>3513</v>
      </c>
      <c r="H966" s="2" t="s">
        <v>3469</v>
      </c>
      <c r="I966" s="27" t="s">
        <v>3514</v>
      </c>
      <c r="J966" s="27" t="s">
        <v>3515</v>
      </c>
      <c r="K966" s="2" t="s">
        <v>17</v>
      </c>
      <c r="L966" s="2" t="s">
        <v>3365</v>
      </c>
      <c r="M966" s="2" t="s">
        <v>15</v>
      </c>
      <c r="N966" s="2" t="s">
        <v>17</v>
      </c>
      <c r="O966" s="2" t="s">
        <v>17</v>
      </c>
      <c r="P966" s="2" t="s">
        <v>17</v>
      </c>
    </row>
    <row r="967" spans="1:16" x14ac:dyDescent="0.2">
      <c r="A967" s="2">
        <v>964</v>
      </c>
      <c r="B967" s="2">
        <v>350928015</v>
      </c>
      <c r="C967" s="2" t="s">
        <v>3516</v>
      </c>
      <c r="D967" s="2" t="s">
        <v>17</v>
      </c>
      <c r="E967" s="2" t="s">
        <v>3360</v>
      </c>
      <c r="F967" s="2" t="s">
        <v>3516</v>
      </c>
      <c r="G967" s="2" t="s">
        <v>3482</v>
      </c>
      <c r="H967" s="2" t="s">
        <v>3469</v>
      </c>
      <c r="I967" s="27" t="s">
        <v>3517</v>
      </c>
      <c r="J967" s="27" t="s">
        <v>3518</v>
      </c>
      <c r="K967" s="2" t="s">
        <v>17</v>
      </c>
      <c r="L967" s="2" t="s">
        <v>3365</v>
      </c>
      <c r="M967" s="2" t="s">
        <v>15</v>
      </c>
      <c r="N967" s="2" t="s">
        <v>17</v>
      </c>
      <c r="O967" s="2" t="s">
        <v>17</v>
      </c>
      <c r="P967" s="2" t="s">
        <v>17</v>
      </c>
    </row>
    <row r="968" spans="1:16" x14ac:dyDescent="0.2">
      <c r="A968" s="2">
        <v>965</v>
      </c>
      <c r="B968" s="2">
        <v>350928016</v>
      </c>
      <c r="C968" s="2" t="s">
        <v>3519</v>
      </c>
      <c r="D968" s="2" t="s">
        <v>17</v>
      </c>
      <c r="E968" s="2" t="s">
        <v>3360</v>
      </c>
      <c r="F968" s="2" t="s">
        <v>3519</v>
      </c>
      <c r="G968" s="2" t="s">
        <v>3468</v>
      </c>
      <c r="H968" s="2" t="s">
        <v>3469</v>
      </c>
      <c r="I968" s="27" t="s">
        <v>3520</v>
      </c>
      <c r="J968" s="27" t="s">
        <v>3521</v>
      </c>
      <c r="K968" s="2" t="s">
        <v>17</v>
      </c>
      <c r="L968" s="2" t="s">
        <v>3365</v>
      </c>
      <c r="M968" s="2" t="s">
        <v>15</v>
      </c>
      <c r="N968" s="2" t="s">
        <v>17</v>
      </c>
      <c r="O968" s="2" t="s">
        <v>17</v>
      </c>
      <c r="P968" s="2" t="s">
        <v>17</v>
      </c>
    </row>
    <row r="969" spans="1:16" x14ac:dyDescent="0.2">
      <c r="A969" s="2">
        <v>966</v>
      </c>
      <c r="B969" s="2">
        <v>350929001</v>
      </c>
      <c r="C969" s="2" t="s">
        <v>3522</v>
      </c>
      <c r="D969" s="2" t="s">
        <v>17</v>
      </c>
      <c r="E969" s="2" t="s">
        <v>3360</v>
      </c>
      <c r="F969" s="2" t="s">
        <v>3522</v>
      </c>
      <c r="G969" s="2" t="s">
        <v>3522</v>
      </c>
      <c r="H969" s="2" t="s">
        <v>3523</v>
      </c>
      <c r="I969" s="27" t="s">
        <v>3524</v>
      </c>
      <c r="J969" s="27" t="s">
        <v>3525</v>
      </c>
      <c r="K969" s="2" t="s">
        <v>17</v>
      </c>
      <c r="L969" s="2" t="s">
        <v>3365</v>
      </c>
      <c r="M969" s="2" t="s">
        <v>15</v>
      </c>
      <c r="N969" s="2" t="s">
        <v>17</v>
      </c>
      <c r="O969" s="2" t="s">
        <v>17</v>
      </c>
      <c r="P969" s="2" t="s">
        <v>17</v>
      </c>
    </row>
    <row r="970" spans="1:16" x14ac:dyDescent="0.2">
      <c r="A970" s="2">
        <v>967</v>
      </c>
      <c r="B970" s="2">
        <v>350929002</v>
      </c>
      <c r="C970" s="2" t="s">
        <v>3526</v>
      </c>
      <c r="D970" s="2" t="s">
        <v>17</v>
      </c>
      <c r="E970" s="2" t="s">
        <v>3360</v>
      </c>
      <c r="F970" s="2" t="s">
        <v>3526</v>
      </c>
      <c r="G970" s="2" t="s">
        <v>3526</v>
      </c>
      <c r="H970" s="2" t="s">
        <v>3523</v>
      </c>
      <c r="I970" s="27" t="s">
        <v>3527</v>
      </c>
      <c r="J970" s="27" t="s">
        <v>3528</v>
      </c>
      <c r="K970" s="2" t="s">
        <v>17</v>
      </c>
      <c r="L970" s="2" t="s">
        <v>3365</v>
      </c>
      <c r="M970" s="2" t="s">
        <v>15</v>
      </c>
      <c r="N970" s="2" t="s">
        <v>17</v>
      </c>
      <c r="O970" s="2" t="s">
        <v>17</v>
      </c>
      <c r="P970" s="2" t="s">
        <v>17</v>
      </c>
    </row>
    <row r="971" spans="1:16" x14ac:dyDescent="0.2">
      <c r="A971" s="2">
        <v>968</v>
      </c>
      <c r="B971" s="2">
        <v>350929003</v>
      </c>
      <c r="C971" s="2" t="s">
        <v>3529</v>
      </c>
      <c r="D971" s="2" t="s">
        <v>17</v>
      </c>
      <c r="E971" s="2" t="s">
        <v>3360</v>
      </c>
      <c r="F971" s="2" t="s">
        <v>3529</v>
      </c>
      <c r="G971" s="2" t="s">
        <v>3529</v>
      </c>
      <c r="H971" s="2" t="s">
        <v>3523</v>
      </c>
      <c r="I971" s="27" t="s">
        <v>3530</v>
      </c>
      <c r="J971" s="27" t="s">
        <v>3531</v>
      </c>
      <c r="K971" s="2" t="s">
        <v>17</v>
      </c>
      <c r="L971" s="2" t="s">
        <v>3365</v>
      </c>
      <c r="M971" s="2" t="s">
        <v>15</v>
      </c>
      <c r="N971" s="2" t="s">
        <v>17</v>
      </c>
      <c r="O971" s="2" t="s">
        <v>17</v>
      </c>
      <c r="P971" s="2" t="s">
        <v>17</v>
      </c>
    </row>
    <row r="972" spans="1:16" x14ac:dyDescent="0.2">
      <c r="A972" s="2">
        <v>969</v>
      </c>
      <c r="B972" s="2">
        <v>350929004</v>
      </c>
      <c r="C972" s="2" t="s">
        <v>3532</v>
      </c>
      <c r="D972" s="2" t="s">
        <v>17</v>
      </c>
      <c r="E972" s="2" t="s">
        <v>3360</v>
      </c>
      <c r="F972" s="2" t="s">
        <v>3532</v>
      </c>
      <c r="G972" s="2" t="s">
        <v>3532</v>
      </c>
      <c r="H972" s="2" t="s">
        <v>3523</v>
      </c>
      <c r="I972" s="27" t="s">
        <v>3533</v>
      </c>
      <c r="J972" s="27" t="s">
        <v>3534</v>
      </c>
      <c r="K972" s="2" t="s">
        <v>17</v>
      </c>
      <c r="L972" s="2" t="s">
        <v>3365</v>
      </c>
      <c r="M972" s="2" t="s">
        <v>15</v>
      </c>
      <c r="N972" s="2" t="s">
        <v>17</v>
      </c>
      <c r="O972" s="2" t="s">
        <v>17</v>
      </c>
      <c r="P972" s="2" t="s">
        <v>17</v>
      </c>
    </row>
    <row r="973" spans="1:16" x14ac:dyDescent="0.2">
      <c r="A973" s="2">
        <v>970</v>
      </c>
      <c r="B973" s="2">
        <v>350929005</v>
      </c>
      <c r="C973" s="2" t="s">
        <v>3535</v>
      </c>
      <c r="D973" s="2" t="s">
        <v>17</v>
      </c>
      <c r="E973" s="2" t="s">
        <v>3360</v>
      </c>
      <c r="F973" s="2" t="s">
        <v>3536</v>
      </c>
      <c r="G973" s="2" t="s">
        <v>3523</v>
      </c>
      <c r="H973" s="2" t="s">
        <v>3523</v>
      </c>
      <c r="I973" s="27" t="s">
        <v>3537</v>
      </c>
      <c r="J973" s="27" t="s">
        <v>3538</v>
      </c>
      <c r="K973" s="2" t="s">
        <v>17</v>
      </c>
      <c r="L973" s="2" t="s">
        <v>3365</v>
      </c>
      <c r="M973" s="2" t="s">
        <v>15</v>
      </c>
      <c r="N973" s="2" t="s">
        <v>17</v>
      </c>
      <c r="O973" s="2" t="s">
        <v>17</v>
      </c>
      <c r="P973" s="2" t="s">
        <v>17</v>
      </c>
    </row>
    <row r="974" spans="1:16" x14ac:dyDescent="0.2">
      <c r="A974" s="2">
        <v>971</v>
      </c>
      <c r="B974" s="2">
        <v>350929006</v>
      </c>
      <c r="C974" s="2" t="s">
        <v>3539</v>
      </c>
      <c r="D974" s="2" t="s">
        <v>17</v>
      </c>
      <c r="E974" s="2" t="s">
        <v>3360</v>
      </c>
      <c r="F974" s="2" t="s">
        <v>3540</v>
      </c>
      <c r="G974" s="2" t="s">
        <v>3541</v>
      </c>
      <c r="H974" s="2" t="s">
        <v>3523</v>
      </c>
      <c r="I974" s="27" t="s">
        <v>3542</v>
      </c>
      <c r="J974" s="27" t="s">
        <v>3543</v>
      </c>
      <c r="K974" s="2" t="s">
        <v>17</v>
      </c>
      <c r="L974" s="2" t="s">
        <v>3365</v>
      </c>
      <c r="M974" s="2" t="s">
        <v>15</v>
      </c>
      <c r="N974" s="2" t="s">
        <v>17</v>
      </c>
      <c r="O974" s="2" t="s">
        <v>17</v>
      </c>
      <c r="P974" s="2" t="s">
        <v>17</v>
      </c>
    </row>
    <row r="975" spans="1:16" x14ac:dyDescent="0.2">
      <c r="A975" s="2">
        <v>972</v>
      </c>
      <c r="B975" s="2">
        <v>350929007</v>
      </c>
      <c r="C975" s="2" t="s">
        <v>3544</v>
      </c>
      <c r="D975" s="2" t="s">
        <v>17</v>
      </c>
      <c r="E975" s="2" t="s">
        <v>3360</v>
      </c>
      <c r="F975" s="2" t="s">
        <v>3544</v>
      </c>
      <c r="G975" s="2" t="s">
        <v>3545</v>
      </c>
      <c r="H975" s="2" t="s">
        <v>3523</v>
      </c>
      <c r="I975" s="27" t="s">
        <v>3546</v>
      </c>
      <c r="J975" s="27" t="s">
        <v>3547</v>
      </c>
      <c r="K975" s="2" t="s">
        <v>17</v>
      </c>
      <c r="L975" s="2" t="s">
        <v>3365</v>
      </c>
      <c r="M975" s="2" t="s">
        <v>15</v>
      </c>
      <c r="N975" s="2" t="s">
        <v>17</v>
      </c>
      <c r="O975" s="2" t="s">
        <v>17</v>
      </c>
      <c r="P975" s="2" t="s">
        <v>17</v>
      </c>
    </row>
    <row r="976" spans="1:16" x14ac:dyDescent="0.2">
      <c r="A976" s="2">
        <v>973</v>
      </c>
      <c r="B976" s="2">
        <v>350929008</v>
      </c>
      <c r="C976" s="2" t="s">
        <v>3548</v>
      </c>
      <c r="D976" s="2" t="s">
        <v>17</v>
      </c>
      <c r="E976" s="2" t="s">
        <v>3360</v>
      </c>
      <c r="F976" s="2" t="s">
        <v>3548</v>
      </c>
      <c r="G976" s="2" t="s">
        <v>3548</v>
      </c>
      <c r="H976" s="2" t="s">
        <v>3523</v>
      </c>
      <c r="I976" s="27" t="s">
        <v>3524</v>
      </c>
      <c r="J976" s="27" t="s">
        <v>3549</v>
      </c>
      <c r="K976" s="2" t="s">
        <v>17</v>
      </c>
      <c r="L976" s="2" t="s">
        <v>3365</v>
      </c>
      <c r="M976" s="2" t="s">
        <v>15</v>
      </c>
      <c r="N976" s="2" t="s">
        <v>17</v>
      </c>
      <c r="O976" s="2" t="s">
        <v>17</v>
      </c>
      <c r="P976" s="2" t="s">
        <v>17</v>
      </c>
    </row>
    <row r="977" spans="1:16" x14ac:dyDescent="0.2">
      <c r="A977" s="2">
        <v>974</v>
      </c>
      <c r="B977" s="2">
        <v>350929009</v>
      </c>
      <c r="C977" s="2" t="s">
        <v>3550</v>
      </c>
      <c r="D977" s="2" t="s">
        <v>17</v>
      </c>
      <c r="E977" s="2" t="s">
        <v>3360</v>
      </c>
      <c r="F977" s="2" t="s">
        <v>3550</v>
      </c>
      <c r="G977" s="2" t="s">
        <v>3550</v>
      </c>
      <c r="H977" s="2" t="s">
        <v>3523</v>
      </c>
      <c r="I977" s="27" t="s">
        <v>3551</v>
      </c>
      <c r="J977" s="27" t="s">
        <v>3552</v>
      </c>
      <c r="K977" s="2" t="s">
        <v>17</v>
      </c>
      <c r="L977" s="2" t="s">
        <v>3365</v>
      </c>
      <c r="M977" s="2" t="s">
        <v>15</v>
      </c>
      <c r="N977" s="2" t="s">
        <v>17</v>
      </c>
      <c r="O977" s="2" t="s">
        <v>17</v>
      </c>
      <c r="P977" s="2" t="s">
        <v>17</v>
      </c>
    </row>
    <row r="978" spans="1:16" x14ac:dyDescent="0.2">
      <c r="A978" s="2">
        <v>975</v>
      </c>
      <c r="B978" s="2">
        <v>350929010</v>
      </c>
      <c r="C978" s="2" t="s">
        <v>3553</v>
      </c>
      <c r="D978" s="2" t="s">
        <v>17</v>
      </c>
      <c r="E978" s="2" t="s">
        <v>3360</v>
      </c>
      <c r="F978" s="2" t="s">
        <v>3553</v>
      </c>
      <c r="G978" s="2" t="s">
        <v>3554</v>
      </c>
      <c r="H978" s="2" t="s">
        <v>3523</v>
      </c>
      <c r="I978" s="27" t="s">
        <v>3555</v>
      </c>
      <c r="J978" s="27" t="s">
        <v>3556</v>
      </c>
      <c r="K978" s="2" t="s">
        <v>17</v>
      </c>
      <c r="L978" s="2" t="s">
        <v>3365</v>
      </c>
      <c r="M978" s="2" t="s">
        <v>15</v>
      </c>
      <c r="N978" s="2" t="s">
        <v>17</v>
      </c>
      <c r="O978" s="2" t="s">
        <v>17</v>
      </c>
      <c r="P978" s="2" t="s">
        <v>17</v>
      </c>
    </row>
    <row r="979" spans="1:16" x14ac:dyDescent="0.2">
      <c r="A979" s="2">
        <v>976</v>
      </c>
      <c r="B979" s="2">
        <v>350929011</v>
      </c>
      <c r="C979" s="2" t="s">
        <v>3557</v>
      </c>
      <c r="D979" s="2" t="s">
        <v>17</v>
      </c>
      <c r="E979" s="2" t="s">
        <v>3360</v>
      </c>
      <c r="F979" s="2" t="s">
        <v>3557</v>
      </c>
      <c r="G979" s="2" t="s">
        <v>3557</v>
      </c>
      <c r="H979" s="2" t="s">
        <v>3523</v>
      </c>
      <c r="I979" s="27" t="s">
        <v>3558</v>
      </c>
      <c r="J979" s="27" t="s">
        <v>3559</v>
      </c>
      <c r="K979" s="2" t="s">
        <v>17</v>
      </c>
      <c r="L979" s="2" t="s">
        <v>3365</v>
      </c>
      <c r="M979" s="2" t="s">
        <v>15</v>
      </c>
      <c r="N979" s="2" t="s">
        <v>17</v>
      </c>
      <c r="O979" s="2" t="s">
        <v>17</v>
      </c>
      <c r="P979" s="2" t="s">
        <v>17</v>
      </c>
    </row>
    <row r="980" spans="1:16" x14ac:dyDescent="0.2">
      <c r="A980" s="2">
        <v>977</v>
      </c>
      <c r="B980" s="2">
        <v>350929012</v>
      </c>
      <c r="C980" s="2" t="s">
        <v>3560</v>
      </c>
      <c r="D980" s="2" t="s">
        <v>17</v>
      </c>
      <c r="E980" s="2" t="s">
        <v>3360</v>
      </c>
      <c r="F980" s="2" t="s">
        <v>3560</v>
      </c>
      <c r="G980" s="2" t="s">
        <v>3523</v>
      </c>
      <c r="H980" s="2" t="s">
        <v>3523</v>
      </c>
      <c r="I980" s="27" t="s">
        <v>3561</v>
      </c>
      <c r="J980" s="27" t="s">
        <v>3562</v>
      </c>
      <c r="K980" s="2" t="s">
        <v>17</v>
      </c>
      <c r="L980" s="2" t="s">
        <v>3365</v>
      </c>
      <c r="M980" s="2" t="s">
        <v>15</v>
      </c>
      <c r="N980" s="2" t="s">
        <v>17</v>
      </c>
      <c r="O980" s="2" t="s">
        <v>17</v>
      </c>
      <c r="P980" s="2" t="s">
        <v>17</v>
      </c>
    </row>
    <row r="981" spans="1:16" x14ac:dyDescent="0.2">
      <c r="A981" s="2">
        <v>978</v>
      </c>
      <c r="B981" s="2">
        <v>350929013</v>
      </c>
      <c r="C981" s="2" t="s">
        <v>3563</v>
      </c>
      <c r="D981" s="2" t="s">
        <v>17</v>
      </c>
      <c r="E981" s="2" t="s">
        <v>3360</v>
      </c>
      <c r="F981" s="2" t="s">
        <v>3564</v>
      </c>
      <c r="G981" s="2" t="s">
        <v>3523</v>
      </c>
      <c r="H981" s="2" t="s">
        <v>3523</v>
      </c>
      <c r="I981" s="27" t="s">
        <v>3565</v>
      </c>
      <c r="J981" s="27" t="s">
        <v>3566</v>
      </c>
      <c r="K981" s="2" t="s">
        <v>17</v>
      </c>
      <c r="L981" s="2" t="s">
        <v>3365</v>
      </c>
      <c r="M981" s="2" t="s">
        <v>15</v>
      </c>
      <c r="N981" s="2" t="s">
        <v>17</v>
      </c>
      <c r="O981" s="2" t="s">
        <v>17</v>
      </c>
      <c r="P981" s="2" t="s">
        <v>17</v>
      </c>
    </row>
    <row r="982" spans="1:16" x14ac:dyDescent="0.2">
      <c r="A982" s="2">
        <v>979</v>
      </c>
      <c r="B982" s="2">
        <v>350929014</v>
      </c>
      <c r="C982" s="2" t="s">
        <v>3567</v>
      </c>
      <c r="D982" s="2" t="s">
        <v>17</v>
      </c>
      <c r="E982" s="2" t="s">
        <v>3360</v>
      </c>
      <c r="F982" s="2" t="s">
        <v>3567</v>
      </c>
      <c r="G982" s="2" t="s">
        <v>3567</v>
      </c>
      <c r="H982" s="2" t="s">
        <v>3523</v>
      </c>
      <c r="I982" s="27" t="s">
        <v>3568</v>
      </c>
      <c r="J982" s="27" t="s">
        <v>3569</v>
      </c>
      <c r="K982" s="2" t="s">
        <v>17</v>
      </c>
      <c r="L982" s="2" t="s">
        <v>3365</v>
      </c>
      <c r="M982" s="2" t="s">
        <v>15</v>
      </c>
      <c r="N982" s="2" t="s">
        <v>17</v>
      </c>
      <c r="O982" s="2" t="s">
        <v>17</v>
      </c>
      <c r="P982" s="2" t="s">
        <v>17</v>
      </c>
    </row>
    <row r="983" spans="1:16" x14ac:dyDescent="0.2">
      <c r="A983" s="2">
        <v>980</v>
      </c>
      <c r="B983" s="2">
        <v>350929015</v>
      </c>
      <c r="C983" s="2" t="s">
        <v>3570</v>
      </c>
      <c r="D983" s="2" t="s">
        <v>17</v>
      </c>
      <c r="E983" s="2" t="s">
        <v>3360</v>
      </c>
      <c r="F983" s="2" t="s">
        <v>3570</v>
      </c>
      <c r="G983" s="2" t="s">
        <v>3570</v>
      </c>
      <c r="H983" s="2" t="s">
        <v>3523</v>
      </c>
      <c r="I983" s="27" t="s">
        <v>3571</v>
      </c>
      <c r="J983" s="27" t="s">
        <v>3572</v>
      </c>
      <c r="K983" s="2" t="s">
        <v>17</v>
      </c>
      <c r="L983" s="2" t="s">
        <v>3365</v>
      </c>
      <c r="M983" s="2" t="s">
        <v>15</v>
      </c>
      <c r="N983" s="2" t="s">
        <v>17</v>
      </c>
      <c r="O983" s="2" t="s">
        <v>17</v>
      </c>
      <c r="P983" s="2" t="s">
        <v>17</v>
      </c>
    </row>
    <row r="984" spans="1:16" x14ac:dyDescent="0.2">
      <c r="A984" s="2">
        <v>981</v>
      </c>
      <c r="B984" s="2">
        <v>350929016</v>
      </c>
      <c r="C984" s="2" t="s">
        <v>3573</v>
      </c>
      <c r="D984" s="2" t="s">
        <v>17</v>
      </c>
      <c r="E984" s="2" t="s">
        <v>3360</v>
      </c>
      <c r="F984" s="2" t="s">
        <v>3573</v>
      </c>
      <c r="G984" s="2" t="s">
        <v>3573</v>
      </c>
      <c r="H984" s="2" t="s">
        <v>3523</v>
      </c>
      <c r="I984" s="27" t="s">
        <v>3574</v>
      </c>
      <c r="J984" s="27" t="s">
        <v>3575</v>
      </c>
      <c r="K984" s="2" t="s">
        <v>17</v>
      </c>
      <c r="L984" s="2" t="s">
        <v>3365</v>
      </c>
      <c r="M984" s="2" t="s">
        <v>15</v>
      </c>
      <c r="N984" s="2" t="s">
        <v>17</v>
      </c>
      <c r="O984" s="2" t="s">
        <v>17</v>
      </c>
      <c r="P984" s="2" t="s">
        <v>17</v>
      </c>
    </row>
    <row r="985" spans="1:16" x14ac:dyDescent="0.2">
      <c r="A985" s="2">
        <v>982</v>
      </c>
      <c r="B985" s="2">
        <v>350929017</v>
      </c>
      <c r="C985" s="2" t="s">
        <v>3576</v>
      </c>
      <c r="D985" s="2" t="s">
        <v>17</v>
      </c>
      <c r="E985" s="2" t="s">
        <v>3360</v>
      </c>
      <c r="F985" s="2" t="s">
        <v>3577</v>
      </c>
      <c r="G985" s="2" t="s">
        <v>3577</v>
      </c>
      <c r="H985" s="2" t="s">
        <v>3523</v>
      </c>
      <c r="I985" s="27" t="s">
        <v>3578</v>
      </c>
      <c r="J985" s="27" t="s">
        <v>3579</v>
      </c>
      <c r="K985" s="2" t="s">
        <v>17</v>
      </c>
      <c r="L985" s="2" t="s">
        <v>3365</v>
      </c>
      <c r="M985" s="2" t="s">
        <v>15</v>
      </c>
      <c r="N985" s="2" t="s">
        <v>17</v>
      </c>
      <c r="O985" s="2" t="s">
        <v>17</v>
      </c>
      <c r="P985" s="2" t="s">
        <v>17</v>
      </c>
    </row>
    <row r="986" spans="1:16" x14ac:dyDescent="0.2">
      <c r="A986" s="2">
        <v>983</v>
      </c>
      <c r="B986" s="2">
        <v>350929018</v>
      </c>
      <c r="C986" s="2" t="s">
        <v>3580</v>
      </c>
      <c r="D986" s="2" t="s">
        <v>17</v>
      </c>
      <c r="E986" s="2" t="s">
        <v>3360</v>
      </c>
      <c r="F986" s="2" t="s">
        <v>3580</v>
      </c>
      <c r="G986" s="2" t="s">
        <v>3580</v>
      </c>
      <c r="H986" s="2" t="s">
        <v>3523</v>
      </c>
      <c r="I986" s="27" t="s">
        <v>3581</v>
      </c>
      <c r="J986" s="27" t="s">
        <v>3582</v>
      </c>
      <c r="K986" s="2" t="s">
        <v>17</v>
      </c>
      <c r="L986" s="2" t="s">
        <v>3365</v>
      </c>
      <c r="M986" s="2" t="s">
        <v>15</v>
      </c>
      <c r="N986" s="2" t="s">
        <v>17</v>
      </c>
      <c r="O986" s="2" t="s">
        <v>17</v>
      </c>
      <c r="P986" s="2" t="s">
        <v>17</v>
      </c>
    </row>
    <row r="987" spans="1:16" x14ac:dyDescent="0.2">
      <c r="A987" s="2">
        <v>984</v>
      </c>
      <c r="B987" s="2">
        <v>350929019</v>
      </c>
      <c r="C987" s="2" t="s">
        <v>3541</v>
      </c>
      <c r="D987" s="2" t="s">
        <v>17</v>
      </c>
      <c r="E987" s="2" t="s">
        <v>3360</v>
      </c>
      <c r="F987" s="2" t="s">
        <v>3540</v>
      </c>
      <c r="G987" s="2" t="s">
        <v>3541</v>
      </c>
      <c r="H987" s="2" t="s">
        <v>3523</v>
      </c>
      <c r="I987" s="27" t="s">
        <v>3583</v>
      </c>
      <c r="J987" s="27" t="s">
        <v>3584</v>
      </c>
      <c r="K987" s="2" t="s">
        <v>17</v>
      </c>
      <c r="L987" s="2" t="s">
        <v>3365</v>
      </c>
      <c r="M987" s="2" t="s">
        <v>15</v>
      </c>
      <c r="N987" s="2" t="s">
        <v>17</v>
      </c>
      <c r="O987" s="2" t="s">
        <v>17</v>
      </c>
      <c r="P987" s="2" t="s">
        <v>17</v>
      </c>
    </row>
    <row r="988" spans="1:16" x14ac:dyDescent="0.2">
      <c r="A988" s="2">
        <v>985</v>
      </c>
      <c r="B988" s="2">
        <v>350929020</v>
      </c>
      <c r="C988" s="2" t="s">
        <v>3585</v>
      </c>
      <c r="D988" s="2" t="s">
        <v>17</v>
      </c>
      <c r="E988" s="2" t="s">
        <v>3360</v>
      </c>
      <c r="F988" s="2" t="s">
        <v>3585</v>
      </c>
      <c r="G988" s="2" t="s">
        <v>3585</v>
      </c>
      <c r="H988" s="2" t="s">
        <v>3523</v>
      </c>
      <c r="I988" s="27" t="s">
        <v>3586</v>
      </c>
      <c r="J988" s="27" t="s">
        <v>3587</v>
      </c>
      <c r="K988" s="2" t="s">
        <v>17</v>
      </c>
      <c r="L988" s="2" t="s">
        <v>3365</v>
      </c>
      <c r="M988" s="2" t="s">
        <v>15</v>
      </c>
      <c r="N988" s="2" t="s">
        <v>17</v>
      </c>
      <c r="O988" s="2" t="s">
        <v>17</v>
      </c>
      <c r="P988" s="2" t="s">
        <v>17</v>
      </c>
    </row>
    <row r="989" spans="1:16" x14ac:dyDescent="0.2">
      <c r="I989" s="13"/>
      <c r="J989" s="13"/>
      <c r="M989" s="2"/>
    </row>
    <row r="990" spans="1:16" x14ac:dyDescent="0.2">
      <c r="I990" s="13"/>
      <c r="J990" s="13"/>
      <c r="M990" s="2"/>
    </row>
    <row r="991" spans="1:16" x14ac:dyDescent="0.2">
      <c r="I991" s="13"/>
      <c r="J991" s="13"/>
      <c r="M991" s="2"/>
    </row>
    <row r="992" spans="1:16" x14ac:dyDescent="0.2">
      <c r="I992" s="13"/>
      <c r="J992" s="13"/>
      <c r="M992" s="2"/>
    </row>
    <row r="993" spans="9:13" x14ac:dyDescent="0.2">
      <c r="I993" s="13"/>
      <c r="J993" s="13"/>
      <c r="M993" s="2"/>
    </row>
    <row r="994" spans="9:13" x14ac:dyDescent="0.2">
      <c r="I994" s="13"/>
      <c r="J994" s="13"/>
      <c r="M994" s="2"/>
    </row>
    <row r="995" spans="9:13" x14ac:dyDescent="0.2">
      <c r="I995" s="13"/>
      <c r="J995" s="13"/>
      <c r="M995" s="2"/>
    </row>
    <row r="996" spans="9:13" x14ac:dyDescent="0.2">
      <c r="I996" s="13"/>
      <c r="J996" s="13"/>
      <c r="M996" s="2"/>
    </row>
    <row r="997" spans="9:13" x14ac:dyDescent="0.2">
      <c r="I997" s="13"/>
      <c r="J997" s="13"/>
      <c r="M997" s="2"/>
    </row>
    <row r="998" spans="9:13" x14ac:dyDescent="0.2">
      <c r="I998" s="13"/>
      <c r="J998" s="13"/>
      <c r="M998" s="2"/>
    </row>
    <row r="999" spans="9:13" x14ac:dyDescent="0.2">
      <c r="I999" s="13"/>
      <c r="J999" s="13"/>
      <c r="M999" s="2"/>
    </row>
    <row r="1000" spans="9:13" x14ac:dyDescent="0.2">
      <c r="I1000" s="13"/>
      <c r="J1000" s="13"/>
      <c r="M1000" s="2"/>
    </row>
    <row r="1001" spans="9:13" x14ac:dyDescent="0.2">
      <c r="I1001" s="13"/>
      <c r="J1001" s="13"/>
      <c r="M1001" s="2"/>
    </row>
    <row r="1002" spans="9:13" x14ac:dyDescent="0.2">
      <c r="I1002" s="13"/>
      <c r="J1002" s="13"/>
      <c r="M1002" s="2"/>
    </row>
    <row r="1003" spans="9:13" x14ac:dyDescent="0.2">
      <c r="I1003" s="13"/>
      <c r="J1003" s="13"/>
      <c r="M1003" s="2"/>
    </row>
    <row r="1004" spans="9:13" x14ac:dyDescent="0.2">
      <c r="I1004" s="13"/>
      <c r="J1004" s="13"/>
      <c r="M1004" s="2"/>
    </row>
    <row r="1005" spans="9:13" x14ac:dyDescent="0.2">
      <c r="I1005" s="13"/>
      <c r="J1005" s="13"/>
      <c r="M1005" s="2"/>
    </row>
    <row r="1006" spans="9:13" x14ac:dyDescent="0.2">
      <c r="I1006" s="13"/>
      <c r="J1006" s="13"/>
      <c r="M1006" s="2"/>
    </row>
    <row r="1007" spans="9:13" x14ac:dyDescent="0.2">
      <c r="I1007" s="13"/>
      <c r="J1007" s="13"/>
      <c r="M1007" s="2"/>
    </row>
    <row r="1008" spans="9:13" x14ac:dyDescent="0.2">
      <c r="I1008" s="13"/>
      <c r="J1008" s="13"/>
      <c r="M1008" s="2"/>
    </row>
    <row r="1009" spans="9:13" x14ac:dyDescent="0.2">
      <c r="I1009" s="13"/>
      <c r="J1009" s="13"/>
      <c r="M1009" s="2"/>
    </row>
    <row r="1010" spans="9:13" x14ac:dyDescent="0.2">
      <c r="I1010" s="13"/>
      <c r="J1010" s="13"/>
      <c r="M1010" s="2"/>
    </row>
    <row r="1011" spans="9:13" x14ac:dyDescent="0.2">
      <c r="I1011" s="13"/>
      <c r="J1011" s="13"/>
      <c r="M1011" s="2"/>
    </row>
    <row r="1012" spans="9:13" x14ac:dyDescent="0.2">
      <c r="I1012" s="13"/>
      <c r="J1012" s="13"/>
      <c r="M1012" s="2"/>
    </row>
    <row r="1013" spans="9:13" x14ac:dyDescent="0.2">
      <c r="I1013" s="13"/>
      <c r="J1013" s="13"/>
      <c r="M1013" s="2"/>
    </row>
    <row r="1014" spans="9:13" x14ac:dyDescent="0.2">
      <c r="I1014" s="13"/>
      <c r="J1014" s="13"/>
      <c r="M1014" s="2"/>
    </row>
    <row r="1015" spans="9:13" x14ac:dyDescent="0.2">
      <c r="I1015" s="13"/>
      <c r="J1015" s="13"/>
      <c r="M1015" s="2"/>
    </row>
    <row r="1016" spans="9:13" x14ac:dyDescent="0.2">
      <c r="I1016" s="13"/>
      <c r="J1016" s="13"/>
      <c r="M1016" s="2"/>
    </row>
    <row r="1017" spans="9:13" x14ac:dyDescent="0.2">
      <c r="I1017" s="13"/>
      <c r="J1017" s="13"/>
      <c r="M1017" s="2"/>
    </row>
    <row r="1018" spans="9:13" x14ac:dyDescent="0.2">
      <c r="I1018" s="13"/>
      <c r="J1018" s="13"/>
      <c r="M1018" s="2"/>
    </row>
    <row r="1019" spans="9:13" x14ac:dyDescent="0.2">
      <c r="I1019" s="13"/>
      <c r="J1019" s="13"/>
      <c r="M1019" s="2"/>
    </row>
    <row r="1020" spans="9:13" x14ac:dyDescent="0.2">
      <c r="I1020" s="13"/>
      <c r="J1020" s="13"/>
      <c r="M1020" s="2"/>
    </row>
    <row r="1021" spans="9:13" x14ac:dyDescent="0.2">
      <c r="I1021" s="13"/>
      <c r="J1021" s="13"/>
      <c r="M1021" s="2"/>
    </row>
    <row r="1022" spans="9:13" x14ac:dyDescent="0.2">
      <c r="I1022" s="13"/>
      <c r="J1022" s="13"/>
      <c r="M1022" s="2"/>
    </row>
    <row r="1023" spans="9:13" x14ac:dyDescent="0.2">
      <c r="I1023" s="13"/>
      <c r="J1023" s="13"/>
      <c r="M1023" s="2"/>
    </row>
    <row r="1024" spans="9:13" x14ac:dyDescent="0.2">
      <c r="I1024" s="13"/>
      <c r="J1024" s="13"/>
      <c r="M1024" s="2"/>
    </row>
    <row r="1025" spans="9:13" x14ac:dyDescent="0.2">
      <c r="I1025" s="13"/>
      <c r="J1025" s="13"/>
      <c r="M1025" s="2"/>
    </row>
    <row r="1026" spans="9:13" x14ac:dyDescent="0.2">
      <c r="I1026" s="13"/>
      <c r="J1026" s="13"/>
      <c r="M1026" s="2"/>
    </row>
    <row r="1027" spans="9:13" x14ac:dyDescent="0.2">
      <c r="I1027" s="13"/>
      <c r="J1027" s="13"/>
      <c r="M1027" s="2"/>
    </row>
    <row r="1028" spans="9:13" x14ac:dyDescent="0.2">
      <c r="I1028" s="13"/>
      <c r="J1028" s="13"/>
      <c r="M1028" s="2"/>
    </row>
    <row r="1029" spans="9:13" x14ac:dyDescent="0.2">
      <c r="I1029" s="13"/>
      <c r="J1029" s="13"/>
      <c r="M1029" s="2"/>
    </row>
    <row r="1030" spans="9:13" x14ac:dyDescent="0.2">
      <c r="I1030" s="13"/>
      <c r="J1030" s="13"/>
      <c r="M1030" s="2"/>
    </row>
    <row r="1031" spans="9:13" x14ac:dyDescent="0.2">
      <c r="I1031" s="13"/>
      <c r="J1031" s="13"/>
      <c r="M1031" s="2"/>
    </row>
    <row r="1032" spans="9:13" x14ac:dyDescent="0.2">
      <c r="I1032" s="13"/>
      <c r="J1032" s="13"/>
      <c r="M1032" s="2"/>
    </row>
    <row r="1033" spans="9:13" x14ac:dyDescent="0.2">
      <c r="I1033" s="13"/>
      <c r="J1033" s="13"/>
      <c r="M1033" s="2"/>
    </row>
    <row r="1034" spans="9:13" x14ac:dyDescent="0.2">
      <c r="I1034" s="13"/>
      <c r="J1034" s="13"/>
      <c r="M1034" s="2"/>
    </row>
    <row r="1035" spans="9:13" x14ac:dyDescent="0.2">
      <c r="I1035" s="13"/>
      <c r="J1035" s="13"/>
      <c r="M1035" s="2"/>
    </row>
    <row r="1036" spans="9:13" x14ac:dyDescent="0.2">
      <c r="I1036" s="13"/>
      <c r="J1036" s="13"/>
      <c r="M1036" s="2"/>
    </row>
    <row r="1037" spans="9:13" x14ac:dyDescent="0.2">
      <c r="I1037" s="13"/>
      <c r="J1037" s="13"/>
      <c r="M1037" s="2"/>
    </row>
    <row r="1038" spans="9:13" x14ac:dyDescent="0.2">
      <c r="I1038" s="13"/>
      <c r="J1038" s="13"/>
      <c r="M1038" s="2"/>
    </row>
    <row r="1039" spans="9:13" x14ac:dyDescent="0.2">
      <c r="I1039" s="13"/>
      <c r="J1039" s="13"/>
      <c r="M1039" s="2"/>
    </row>
    <row r="1040" spans="9:13" x14ac:dyDescent="0.2">
      <c r="I1040" s="13"/>
      <c r="J1040" s="13"/>
      <c r="M1040" s="2"/>
    </row>
    <row r="1041" spans="9:13" x14ac:dyDescent="0.2">
      <c r="I1041" s="13"/>
      <c r="J1041" s="13"/>
      <c r="M1041" s="2"/>
    </row>
    <row r="1042" spans="9:13" x14ac:dyDescent="0.2">
      <c r="I1042" s="13"/>
      <c r="J1042" s="13"/>
      <c r="M1042" s="2"/>
    </row>
    <row r="1043" spans="9:13" x14ac:dyDescent="0.2">
      <c r="I1043" s="13"/>
      <c r="J1043" s="13"/>
      <c r="M1043" s="2"/>
    </row>
    <row r="1044" spans="9:13" x14ac:dyDescent="0.2">
      <c r="I1044" s="13"/>
      <c r="J1044" s="13"/>
      <c r="M1044" s="2"/>
    </row>
    <row r="1045" spans="9:13" x14ac:dyDescent="0.2">
      <c r="I1045" s="13"/>
      <c r="J1045" s="13"/>
      <c r="M1045" s="2"/>
    </row>
    <row r="1046" spans="9:13" x14ac:dyDescent="0.2">
      <c r="I1046" s="13"/>
      <c r="J1046" s="13"/>
      <c r="M1046" s="2"/>
    </row>
    <row r="1047" spans="9:13" x14ac:dyDescent="0.2">
      <c r="I1047" s="13"/>
      <c r="J1047" s="13"/>
      <c r="M1047" s="2"/>
    </row>
    <row r="1048" spans="9:13" x14ac:dyDescent="0.2">
      <c r="I1048" s="13"/>
      <c r="J1048" s="13"/>
      <c r="M1048" s="2"/>
    </row>
    <row r="1049" spans="9:13" x14ac:dyDescent="0.2">
      <c r="I1049" s="13"/>
      <c r="J1049" s="13"/>
      <c r="M1049" s="2"/>
    </row>
    <row r="1050" spans="9:13" x14ac:dyDescent="0.2">
      <c r="I1050" s="13"/>
      <c r="J1050" s="13"/>
      <c r="M1050" s="2"/>
    </row>
    <row r="1051" spans="9:13" x14ac:dyDescent="0.2">
      <c r="I1051" s="13"/>
      <c r="J1051" s="13"/>
      <c r="M1051" s="2"/>
    </row>
    <row r="1052" spans="9:13" x14ac:dyDescent="0.2">
      <c r="I1052" s="13"/>
      <c r="J1052" s="13"/>
      <c r="M1052" s="2"/>
    </row>
    <row r="1053" spans="9:13" x14ac:dyDescent="0.2">
      <c r="I1053" s="13"/>
      <c r="J1053" s="13"/>
      <c r="M1053" s="2"/>
    </row>
    <row r="1054" spans="9:13" x14ac:dyDescent="0.2">
      <c r="I1054" s="13"/>
      <c r="J1054" s="13"/>
      <c r="M1054" s="2"/>
    </row>
    <row r="1055" spans="9:13" x14ac:dyDescent="0.2">
      <c r="I1055" s="13"/>
      <c r="J1055" s="13"/>
      <c r="M1055" s="2"/>
    </row>
    <row r="1056" spans="9:13" x14ac:dyDescent="0.2">
      <c r="I1056" s="13"/>
      <c r="J1056" s="13"/>
      <c r="M1056" s="2"/>
    </row>
    <row r="1057" spans="9:13" x14ac:dyDescent="0.2">
      <c r="I1057" s="13"/>
      <c r="J1057" s="13"/>
      <c r="M1057" s="2"/>
    </row>
    <row r="1058" spans="9:13" x14ac:dyDescent="0.2">
      <c r="I1058" s="13"/>
      <c r="J1058" s="13"/>
      <c r="M1058" s="2"/>
    </row>
    <row r="1059" spans="9:13" x14ac:dyDescent="0.2">
      <c r="I1059" s="13"/>
      <c r="J1059" s="13"/>
      <c r="M1059" s="2"/>
    </row>
    <row r="1060" spans="9:13" x14ac:dyDescent="0.2">
      <c r="I1060" s="13"/>
      <c r="J1060" s="13"/>
      <c r="M1060" s="2"/>
    </row>
    <row r="1061" spans="9:13" x14ac:dyDescent="0.2">
      <c r="I1061" s="13"/>
      <c r="J1061" s="13"/>
      <c r="M1061" s="2"/>
    </row>
    <row r="1062" spans="9:13" x14ac:dyDescent="0.2">
      <c r="I1062" s="13"/>
      <c r="J1062" s="13"/>
      <c r="M1062" s="2"/>
    </row>
    <row r="1063" spans="9:13" x14ac:dyDescent="0.2">
      <c r="I1063" s="13"/>
      <c r="J1063" s="13"/>
      <c r="M1063" s="2"/>
    </row>
    <row r="1064" spans="9:13" x14ac:dyDescent="0.2">
      <c r="I1064" s="13"/>
      <c r="J1064" s="13"/>
      <c r="M1064" s="2"/>
    </row>
    <row r="1065" spans="9:13" x14ac:dyDescent="0.2">
      <c r="I1065" s="13"/>
      <c r="J1065" s="13"/>
      <c r="M1065" s="2"/>
    </row>
    <row r="1066" spans="9:13" x14ac:dyDescent="0.2">
      <c r="I1066" s="13"/>
      <c r="J1066" s="13"/>
      <c r="M1066" s="2"/>
    </row>
    <row r="1067" spans="9:13" x14ac:dyDescent="0.2">
      <c r="I1067" s="13"/>
      <c r="J1067" s="13"/>
      <c r="M1067" s="2"/>
    </row>
    <row r="1068" spans="9:13" x14ac:dyDescent="0.2">
      <c r="I1068" s="13"/>
      <c r="J1068" s="13"/>
      <c r="M1068" s="2"/>
    </row>
    <row r="1069" spans="9:13" x14ac:dyDescent="0.2">
      <c r="I1069" s="13"/>
      <c r="J1069" s="13"/>
      <c r="M1069" s="2"/>
    </row>
    <row r="1070" spans="9:13" x14ac:dyDescent="0.2">
      <c r="I1070" s="13"/>
      <c r="J1070" s="13"/>
      <c r="M1070" s="2"/>
    </row>
    <row r="1071" spans="9:13" x14ac:dyDescent="0.2">
      <c r="I1071" s="13"/>
      <c r="J1071" s="13"/>
      <c r="M1071" s="2"/>
    </row>
    <row r="1072" spans="9:13" x14ac:dyDescent="0.2">
      <c r="I1072" s="13"/>
      <c r="J1072" s="13"/>
      <c r="M1072" s="2"/>
    </row>
    <row r="1073" spans="9:13" x14ac:dyDescent="0.2">
      <c r="I1073" s="13"/>
      <c r="J1073" s="13"/>
      <c r="M1073" s="2"/>
    </row>
    <row r="1074" spans="9:13" x14ac:dyDescent="0.2">
      <c r="I1074" s="13"/>
      <c r="J1074" s="13"/>
      <c r="M1074" s="2"/>
    </row>
    <row r="1075" spans="9:13" x14ac:dyDescent="0.2">
      <c r="I1075" s="13"/>
      <c r="J1075" s="13"/>
      <c r="M1075" s="2"/>
    </row>
    <row r="1076" spans="9:13" x14ac:dyDescent="0.2">
      <c r="I1076" s="13"/>
      <c r="J1076" s="13"/>
      <c r="M1076" s="2"/>
    </row>
    <row r="1077" spans="9:13" x14ac:dyDescent="0.2">
      <c r="I1077" s="13"/>
      <c r="J1077" s="13"/>
      <c r="M1077" s="2"/>
    </row>
    <row r="1078" spans="9:13" x14ac:dyDescent="0.2">
      <c r="I1078" s="13"/>
      <c r="J1078" s="13"/>
      <c r="M1078" s="2"/>
    </row>
    <row r="1079" spans="9:13" x14ac:dyDescent="0.2">
      <c r="I1079" s="13"/>
      <c r="J1079" s="13"/>
      <c r="M1079" s="2"/>
    </row>
    <row r="1080" spans="9:13" x14ac:dyDescent="0.2">
      <c r="I1080" s="13"/>
      <c r="J1080" s="13"/>
      <c r="M1080" s="2"/>
    </row>
    <row r="1081" spans="9:13" x14ac:dyDescent="0.2">
      <c r="I1081" s="13"/>
      <c r="J1081" s="13"/>
      <c r="M1081" s="2"/>
    </row>
    <row r="1082" spans="9:13" x14ac:dyDescent="0.2">
      <c r="I1082" s="13"/>
      <c r="J1082" s="13"/>
      <c r="M1082" s="2"/>
    </row>
    <row r="1083" spans="9:13" x14ac:dyDescent="0.2">
      <c r="I1083" s="13"/>
      <c r="J1083" s="13"/>
      <c r="M1083" s="2"/>
    </row>
    <row r="1084" spans="9:13" x14ac:dyDescent="0.2">
      <c r="I1084" s="13"/>
      <c r="J1084" s="13"/>
      <c r="M1084" s="2"/>
    </row>
    <row r="1085" spans="9:13" x14ac:dyDescent="0.2">
      <c r="I1085" s="13"/>
      <c r="J1085" s="13"/>
      <c r="M1085" s="2"/>
    </row>
    <row r="1086" spans="9:13" x14ac:dyDescent="0.2">
      <c r="I1086" s="13"/>
      <c r="J1086" s="13"/>
      <c r="M1086" s="2"/>
    </row>
    <row r="1087" spans="9:13" x14ac:dyDescent="0.2">
      <c r="I1087" s="13"/>
      <c r="J1087" s="13"/>
      <c r="M1087" s="2"/>
    </row>
    <row r="1088" spans="9:13" x14ac:dyDescent="0.2">
      <c r="I1088" s="13"/>
      <c r="J1088" s="13"/>
      <c r="M1088" s="2"/>
    </row>
    <row r="1089" spans="9:13" x14ac:dyDescent="0.2">
      <c r="I1089" s="13"/>
      <c r="J1089" s="13"/>
      <c r="M1089" s="2"/>
    </row>
    <row r="1090" spans="9:13" x14ac:dyDescent="0.2">
      <c r="I1090" s="13"/>
      <c r="J1090" s="13"/>
      <c r="M1090" s="2"/>
    </row>
    <row r="1091" spans="9:13" x14ac:dyDescent="0.2">
      <c r="I1091" s="13"/>
      <c r="J1091" s="13"/>
      <c r="M1091" s="2"/>
    </row>
    <row r="1092" spans="9:13" x14ac:dyDescent="0.2">
      <c r="I1092" s="13"/>
      <c r="J1092" s="13"/>
      <c r="M1092" s="2"/>
    </row>
    <row r="1093" spans="9:13" x14ac:dyDescent="0.2">
      <c r="I1093" s="13"/>
      <c r="J1093" s="13"/>
      <c r="M1093" s="2"/>
    </row>
    <row r="1094" spans="9:13" x14ac:dyDescent="0.2">
      <c r="I1094" s="13"/>
      <c r="J1094" s="13"/>
      <c r="M1094" s="2"/>
    </row>
    <row r="1095" spans="9:13" x14ac:dyDescent="0.2">
      <c r="I1095" s="13"/>
      <c r="J1095" s="13"/>
      <c r="M1095" s="2"/>
    </row>
    <row r="1096" spans="9:13" x14ac:dyDescent="0.2">
      <c r="I1096" s="13"/>
      <c r="J1096" s="13"/>
      <c r="M1096" s="2"/>
    </row>
    <row r="1097" spans="9:13" x14ac:dyDescent="0.2">
      <c r="I1097" s="13"/>
      <c r="J1097" s="13"/>
      <c r="M1097" s="2"/>
    </row>
    <row r="1098" spans="9:13" x14ac:dyDescent="0.2">
      <c r="I1098" s="13"/>
      <c r="J1098" s="13"/>
      <c r="M1098" s="2"/>
    </row>
    <row r="1099" spans="9:13" x14ac:dyDescent="0.2">
      <c r="I1099" s="13"/>
      <c r="J1099" s="13"/>
      <c r="M1099" s="2"/>
    </row>
    <row r="1100" spans="9:13" x14ac:dyDescent="0.2">
      <c r="I1100" s="13"/>
      <c r="J1100" s="13"/>
      <c r="M1100" s="2"/>
    </row>
    <row r="1101" spans="9:13" x14ac:dyDescent="0.2">
      <c r="I1101" s="13"/>
      <c r="J1101" s="13"/>
      <c r="M1101" s="2"/>
    </row>
    <row r="1102" spans="9:13" x14ac:dyDescent="0.2">
      <c r="I1102" s="13"/>
      <c r="J1102" s="13"/>
      <c r="M1102" s="2"/>
    </row>
    <row r="1103" spans="9:13" x14ac:dyDescent="0.2">
      <c r="I1103" s="13"/>
      <c r="J1103" s="13"/>
      <c r="M1103" s="2"/>
    </row>
    <row r="1104" spans="9:13" x14ac:dyDescent="0.2">
      <c r="I1104" s="13"/>
      <c r="J1104" s="13"/>
      <c r="M1104" s="2"/>
    </row>
    <row r="1105" spans="9:13" x14ac:dyDescent="0.2">
      <c r="I1105" s="13"/>
      <c r="J1105" s="13"/>
      <c r="M1105" s="2"/>
    </row>
    <row r="1106" spans="9:13" x14ac:dyDescent="0.2">
      <c r="I1106" s="13"/>
      <c r="J1106" s="13"/>
      <c r="M1106" s="2"/>
    </row>
    <row r="1107" spans="9:13" x14ac:dyDescent="0.2">
      <c r="I1107" s="13"/>
      <c r="J1107" s="13"/>
      <c r="M1107" s="2"/>
    </row>
    <row r="1108" spans="9:13" x14ac:dyDescent="0.2">
      <c r="I1108" s="13"/>
      <c r="J1108" s="13"/>
      <c r="M1108" s="2"/>
    </row>
    <row r="1109" spans="9:13" x14ac:dyDescent="0.2">
      <c r="I1109" s="13"/>
      <c r="J1109" s="13"/>
      <c r="M1109" s="2"/>
    </row>
    <row r="1110" spans="9:13" x14ac:dyDescent="0.2">
      <c r="I1110" s="13"/>
      <c r="J1110" s="13"/>
      <c r="M1110" s="2"/>
    </row>
    <row r="1111" spans="9:13" x14ac:dyDescent="0.2">
      <c r="I1111" s="13"/>
      <c r="J1111" s="13"/>
      <c r="M1111" s="2"/>
    </row>
    <row r="1112" spans="9:13" x14ac:dyDescent="0.2">
      <c r="I1112" s="13"/>
      <c r="J1112" s="13"/>
      <c r="M1112" s="2"/>
    </row>
    <row r="1113" spans="9:13" x14ac:dyDescent="0.2">
      <c r="I1113" s="13"/>
      <c r="J1113" s="13"/>
      <c r="M1113" s="2"/>
    </row>
    <row r="1114" spans="9:13" x14ac:dyDescent="0.2">
      <c r="I1114" s="13"/>
      <c r="J1114" s="13"/>
      <c r="M1114" s="2"/>
    </row>
    <row r="1115" spans="9:13" x14ac:dyDescent="0.2">
      <c r="I1115" s="13"/>
      <c r="J1115" s="13"/>
      <c r="M1115" s="2"/>
    </row>
    <row r="1116" spans="9:13" x14ac:dyDescent="0.2">
      <c r="I1116" s="13"/>
      <c r="J1116" s="13"/>
      <c r="M1116" s="2"/>
    </row>
    <row r="1117" spans="9:13" x14ac:dyDescent="0.2">
      <c r="I1117" s="13"/>
      <c r="J1117" s="13"/>
      <c r="M1117" s="2"/>
    </row>
    <row r="1118" spans="9:13" x14ac:dyDescent="0.2">
      <c r="I1118" s="13"/>
      <c r="J1118" s="13"/>
      <c r="M1118" s="2"/>
    </row>
    <row r="1119" spans="9:13" x14ac:dyDescent="0.2">
      <c r="I1119" s="13"/>
      <c r="J1119" s="13"/>
      <c r="M1119" s="2"/>
    </row>
    <row r="1120" spans="9:13" x14ac:dyDescent="0.2">
      <c r="I1120" s="13"/>
      <c r="J1120" s="13"/>
      <c r="M1120" s="2"/>
    </row>
    <row r="1121" spans="9:13" x14ac:dyDescent="0.2">
      <c r="I1121" s="13"/>
      <c r="J1121" s="13"/>
      <c r="M1121" s="2"/>
    </row>
    <row r="1122" spans="9:13" x14ac:dyDescent="0.2">
      <c r="I1122" s="13"/>
      <c r="J1122" s="13"/>
      <c r="M1122" s="2"/>
    </row>
    <row r="1123" spans="9:13" x14ac:dyDescent="0.2">
      <c r="I1123" s="13"/>
      <c r="J1123" s="13"/>
      <c r="M1123" s="2"/>
    </row>
    <row r="1124" spans="9:13" x14ac:dyDescent="0.2">
      <c r="I1124" s="13"/>
      <c r="J1124" s="13"/>
      <c r="M1124" s="2"/>
    </row>
    <row r="1125" spans="9:13" x14ac:dyDescent="0.2">
      <c r="I1125" s="13"/>
      <c r="J1125" s="13"/>
      <c r="M1125" s="2"/>
    </row>
    <row r="1126" spans="9:13" x14ac:dyDescent="0.2">
      <c r="I1126" s="13"/>
      <c r="J1126" s="13"/>
      <c r="M1126" s="2"/>
    </row>
    <row r="1127" spans="9:13" x14ac:dyDescent="0.2">
      <c r="I1127" s="13"/>
      <c r="J1127" s="13"/>
      <c r="M1127" s="2"/>
    </row>
    <row r="1128" spans="9:13" x14ac:dyDescent="0.2">
      <c r="I1128" s="13"/>
      <c r="J1128" s="13"/>
      <c r="M1128" s="2"/>
    </row>
    <row r="1129" spans="9:13" x14ac:dyDescent="0.2">
      <c r="I1129" s="13"/>
      <c r="J1129" s="13"/>
      <c r="M1129" s="2"/>
    </row>
    <row r="1130" spans="9:13" x14ac:dyDescent="0.2">
      <c r="I1130" s="13"/>
      <c r="J1130" s="13"/>
      <c r="M1130" s="2"/>
    </row>
    <row r="1131" spans="9:13" x14ac:dyDescent="0.2">
      <c r="I1131" s="13"/>
      <c r="J1131" s="13"/>
      <c r="M1131" s="2"/>
    </row>
    <row r="1132" spans="9:13" x14ac:dyDescent="0.2">
      <c r="I1132" s="13"/>
      <c r="J1132" s="13"/>
      <c r="M1132" s="2"/>
    </row>
    <row r="1133" spans="9:13" x14ac:dyDescent="0.2">
      <c r="I1133" s="13"/>
      <c r="J1133" s="13"/>
      <c r="M1133" s="2"/>
    </row>
    <row r="1134" spans="9:13" x14ac:dyDescent="0.2">
      <c r="I1134" s="13"/>
      <c r="J1134" s="13"/>
      <c r="M1134" s="2"/>
    </row>
    <row r="1135" spans="9:13" x14ac:dyDescent="0.2">
      <c r="I1135" s="13"/>
      <c r="J1135" s="13"/>
      <c r="M1135" s="2"/>
    </row>
    <row r="1136" spans="9:13" x14ac:dyDescent="0.2">
      <c r="I1136" s="13"/>
      <c r="J1136" s="13"/>
      <c r="M1136" s="2"/>
    </row>
    <row r="1137" spans="9:13" x14ac:dyDescent="0.2">
      <c r="I1137" s="13"/>
      <c r="J1137" s="13"/>
      <c r="M1137" s="2"/>
    </row>
    <row r="1138" spans="9:13" x14ac:dyDescent="0.2">
      <c r="I1138" s="13"/>
      <c r="J1138" s="13"/>
      <c r="M1138" s="2"/>
    </row>
    <row r="1139" spans="9:13" x14ac:dyDescent="0.2">
      <c r="I1139" s="13"/>
      <c r="J1139" s="13"/>
      <c r="M1139" s="2"/>
    </row>
    <row r="1140" spans="9:13" x14ac:dyDescent="0.2">
      <c r="I1140" s="13"/>
      <c r="J1140" s="13"/>
      <c r="M1140" s="2"/>
    </row>
    <row r="1141" spans="9:13" x14ac:dyDescent="0.2">
      <c r="I1141" s="13"/>
      <c r="J1141" s="13"/>
      <c r="M1141" s="2"/>
    </row>
    <row r="1142" spans="9:13" x14ac:dyDescent="0.2">
      <c r="I1142" s="13"/>
      <c r="J1142" s="13"/>
      <c r="M1142" s="2"/>
    </row>
    <row r="1143" spans="9:13" x14ac:dyDescent="0.2">
      <c r="I1143" s="13"/>
      <c r="J1143" s="13"/>
      <c r="M1143" s="2"/>
    </row>
    <row r="1144" spans="9:13" x14ac:dyDescent="0.2">
      <c r="I1144" s="13"/>
      <c r="J1144" s="13"/>
      <c r="M1144" s="2"/>
    </row>
    <row r="1145" spans="9:13" x14ac:dyDescent="0.2">
      <c r="I1145" s="13"/>
      <c r="J1145" s="13"/>
      <c r="M1145" s="2"/>
    </row>
    <row r="1146" spans="9:13" x14ac:dyDescent="0.2">
      <c r="I1146" s="13"/>
      <c r="J1146" s="13"/>
      <c r="M1146" s="2"/>
    </row>
    <row r="1147" spans="9:13" x14ac:dyDescent="0.2">
      <c r="I1147" s="13"/>
      <c r="J1147" s="13"/>
      <c r="M1147" s="2"/>
    </row>
    <row r="1148" spans="9:13" x14ac:dyDescent="0.2">
      <c r="I1148" s="13"/>
      <c r="J1148" s="13"/>
      <c r="M1148" s="2"/>
    </row>
    <row r="1149" spans="9:13" x14ac:dyDescent="0.2">
      <c r="I1149" s="13"/>
      <c r="J1149" s="13"/>
      <c r="M1149" s="2"/>
    </row>
    <row r="1150" spans="9:13" x14ac:dyDescent="0.2">
      <c r="I1150" s="13"/>
      <c r="J1150" s="13"/>
      <c r="M1150" s="2"/>
    </row>
    <row r="1151" spans="9:13" x14ac:dyDescent="0.2">
      <c r="I1151" s="13"/>
      <c r="J1151" s="13"/>
      <c r="M1151" s="2"/>
    </row>
    <row r="1152" spans="9:13" x14ac:dyDescent="0.2">
      <c r="I1152" s="13"/>
      <c r="J1152" s="13"/>
      <c r="M1152" s="2"/>
    </row>
    <row r="1153" spans="9:13" x14ac:dyDescent="0.2">
      <c r="I1153" s="13"/>
      <c r="J1153" s="13"/>
      <c r="M1153" s="2"/>
    </row>
    <row r="1154" spans="9:13" x14ac:dyDescent="0.2">
      <c r="I1154" s="13"/>
      <c r="J1154" s="13"/>
      <c r="M1154" s="2"/>
    </row>
    <row r="1155" spans="9:13" x14ac:dyDescent="0.2">
      <c r="I1155" s="13"/>
      <c r="J1155" s="13"/>
      <c r="M1155" s="2"/>
    </row>
    <row r="1156" spans="9:13" x14ac:dyDescent="0.2">
      <c r="I1156" s="13"/>
      <c r="J1156" s="13"/>
      <c r="M1156" s="2"/>
    </row>
    <row r="1157" spans="9:13" x14ac:dyDescent="0.2">
      <c r="I1157" s="13"/>
      <c r="J1157" s="13"/>
      <c r="M1157" s="2"/>
    </row>
    <row r="1158" spans="9:13" x14ac:dyDescent="0.2">
      <c r="I1158" s="13"/>
      <c r="J1158" s="13"/>
      <c r="M1158" s="2"/>
    </row>
    <row r="1159" spans="9:13" x14ac:dyDescent="0.2">
      <c r="I1159" s="13"/>
      <c r="J1159" s="13"/>
      <c r="M1159" s="2"/>
    </row>
    <row r="1160" spans="9:13" x14ac:dyDescent="0.2">
      <c r="I1160" s="13"/>
      <c r="J1160" s="13"/>
      <c r="M1160" s="2"/>
    </row>
    <row r="1161" spans="9:13" x14ac:dyDescent="0.2">
      <c r="I1161" s="13"/>
      <c r="J1161" s="13"/>
      <c r="M1161" s="2"/>
    </row>
    <row r="1162" spans="9:13" x14ac:dyDescent="0.2">
      <c r="I1162" s="13"/>
      <c r="J1162" s="13"/>
      <c r="M1162" s="2"/>
    </row>
    <row r="1163" spans="9:13" x14ac:dyDescent="0.2">
      <c r="I1163" s="13"/>
      <c r="J1163" s="13"/>
      <c r="M1163" s="2"/>
    </row>
    <row r="1164" spans="9:13" x14ac:dyDescent="0.2">
      <c r="I1164" s="13"/>
      <c r="J1164" s="13"/>
      <c r="M1164" s="2"/>
    </row>
    <row r="1165" spans="9:13" x14ac:dyDescent="0.2">
      <c r="I1165" s="13"/>
      <c r="J1165" s="13"/>
      <c r="M1165" s="2"/>
    </row>
    <row r="1166" spans="9:13" x14ac:dyDescent="0.2">
      <c r="I1166" s="13"/>
      <c r="J1166" s="13"/>
      <c r="M1166" s="2"/>
    </row>
    <row r="1167" spans="9:13" x14ac:dyDescent="0.2">
      <c r="I1167" s="13"/>
      <c r="J1167" s="13"/>
      <c r="M1167" s="2"/>
    </row>
    <row r="1168" spans="9:13" x14ac:dyDescent="0.2">
      <c r="I1168" s="13"/>
      <c r="J1168" s="13"/>
      <c r="M1168" s="2"/>
    </row>
    <row r="1169" spans="9:13" x14ac:dyDescent="0.2">
      <c r="I1169" s="13"/>
      <c r="J1169" s="13"/>
      <c r="M1169" s="2"/>
    </row>
    <row r="1170" spans="9:13" x14ac:dyDescent="0.2">
      <c r="I1170" s="13"/>
      <c r="J1170" s="13"/>
      <c r="M1170" s="2"/>
    </row>
    <row r="1171" spans="9:13" x14ac:dyDescent="0.2">
      <c r="I1171" s="13"/>
      <c r="J1171" s="13"/>
      <c r="M1171" s="2"/>
    </row>
    <row r="1172" spans="9:13" x14ac:dyDescent="0.2">
      <c r="I1172" s="13"/>
      <c r="J1172" s="13"/>
      <c r="M1172" s="2"/>
    </row>
    <row r="1173" spans="9:13" x14ac:dyDescent="0.2">
      <c r="I1173" s="13"/>
      <c r="J1173" s="13"/>
      <c r="M1173" s="2"/>
    </row>
    <row r="1174" spans="9:13" x14ac:dyDescent="0.2">
      <c r="I1174" s="13"/>
      <c r="J1174" s="13"/>
      <c r="M1174" s="2"/>
    </row>
    <row r="1175" spans="9:13" x14ac:dyDescent="0.2">
      <c r="I1175" s="13"/>
      <c r="J1175" s="13"/>
      <c r="M1175" s="2"/>
    </row>
    <row r="1176" spans="9:13" x14ac:dyDescent="0.2">
      <c r="I1176" s="13"/>
      <c r="J1176" s="13"/>
      <c r="M1176" s="2"/>
    </row>
    <row r="1177" spans="9:13" x14ac:dyDescent="0.2">
      <c r="I1177" s="13"/>
      <c r="J1177" s="13"/>
      <c r="M1177" s="2"/>
    </row>
    <row r="1178" spans="9:13" x14ac:dyDescent="0.2">
      <c r="I1178" s="13"/>
      <c r="J1178" s="13"/>
      <c r="M1178" s="2"/>
    </row>
    <row r="1179" spans="9:13" x14ac:dyDescent="0.2">
      <c r="I1179" s="13"/>
      <c r="J1179" s="13"/>
      <c r="M1179" s="2"/>
    </row>
    <row r="1180" spans="9:13" x14ac:dyDescent="0.2">
      <c r="I1180" s="13"/>
      <c r="J1180" s="13"/>
      <c r="M1180" s="2"/>
    </row>
    <row r="1181" spans="9:13" x14ac:dyDescent="0.2">
      <c r="I1181" s="13"/>
      <c r="J1181" s="13"/>
      <c r="M1181" s="2"/>
    </row>
    <row r="1182" spans="9:13" x14ac:dyDescent="0.2">
      <c r="I1182" s="13"/>
      <c r="J1182" s="13"/>
      <c r="M1182" s="2"/>
    </row>
    <row r="1183" spans="9:13" x14ac:dyDescent="0.2">
      <c r="I1183" s="13"/>
      <c r="J1183" s="13"/>
      <c r="M1183" s="2"/>
    </row>
    <row r="1184" spans="9:13" x14ac:dyDescent="0.2">
      <c r="I1184" s="13"/>
      <c r="J1184" s="13"/>
      <c r="M1184" s="2"/>
    </row>
    <row r="1185" spans="9:13" x14ac:dyDescent="0.2">
      <c r="I1185" s="13"/>
      <c r="J1185" s="13"/>
      <c r="M1185" s="2"/>
    </row>
    <row r="1186" spans="9:13" x14ac:dyDescent="0.2">
      <c r="I1186" s="13"/>
      <c r="J1186" s="13"/>
      <c r="M1186" s="2"/>
    </row>
    <row r="1187" spans="9:13" x14ac:dyDescent="0.2">
      <c r="I1187" s="13"/>
      <c r="J1187" s="13"/>
      <c r="M1187" s="2"/>
    </row>
    <row r="1188" spans="9:13" x14ac:dyDescent="0.2">
      <c r="I1188" s="13"/>
      <c r="J1188" s="13"/>
      <c r="M1188" s="2"/>
    </row>
    <row r="1189" spans="9:13" x14ac:dyDescent="0.2">
      <c r="I1189" s="13"/>
      <c r="J1189" s="13"/>
      <c r="M1189" s="2"/>
    </row>
    <row r="1190" spans="9:13" x14ac:dyDescent="0.2">
      <c r="I1190" s="13"/>
      <c r="J1190" s="13"/>
      <c r="M1190" s="2"/>
    </row>
    <row r="1191" spans="9:13" x14ac:dyDescent="0.2">
      <c r="I1191" s="13"/>
      <c r="J1191" s="13"/>
      <c r="M1191" s="2"/>
    </row>
    <row r="1192" spans="9:13" x14ac:dyDescent="0.2">
      <c r="I1192" s="13"/>
      <c r="J1192" s="13"/>
      <c r="M1192" s="2"/>
    </row>
    <row r="1193" spans="9:13" x14ac:dyDescent="0.2">
      <c r="I1193" s="13"/>
      <c r="J1193" s="13"/>
      <c r="M1193" s="2"/>
    </row>
    <row r="1194" spans="9:13" x14ac:dyDescent="0.2">
      <c r="I1194" s="13"/>
      <c r="J1194" s="13"/>
      <c r="M1194" s="2"/>
    </row>
    <row r="1195" spans="9:13" x14ac:dyDescent="0.2">
      <c r="I1195" s="13"/>
      <c r="J1195" s="13"/>
      <c r="M1195" s="2"/>
    </row>
    <row r="1196" spans="9:13" x14ac:dyDescent="0.2">
      <c r="I1196" s="13"/>
      <c r="J1196" s="13"/>
      <c r="M1196" s="2"/>
    </row>
    <row r="1197" spans="9:13" x14ac:dyDescent="0.2">
      <c r="I1197" s="13"/>
      <c r="J1197" s="13"/>
      <c r="M1197" s="2"/>
    </row>
    <row r="1198" spans="9:13" x14ac:dyDescent="0.2">
      <c r="I1198" s="13"/>
      <c r="J1198" s="13"/>
      <c r="M1198" s="2"/>
    </row>
    <row r="1199" spans="9:13" x14ac:dyDescent="0.2">
      <c r="I1199" s="13"/>
      <c r="J1199" s="13"/>
      <c r="M1199" s="2"/>
    </row>
    <row r="1200" spans="9:13" x14ac:dyDescent="0.2">
      <c r="I1200" s="13"/>
      <c r="J1200" s="13"/>
      <c r="M1200" s="2"/>
    </row>
    <row r="1201" spans="9:13" x14ac:dyDescent="0.2">
      <c r="I1201" s="13"/>
      <c r="J1201" s="13"/>
      <c r="M1201" s="2"/>
    </row>
    <row r="1202" spans="9:13" x14ac:dyDescent="0.2">
      <c r="I1202" s="13"/>
      <c r="J1202" s="13"/>
      <c r="M1202" s="2"/>
    </row>
    <row r="1203" spans="9:13" x14ac:dyDescent="0.2">
      <c r="I1203" s="13"/>
      <c r="J1203" s="13"/>
      <c r="M1203" s="2"/>
    </row>
    <row r="1204" spans="9:13" x14ac:dyDescent="0.2">
      <c r="I1204" s="13"/>
      <c r="J1204" s="13"/>
      <c r="M1204" s="2"/>
    </row>
    <row r="1205" spans="9:13" x14ac:dyDescent="0.2">
      <c r="I1205" s="13"/>
      <c r="J1205" s="13"/>
      <c r="M1205" s="2"/>
    </row>
    <row r="1206" spans="9:13" x14ac:dyDescent="0.2">
      <c r="I1206" s="13"/>
      <c r="J1206" s="13"/>
      <c r="M1206" s="2"/>
    </row>
    <row r="1207" spans="9:13" x14ac:dyDescent="0.2">
      <c r="I1207" s="13"/>
      <c r="J1207" s="13"/>
      <c r="M1207" s="2"/>
    </row>
    <row r="1208" spans="9:13" x14ac:dyDescent="0.2">
      <c r="I1208" s="13"/>
      <c r="J1208" s="13"/>
      <c r="M1208" s="2"/>
    </row>
    <row r="1209" spans="9:13" x14ac:dyDescent="0.2">
      <c r="I1209" s="13"/>
      <c r="J1209" s="13"/>
      <c r="M1209" s="2"/>
    </row>
    <row r="1210" spans="9:13" x14ac:dyDescent="0.2">
      <c r="I1210" s="13"/>
      <c r="J1210" s="13"/>
      <c r="M1210" s="2"/>
    </row>
    <row r="1211" spans="9:13" x14ac:dyDescent="0.2">
      <c r="I1211" s="13"/>
      <c r="J1211" s="13"/>
      <c r="M1211" s="2"/>
    </row>
    <row r="1212" spans="9:13" x14ac:dyDescent="0.2">
      <c r="I1212" s="13"/>
      <c r="J1212" s="13"/>
      <c r="M1212" s="2"/>
    </row>
    <row r="1213" spans="9:13" x14ac:dyDescent="0.2">
      <c r="I1213" s="13"/>
      <c r="J1213" s="13"/>
      <c r="M1213" s="2"/>
    </row>
    <row r="1214" spans="9:13" x14ac:dyDescent="0.2">
      <c r="I1214" s="13"/>
      <c r="J1214" s="13"/>
      <c r="M1214" s="2"/>
    </row>
    <row r="1215" spans="9:13" x14ac:dyDescent="0.2">
      <c r="I1215" s="13"/>
      <c r="J1215" s="13"/>
      <c r="M1215" s="2"/>
    </row>
    <row r="1216" spans="9:13" x14ac:dyDescent="0.2">
      <c r="I1216" s="13"/>
      <c r="J1216" s="13"/>
      <c r="M1216" s="2"/>
    </row>
    <row r="1217" spans="9:13" x14ac:dyDescent="0.2">
      <c r="I1217" s="13"/>
      <c r="J1217" s="13"/>
      <c r="M1217" s="2"/>
    </row>
    <row r="1218" spans="9:13" x14ac:dyDescent="0.2">
      <c r="I1218" s="13"/>
      <c r="J1218" s="13"/>
      <c r="M1218" s="2"/>
    </row>
    <row r="1219" spans="9:13" x14ac:dyDescent="0.2">
      <c r="I1219" s="13"/>
      <c r="J1219" s="13"/>
      <c r="M1219" s="2"/>
    </row>
    <row r="1220" spans="9:13" x14ac:dyDescent="0.2">
      <c r="I1220" s="13"/>
      <c r="J1220" s="13"/>
      <c r="M1220" s="2"/>
    </row>
    <row r="1221" spans="9:13" x14ac:dyDescent="0.2">
      <c r="I1221" s="13"/>
      <c r="J1221" s="13"/>
      <c r="M1221" s="2"/>
    </row>
    <row r="1222" spans="9:13" x14ac:dyDescent="0.2">
      <c r="I1222" s="13"/>
      <c r="J1222" s="13"/>
      <c r="M1222" s="2"/>
    </row>
    <row r="1223" spans="9:13" x14ac:dyDescent="0.2">
      <c r="I1223" s="13"/>
      <c r="J1223" s="13"/>
      <c r="M1223" s="2"/>
    </row>
    <row r="1224" spans="9:13" x14ac:dyDescent="0.2">
      <c r="I1224" s="13"/>
      <c r="J1224" s="13"/>
      <c r="M1224" s="2"/>
    </row>
    <row r="1225" spans="9:13" x14ac:dyDescent="0.2">
      <c r="I1225" s="13"/>
      <c r="J1225" s="13"/>
      <c r="M1225" s="2"/>
    </row>
    <row r="1226" spans="9:13" x14ac:dyDescent="0.2">
      <c r="I1226" s="13"/>
      <c r="J1226" s="13"/>
      <c r="M1226" s="2"/>
    </row>
    <row r="1227" spans="9:13" x14ac:dyDescent="0.2">
      <c r="I1227" s="13"/>
      <c r="J1227" s="13"/>
      <c r="M1227" s="2"/>
    </row>
    <row r="1228" spans="9:13" x14ac:dyDescent="0.2">
      <c r="I1228" s="13"/>
      <c r="J1228" s="13"/>
      <c r="M1228" s="2"/>
    </row>
    <row r="1229" spans="9:13" x14ac:dyDescent="0.2">
      <c r="I1229" s="13"/>
      <c r="J1229" s="13"/>
      <c r="M1229" s="2"/>
    </row>
    <row r="1230" spans="9:13" x14ac:dyDescent="0.2">
      <c r="I1230" s="13"/>
      <c r="J1230" s="13"/>
      <c r="M1230" s="2"/>
    </row>
    <row r="1231" spans="9:13" x14ac:dyDescent="0.2">
      <c r="I1231" s="13"/>
      <c r="J1231" s="13"/>
      <c r="M1231" s="2"/>
    </row>
    <row r="1232" spans="9:13" x14ac:dyDescent="0.2">
      <c r="I1232" s="13"/>
      <c r="J1232" s="13"/>
      <c r="M1232" s="2"/>
    </row>
    <row r="1233" spans="9:13" x14ac:dyDescent="0.2">
      <c r="I1233" s="13"/>
      <c r="J1233" s="13"/>
      <c r="M1233" s="2"/>
    </row>
    <row r="1234" spans="9:13" x14ac:dyDescent="0.2">
      <c r="I1234" s="13"/>
      <c r="J1234" s="13"/>
      <c r="M1234" s="2"/>
    </row>
    <row r="1235" spans="9:13" x14ac:dyDescent="0.2">
      <c r="I1235" s="13"/>
      <c r="J1235" s="13"/>
      <c r="M1235" s="2"/>
    </row>
    <row r="1236" spans="9:13" x14ac:dyDescent="0.2">
      <c r="I1236" s="13"/>
      <c r="J1236" s="13"/>
      <c r="M1236" s="2"/>
    </row>
    <row r="1237" spans="9:13" x14ac:dyDescent="0.2">
      <c r="I1237" s="13"/>
      <c r="J1237" s="13"/>
      <c r="M1237" s="2"/>
    </row>
    <row r="1238" spans="9:13" x14ac:dyDescent="0.2">
      <c r="I1238" s="13"/>
      <c r="J1238" s="13"/>
      <c r="M1238" s="2"/>
    </row>
    <row r="1239" spans="9:13" x14ac:dyDescent="0.2">
      <c r="I1239" s="13"/>
      <c r="J1239" s="13"/>
      <c r="M1239" s="2"/>
    </row>
    <row r="1240" spans="9:13" x14ac:dyDescent="0.2">
      <c r="I1240" s="13"/>
      <c r="J1240" s="13"/>
      <c r="M1240" s="2"/>
    </row>
    <row r="1241" spans="9:13" x14ac:dyDescent="0.2">
      <c r="I1241" s="13"/>
      <c r="J1241" s="13"/>
      <c r="M1241" s="2"/>
    </row>
    <row r="1242" spans="9:13" x14ac:dyDescent="0.2">
      <c r="I1242" s="13"/>
      <c r="J1242" s="13"/>
      <c r="M1242" s="2"/>
    </row>
    <row r="1243" spans="9:13" x14ac:dyDescent="0.2">
      <c r="I1243" s="13"/>
      <c r="J1243" s="13"/>
      <c r="M1243" s="2"/>
    </row>
    <row r="1244" spans="9:13" x14ac:dyDescent="0.2">
      <c r="I1244" s="13"/>
      <c r="J1244" s="13"/>
      <c r="M1244" s="2"/>
    </row>
    <row r="1245" spans="9:13" x14ac:dyDescent="0.2">
      <c r="I1245" s="13"/>
      <c r="J1245" s="13"/>
      <c r="M1245" s="2"/>
    </row>
    <row r="1246" spans="9:13" x14ac:dyDescent="0.2">
      <c r="I1246" s="13"/>
      <c r="J1246" s="13"/>
      <c r="M1246" s="2"/>
    </row>
    <row r="1247" spans="9:13" x14ac:dyDescent="0.2">
      <c r="I1247" s="13"/>
      <c r="J1247" s="13"/>
      <c r="M1247" s="2"/>
    </row>
    <row r="1248" spans="9:13" x14ac:dyDescent="0.2">
      <c r="I1248" s="13"/>
      <c r="J1248" s="13"/>
      <c r="M1248" s="2"/>
    </row>
    <row r="1249" spans="9:13" x14ac:dyDescent="0.2">
      <c r="I1249" s="13"/>
      <c r="J1249" s="13"/>
      <c r="M1249" s="2"/>
    </row>
    <row r="1250" spans="9:13" x14ac:dyDescent="0.2">
      <c r="I1250" s="13"/>
      <c r="J1250" s="13"/>
      <c r="M1250" s="2"/>
    </row>
    <row r="1251" spans="9:13" x14ac:dyDescent="0.2">
      <c r="I1251" s="13"/>
      <c r="J1251" s="13"/>
      <c r="M1251" s="2"/>
    </row>
    <row r="1252" spans="9:13" x14ac:dyDescent="0.2">
      <c r="I1252" s="13"/>
      <c r="J1252" s="13"/>
      <c r="M1252" s="2"/>
    </row>
    <row r="1253" spans="9:13" x14ac:dyDescent="0.2">
      <c r="I1253" s="13"/>
      <c r="J1253" s="13"/>
      <c r="M1253" s="2"/>
    </row>
    <row r="1254" spans="9:13" x14ac:dyDescent="0.2">
      <c r="I1254" s="13"/>
      <c r="J1254" s="13"/>
      <c r="M1254" s="2"/>
    </row>
    <row r="1255" spans="9:13" x14ac:dyDescent="0.2">
      <c r="I1255" s="13"/>
      <c r="J1255" s="13"/>
      <c r="M1255" s="2"/>
    </row>
    <row r="1256" spans="9:13" x14ac:dyDescent="0.2">
      <c r="I1256" s="13"/>
      <c r="J1256" s="13"/>
      <c r="M1256" s="2"/>
    </row>
    <row r="1257" spans="9:13" x14ac:dyDescent="0.2">
      <c r="I1257" s="13"/>
      <c r="J1257" s="13"/>
      <c r="M1257" s="2"/>
    </row>
    <row r="1258" spans="9:13" x14ac:dyDescent="0.2">
      <c r="I1258" s="13"/>
      <c r="J1258" s="13"/>
      <c r="M1258" s="2"/>
    </row>
    <row r="1259" spans="9:13" x14ac:dyDescent="0.2">
      <c r="I1259" s="13"/>
      <c r="J1259" s="13"/>
      <c r="M1259" s="2"/>
    </row>
    <row r="1260" spans="9:13" x14ac:dyDescent="0.2">
      <c r="I1260" s="13"/>
      <c r="J1260" s="13"/>
      <c r="M1260" s="2"/>
    </row>
    <row r="1261" spans="9:13" x14ac:dyDescent="0.2">
      <c r="I1261" s="13"/>
      <c r="J1261" s="13"/>
      <c r="M1261" s="2"/>
    </row>
    <row r="1262" spans="9:13" x14ac:dyDescent="0.2">
      <c r="I1262" s="13"/>
      <c r="J1262" s="13"/>
      <c r="M1262" s="2"/>
    </row>
    <row r="1263" spans="9:13" x14ac:dyDescent="0.2">
      <c r="I1263" s="13"/>
      <c r="J1263" s="13"/>
      <c r="M1263" s="2"/>
    </row>
    <row r="1264" spans="9:13" x14ac:dyDescent="0.2">
      <c r="I1264" s="13"/>
      <c r="J1264" s="13"/>
      <c r="M1264" s="2"/>
    </row>
    <row r="1265" spans="9:13" x14ac:dyDescent="0.2">
      <c r="I1265" s="13"/>
      <c r="J1265" s="13"/>
      <c r="M1265" s="2"/>
    </row>
    <row r="1266" spans="9:13" x14ac:dyDescent="0.2">
      <c r="I1266" s="13"/>
      <c r="J1266" s="13"/>
      <c r="M1266" s="2"/>
    </row>
    <row r="1267" spans="9:13" x14ac:dyDescent="0.2">
      <c r="I1267" s="13"/>
      <c r="J1267" s="13"/>
      <c r="M1267" s="2"/>
    </row>
    <row r="1268" spans="9:13" x14ac:dyDescent="0.2">
      <c r="I1268" s="13"/>
      <c r="J1268" s="13"/>
      <c r="M1268" s="2"/>
    </row>
    <row r="1269" spans="9:13" x14ac:dyDescent="0.2">
      <c r="I1269" s="13"/>
      <c r="J1269" s="13"/>
      <c r="M1269" s="2"/>
    </row>
    <row r="1270" spans="9:13" x14ac:dyDescent="0.2">
      <c r="I1270" s="13"/>
      <c r="J1270" s="13"/>
      <c r="M1270" s="2"/>
    </row>
    <row r="1271" spans="9:13" x14ac:dyDescent="0.2">
      <c r="I1271" s="13"/>
      <c r="J1271" s="13"/>
      <c r="M1271" s="2"/>
    </row>
    <row r="1272" spans="9:13" x14ac:dyDescent="0.2">
      <c r="I1272" s="13"/>
      <c r="J1272" s="13"/>
      <c r="M1272" s="2"/>
    </row>
    <row r="1273" spans="9:13" x14ac:dyDescent="0.2">
      <c r="I1273" s="13"/>
      <c r="J1273" s="13"/>
      <c r="M1273" s="2"/>
    </row>
    <row r="1274" spans="9:13" x14ac:dyDescent="0.2">
      <c r="I1274" s="13"/>
      <c r="J1274" s="13"/>
      <c r="M1274" s="2"/>
    </row>
    <row r="1275" spans="9:13" x14ac:dyDescent="0.2">
      <c r="I1275" s="13"/>
      <c r="J1275" s="13"/>
      <c r="M1275" s="2"/>
    </row>
    <row r="1276" spans="9:13" x14ac:dyDescent="0.2">
      <c r="I1276" s="13"/>
      <c r="J1276" s="13"/>
      <c r="M1276" s="2"/>
    </row>
    <row r="1277" spans="9:13" x14ac:dyDescent="0.2">
      <c r="I1277" s="13"/>
      <c r="J1277" s="13"/>
      <c r="M1277" s="2"/>
    </row>
    <row r="1278" spans="9:13" x14ac:dyDescent="0.2">
      <c r="I1278" s="13"/>
      <c r="J1278" s="13"/>
      <c r="M1278" s="2"/>
    </row>
    <row r="1279" spans="9:13" x14ac:dyDescent="0.2">
      <c r="I1279" s="13"/>
      <c r="J1279" s="13"/>
      <c r="M1279" s="2"/>
    </row>
    <row r="1280" spans="9:13" x14ac:dyDescent="0.2">
      <c r="I1280" s="13"/>
      <c r="J1280" s="13"/>
      <c r="M1280" s="2"/>
    </row>
    <row r="1281" spans="9:13" x14ac:dyDescent="0.2">
      <c r="I1281" s="13"/>
      <c r="J1281" s="13"/>
      <c r="M1281" s="2"/>
    </row>
    <row r="1282" spans="9:13" x14ac:dyDescent="0.2">
      <c r="I1282" s="13"/>
      <c r="J1282" s="13"/>
      <c r="M1282" s="2"/>
    </row>
    <row r="1283" spans="9:13" x14ac:dyDescent="0.2">
      <c r="I1283" s="13"/>
      <c r="J1283" s="13"/>
      <c r="M1283" s="2"/>
    </row>
    <row r="1284" spans="9:13" x14ac:dyDescent="0.2">
      <c r="I1284" s="13"/>
      <c r="J1284" s="13"/>
      <c r="M1284" s="2"/>
    </row>
    <row r="1285" spans="9:13" x14ac:dyDescent="0.2">
      <c r="I1285" s="13"/>
      <c r="J1285" s="13"/>
      <c r="M1285" s="2"/>
    </row>
    <row r="1286" spans="9:13" x14ac:dyDescent="0.2">
      <c r="I1286" s="13"/>
      <c r="J1286" s="13"/>
      <c r="M1286" s="2"/>
    </row>
    <row r="1287" spans="9:13" x14ac:dyDescent="0.2">
      <c r="I1287" s="13"/>
      <c r="J1287" s="13"/>
      <c r="M1287" s="2"/>
    </row>
    <row r="1288" spans="9:13" x14ac:dyDescent="0.2">
      <c r="I1288" s="13"/>
      <c r="J1288" s="13"/>
      <c r="M1288" s="2"/>
    </row>
    <row r="1289" spans="9:13" x14ac:dyDescent="0.2">
      <c r="I1289" s="13"/>
      <c r="J1289" s="13"/>
      <c r="M1289" s="2"/>
    </row>
    <row r="1290" spans="9:13" x14ac:dyDescent="0.2">
      <c r="I1290" s="13"/>
      <c r="J1290" s="13"/>
      <c r="M1290" s="2"/>
    </row>
    <row r="1291" spans="9:13" x14ac:dyDescent="0.2">
      <c r="I1291" s="13"/>
      <c r="J1291" s="13"/>
      <c r="M1291" s="2"/>
    </row>
    <row r="1292" spans="9:13" x14ac:dyDescent="0.2">
      <c r="I1292" s="13"/>
      <c r="J1292" s="13"/>
      <c r="M1292" s="2"/>
    </row>
    <row r="1293" spans="9:13" x14ac:dyDescent="0.2">
      <c r="I1293" s="13"/>
      <c r="J1293" s="13"/>
      <c r="M1293" s="2"/>
    </row>
    <row r="1294" spans="9:13" x14ac:dyDescent="0.2">
      <c r="I1294" s="13"/>
      <c r="J1294" s="13"/>
      <c r="M1294" s="2"/>
    </row>
    <row r="1295" spans="9:13" x14ac:dyDescent="0.2">
      <c r="I1295" s="13"/>
      <c r="J1295" s="13"/>
      <c r="M1295" s="2"/>
    </row>
    <row r="1296" spans="9:13" x14ac:dyDescent="0.2">
      <c r="I1296" s="13"/>
      <c r="J1296" s="13"/>
      <c r="M1296" s="2"/>
    </row>
    <row r="1297" spans="9:13" x14ac:dyDescent="0.2">
      <c r="I1297" s="13"/>
      <c r="J1297" s="13"/>
      <c r="M1297" s="2"/>
    </row>
    <row r="1298" spans="9:13" x14ac:dyDescent="0.2">
      <c r="I1298" s="13"/>
      <c r="J1298" s="13"/>
      <c r="M1298" s="2"/>
    </row>
    <row r="1299" spans="9:13" x14ac:dyDescent="0.2">
      <c r="I1299" s="13"/>
      <c r="J1299" s="13"/>
      <c r="M1299" s="2"/>
    </row>
    <row r="1300" spans="9:13" x14ac:dyDescent="0.2">
      <c r="I1300" s="13"/>
      <c r="J1300" s="13"/>
      <c r="M1300" s="2"/>
    </row>
    <row r="1301" spans="9:13" x14ac:dyDescent="0.2">
      <c r="I1301" s="13"/>
      <c r="J1301" s="13"/>
      <c r="M1301" s="2"/>
    </row>
    <row r="1302" spans="9:13" x14ac:dyDescent="0.2">
      <c r="I1302" s="13"/>
      <c r="J1302" s="13"/>
      <c r="M1302" s="2"/>
    </row>
    <row r="1303" spans="9:13" x14ac:dyDescent="0.2">
      <c r="I1303" s="13"/>
      <c r="J1303" s="13"/>
      <c r="M1303" s="2"/>
    </row>
    <row r="1304" spans="9:13" x14ac:dyDescent="0.2">
      <c r="I1304" s="13"/>
      <c r="J1304" s="13"/>
      <c r="M1304" s="2"/>
    </row>
    <row r="1305" spans="9:13" x14ac:dyDescent="0.2">
      <c r="I1305" s="13"/>
      <c r="J1305" s="13"/>
      <c r="M1305" s="2"/>
    </row>
    <row r="1306" spans="9:13" x14ac:dyDescent="0.2">
      <c r="I1306" s="13"/>
      <c r="J1306" s="13"/>
      <c r="M1306" s="2"/>
    </row>
    <row r="1307" spans="9:13" x14ac:dyDescent="0.2">
      <c r="I1307" s="13"/>
      <c r="J1307" s="13"/>
      <c r="M1307" s="2"/>
    </row>
    <row r="1308" spans="9:13" x14ac:dyDescent="0.2">
      <c r="I1308" s="13"/>
      <c r="J1308" s="13"/>
      <c r="M1308" s="2"/>
    </row>
    <row r="1309" spans="9:13" x14ac:dyDescent="0.2">
      <c r="I1309" s="13"/>
      <c r="J1309" s="13"/>
      <c r="M1309" s="2"/>
    </row>
    <row r="1310" spans="9:13" x14ac:dyDescent="0.2">
      <c r="I1310" s="13"/>
      <c r="J1310" s="13"/>
      <c r="M1310" s="2"/>
    </row>
    <row r="1311" spans="9:13" x14ac:dyDescent="0.2">
      <c r="I1311" s="13"/>
      <c r="J1311" s="13"/>
      <c r="M1311" s="2"/>
    </row>
    <row r="1312" spans="9:13" x14ac:dyDescent="0.2">
      <c r="I1312" s="13"/>
      <c r="J1312" s="13"/>
      <c r="M1312" s="2"/>
    </row>
    <row r="1313" spans="9:13" x14ac:dyDescent="0.2">
      <c r="I1313" s="13"/>
      <c r="J1313" s="13"/>
      <c r="M1313" s="2"/>
    </row>
    <row r="1314" spans="9:13" x14ac:dyDescent="0.2">
      <c r="I1314" s="13"/>
      <c r="J1314" s="13"/>
      <c r="M1314" s="2"/>
    </row>
    <row r="1315" spans="9:13" x14ac:dyDescent="0.2">
      <c r="I1315" s="13"/>
      <c r="J1315" s="13"/>
      <c r="M1315" s="2"/>
    </row>
    <row r="1316" spans="9:13" x14ac:dyDescent="0.2">
      <c r="I1316" s="13"/>
      <c r="J1316" s="13"/>
      <c r="M1316" s="2"/>
    </row>
    <row r="1317" spans="9:13" x14ac:dyDescent="0.2">
      <c r="I1317" s="13"/>
      <c r="J1317" s="13"/>
      <c r="M1317" s="2"/>
    </row>
    <row r="1318" spans="9:13" x14ac:dyDescent="0.2">
      <c r="I1318" s="13"/>
      <c r="J1318" s="13"/>
      <c r="M1318" s="2"/>
    </row>
    <row r="1319" spans="9:13" x14ac:dyDescent="0.2">
      <c r="I1319" s="13"/>
      <c r="J1319" s="13"/>
      <c r="M1319" s="2"/>
    </row>
    <row r="1320" spans="9:13" x14ac:dyDescent="0.2">
      <c r="I1320" s="13"/>
      <c r="J1320" s="13"/>
      <c r="M1320" s="2"/>
    </row>
    <row r="1321" spans="9:13" x14ac:dyDescent="0.2">
      <c r="I1321" s="13"/>
      <c r="J1321" s="13"/>
      <c r="M1321" s="2"/>
    </row>
    <row r="1322" spans="9:13" x14ac:dyDescent="0.2">
      <c r="I1322" s="13"/>
      <c r="J1322" s="13"/>
      <c r="M1322" s="2"/>
    </row>
    <row r="1323" spans="9:13" x14ac:dyDescent="0.2">
      <c r="I1323" s="13"/>
      <c r="J1323" s="13"/>
      <c r="M1323" s="2"/>
    </row>
    <row r="1324" spans="9:13" x14ac:dyDescent="0.2">
      <c r="I1324" s="13"/>
      <c r="J1324" s="13"/>
      <c r="M1324" s="2"/>
    </row>
    <row r="1325" spans="9:13" x14ac:dyDescent="0.2">
      <c r="I1325" s="13"/>
      <c r="J1325" s="13"/>
      <c r="M1325" s="2"/>
    </row>
    <row r="1326" spans="9:13" x14ac:dyDescent="0.2">
      <c r="I1326" s="13"/>
      <c r="J1326" s="13"/>
      <c r="M1326" s="2"/>
    </row>
    <row r="1327" spans="9:13" x14ac:dyDescent="0.2">
      <c r="I1327" s="13"/>
      <c r="J1327" s="13"/>
      <c r="M1327" s="2"/>
    </row>
    <row r="1328" spans="9:13" x14ac:dyDescent="0.2">
      <c r="I1328" s="13"/>
      <c r="J1328" s="13"/>
      <c r="M1328" s="2"/>
    </row>
    <row r="1329" spans="9:13" x14ac:dyDescent="0.2">
      <c r="I1329" s="13"/>
      <c r="J1329" s="13"/>
      <c r="M1329" s="2"/>
    </row>
    <row r="1330" spans="9:13" x14ac:dyDescent="0.2">
      <c r="I1330" s="13"/>
      <c r="J1330" s="13"/>
      <c r="M1330" s="2"/>
    </row>
    <row r="1331" spans="9:13" x14ac:dyDescent="0.2">
      <c r="I1331" s="13"/>
      <c r="J1331" s="13"/>
      <c r="M1331" s="2"/>
    </row>
    <row r="1332" spans="9:13" x14ac:dyDescent="0.2">
      <c r="I1332" s="13"/>
      <c r="J1332" s="13"/>
      <c r="M1332" s="2"/>
    </row>
    <row r="1333" spans="9:13" x14ac:dyDescent="0.2">
      <c r="I1333" s="13"/>
      <c r="J1333" s="13"/>
      <c r="M1333" s="2"/>
    </row>
    <row r="1334" spans="9:13" x14ac:dyDescent="0.2">
      <c r="I1334" s="13"/>
      <c r="J1334" s="13"/>
      <c r="M1334" s="2"/>
    </row>
    <row r="1335" spans="9:13" x14ac:dyDescent="0.2">
      <c r="I1335" s="13"/>
      <c r="J1335" s="13"/>
      <c r="M1335" s="2"/>
    </row>
    <row r="1336" spans="9:13" x14ac:dyDescent="0.2">
      <c r="I1336" s="13"/>
      <c r="J1336" s="13"/>
      <c r="M1336" s="2"/>
    </row>
    <row r="1337" spans="9:13" x14ac:dyDescent="0.2">
      <c r="I1337" s="13"/>
      <c r="J1337" s="13"/>
      <c r="M1337" s="2"/>
    </row>
    <row r="1338" spans="9:13" x14ac:dyDescent="0.2">
      <c r="I1338" s="13"/>
      <c r="J1338" s="13"/>
      <c r="M1338" s="2"/>
    </row>
    <row r="1339" spans="9:13" x14ac:dyDescent="0.2">
      <c r="I1339" s="13"/>
      <c r="J1339" s="13"/>
      <c r="M1339" s="2"/>
    </row>
    <row r="1340" spans="9:13" x14ac:dyDescent="0.2">
      <c r="I1340" s="13"/>
      <c r="J1340" s="13"/>
      <c r="M1340" s="2"/>
    </row>
    <row r="1341" spans="9:13" x14ac:dyDescent="0.2">
      <c r="I1341" s="13"/>
      <c r="J1341" s="13"/>
      <c r="M1341" s="2"/>
    </row>
    <row r="1342" spans="9:13" x14ac:dyDescent="0.2">
      <c r="I1342" s="13"/>
      <c r="J1342" s="13"/>
      <c r="M1342" s="2"/>
    </row>
    <row r="1343" spans="9:13" x14ac:dyDescent="0.2">
      <c r="I1343" s="13"/>
      <c r="J1343" s="13"/>
      <c r="M1343" s="2"/>
    </row>
    <row r="1344" spans="9:13" x14ac:dyDescent="0.2">
      <c r="I1344" s="13"/>
      <c r="J1344" s="13"/>
      <c r="M1344" s="2"/>
    </row>
    <row r="1345" spans="9:13" x14ac:dyDescent="0.2">
      <c r="I1345" s="13"/>
      <c r="J1345" s="13"/>
      <c r="M1345" s="2"/>
    </row>
    <row r="1346" spans="9:13" x14ac:dyDescent="0.2">
      <c r="I1346" s="13"/>
      <c r="J1346" s="13"/>
      <c r="M1346" s="2"/>
    </row>
    <row r="1347" spans="9:13" x14ac:dyDescent="0.2">
      <c r="I1347" s="13"/>
      <c r="J1347" s="13"/>
      <c r="M1347" s="2"/>
    </row>
    <row r="1348" spans="9:13" x14ac:dyDescent="0.2">
      <c r="I1348" s="13"/>
      <c r="J1348" s="13"/>
      <c r="M1348" s="2"/>
    </row>
    <row r="1349" spans="9:13" x14ac:dyDescent="0.2">
      <c r="I1349" s="13"/>
      <c r="J1349" s="13"/>
      <c r="M1349" s="2"/>
    </row>
    <row r="1350" spans="9:13" x14ac:dyDescent="0.2">
      <c r="I1350" s="13"/>
      <c r="J1350" s="13"/>
      <c r="M1350" s="2"/>
    </row>
    <row r="1351" spans="9:13" x14ac:dyDescent="0.2">
      <c r="I1351" s="13"/>
      <c r="J1351" s="13"/>
      <c r="M1351" s="2"/>
    </row>
    <row r="1352" spans="9:13" x14ac:dyDescent="0.2">
      <c r="I1352" s="13"/>
      <c r="J1352" s="13"/>
      <c r="M1352" s="2"/>
    </row>
    <row r="1353" spans="9:13" x14ac:dyDescent="0.2">
      <c r="I1353" s="13"/>
      <c r="J1353" s="13"/>
      <c r="M1353" s="2"/>
    </row>
    <row r="1354" spans="9:13" x14ac:dyDescent="0.2">
      <c r="I1354" s="13"/>
      <c r="J1354" s="13"/>
      <c r="M1354" s="2"/>
    </row>
    <row r="1355" spans="9:13" x14ac:dyDescent="0.2">
      <c r="I1355" s="13"/>
      <c r="J1355" s="13"/>
      <c r="M1355" s="2"/>
    </row>
    <row r="1356" spans="9:13" x14ac:dyDescent="0.2">
      <c r="I1356" s="13"/>
      <c r="J1356" s="13"/>
      <c r="M1356" s="2"/>
    </row>
    <row r="1357" spans="9:13" x14ac:dyDescent="0.2">
      <c r="I1357" s="13"/>
      <c r="J1357" s="13"/>
      <c r="M1357" s="2"/>
    </row>
    <row r="1358" spans="9:13" x14ac:dyDescent="0.2">
      <c r="I1358" s="13"/>
      <c r="J1358" s="13"/>
      <c r="M1358" s="2"/>
    </row>
    <row r="1359" spans="9:13" x14ac:dyDescent="0.2">
      <c r="I1359" s="13"/>
      <c r="J1359" s="13"/>
      <c r="M1359" s="2"/>
    </row>
    <row r="1360" spans="9:13" x14ac:dyDescent="0.2">
      <c r="I1360" s="13"/>
      <c r="J1360" s="13"/>
      <c r="M1360" s="2"/>
    </row>
    <row r="1361" spans="9:13" x14ac:dyDescent="0.2">
      <c r="I1361" s="13"/>
      <c r="J1361" s="13"/>
      <c r="M1361" s="2"/>
    </row>
    <row r="1362" spans="9:13" x14ac:dyDescent="0.2">
      <c r="I1362" s="13"/>
      <c r="J1362" s="13"/>
      <c r="M1362" s="2"/>
    </row>
    <row r="1363" spans="9:13" x14ac:dyDescent="0.2">
      <c r="I1363" s="13"/>
      <c r="J1363" s="13"/>
      <c r="M1363" s="2"/>
    </row>
    <row r="1364" spans="9:13" x14ac:dyDescent="0.2">
      <c r="I1364" s="13"/>
      <c r="J1364" s="13"/>
      <c r="M1364" s="2"/>
    </row>
    <row r="1365" spans="9:13" x14ac:dyDescent="0.2">
      <c r="I1365" s="13"/>
      <c r="J1365" s="13"/>
      <c r="M1365" s="2"/>
    </row>
    <row r="1366" spans="9:13" x14ac:dyDescent="0.2">
      <c r="I1366" s="13"/>
      <c r="J1366" s="13"/>
      <c r="M1366" s="2"/>
    </row>
    <row r="1367" spans="9:13" x14ac:dyDescent="0.2">
      <c r="I1367" s="13"/>
      <c r="J1367" s="13"/>
      <c r="M1367" s="2"/>
    </row>
    <row r="1368" spans="9:13" x14ac:dyDescent="0.2">
      <c r="I1368" s="13"/>
      <c r="J1368" s="13"/>
      <c r="M1368" s="2"/>
    </row>
    <row r="1369" spans="9:13" x14ac:dyDescent="0.2">
      <c r="I1369" s="13"/>
      <c r="J1369" s="13"/>
      <c r="M1369" s="2"/>
    </row>
    <row r="1370" spans="9:13" x14ac:dyDescent="0.2">
      <c r="I1370" s="13"/>
      <c r="J1370" s="13"/>
      <c r="M1370" s="2"/>
    </row>
    <row r="1371" spans="9:13" x14ac:dyDescent="0.2">
      <c r="I1371" s="13"/>
      <c r="J1371" s="13"/>
      <c r="M1371" s="2"/>
    </row>
    <row r="1372" spans="9:13" x14ac:dyDescent="0.2">
      <c r="I1372" s="13"/>
      <c r="J1372" s="13"/>
      <c r="M1372" s="2"/>
    </row>
    <row r="1373" spans="9:13" x14ac:dyDescent="0.2">
      <c r="I1373" s="13"/>
      <c r="J1373" s="13"/>
      <c r="M1373" s="2"/>
    </row>
    <row r="1374" spans="9:13" x14ac:dyDescent="0.2">
      <c r="I1374" s="13"/>
      <c r="J1374" s="13"/>
      <c r="M1374" s="2"/>
    </row>
    <row r="1375" spans="9:13" x14ac:dyDescent="0.2">
      <c r="I1375" s="13"/>
      <c r="J1375" s="13"/>
      <c r="M1375" s="2"/>
    </row>
    <row r="1376" spans="9:13" x14ac:dyDescent="0.2">
      <c r="I1376" s="13"/>
      <c r="J1376" s="13"/>
      <c r="M1376" s="2"/>
    </row>
    <row r="1377" spans="9:13" x14ac:dyDescent="0.2">
      <c r="I1377" s="13"/>
      <c r="J1377" s="13"/>
      <c r="M1377" s="2"/>
    </row>
    <row r="1378" spans="9:13" x14ac:dyDescent="0.2">
      <c r="I1378" s="13"/>
      <c r="J1378" s="13"/>
      <c r="M1378" s="2"/>
    </row>
    <row r="1379" spans="9:13" x14ac:dyDescent="0.2">
      <c r="I1379" s="13"/>
      <c r="J1379" s="13"/>
      <c r="M1379" s="2"/>
    </row>
    <row r="1380" spans="9:13" x14ac:dyDescent="0.2">
      <c r="I1380" s="13"/>
      <c r="J1380" s="13"/>
      <c r="M1380" s="2"/>
    </row>
    <row r="1381" spans="9:13" x14ac:dyDescent="0.2">
      <c r="I1381" s="13"/>
      <c r="J1381" s="13"/>
      <c r="M1381" s="2"/>
    </row>
    <row r="1382" spans="9:13" x14ac:dyDescent="0.2">
      <c r="I1382" s="13"/>
      <c r="J1382" s="13"/>
      <c r="M1382" s="2"/>
    </row>
    <row r="1383" spans="9:13" x14ac:dyDescent="0.2">
      <c r="I1383" s="13"/>
      <c r="J1383" s="13"/>
      <c r="M1383" s="2"/>
    </row>
    <row r="1384" spans="9:13" x14ac:dyDescent="0.2">
      <c r="I1384" s="13"/>
      <c r="J1384" s="13"/>
      <c r="M1384" s="2"/>
    </row>
    <row r="1385" spans="9:13" x14ac:dyDescent="0.2">
      <c r="I1385" s="13"/>
      <c r="J1385" s="13"/>
      <c r="M1385" s="2"/>
    </row>
    <row r="1386" spans="9:13" x14ac:dyDescent="0.2">
      <c r="I1386" s="13"/>
      <c r="J1386" s="13"/>
      <c r="M1386" s="2"/>
    </row>
    <row r="1387" spans="9:13" x14ac:dyDescent="0.2">
      <c r="I1387" s="13"/>
      <c r="J1387" s="13"/>
      <c r="M1387" s="2"/>
    </row>
    <row r="1388" spans="9:13" x14ac:dyDescent="0.2">
      <c r="I1388" s="13"/>
      <c r="J1388" s="13"/>
      <c r="M1388" s="2"/>
    </row>
    <row r="1389" spans="9:13" x14ac:dyDescent="0.2">
      <c r="I1389" s="13"/>
      <c r="J1389" s="13"/>
      <c r="M1389" s="2"/>
    </row>
    <row r="1390" spans="9:13" x14ac:dyDescent="0.2">
      <c r="I1390" s="13"/>
      <c r="J1390" s="13"/>
      <c r="M1390" s="2"/>
    </row>
    <row r="1391" spans="9:13" x14ac:dyDescent="0.2">
      <c r="I1391" s="13"/>
      <c r="J1391" s="13"/>
      <c r="M1391" s="2"/>
    </row>
    <row r="1392" spans="9:13" x14ac:dyDescent="0.2">
      <c r="I1392" s="13"/>
      <c r="J1392" s="13"/>
      <c r="M1392" s="2"/>
    </row>
    <row r="1393" spans="9:13" x14ac:dyDescent="0.2">
      <c r="I1393" s="13"/>
      <c r="J1393" s="13"/>
      <c r="M1393" s="2"/>
    </row>
    <row r="1394" spans="9:13" x14ac:dyDescent="0.2">
      <c r="I1394" s="13"/>
      <c r="J1394" s="13"/>
      <c r="M1394" s="2"/>
    </row>
    <row r="1395" spans="9:13" x14ac:dyDescent="0.2">
      <c r="I1395" s="13"/>
      <c r="J1395" s="13"/>
      <c r="M1395" s="2"/>
    </row>
    <row r="1396" spans="9:13" x14ac:dyDescent="0.2">
      <c r="I1396" s="13"/>
      <c r="J1396" s="13"/>
      <c r="M1396" s="2"/>
    </row>
    <row r="1397" spans="9:13" x14ac:dyDescent="0.2">
      <c r="I1397" s="13"/>
      <c r="J1397" s="13"/>
      <c r="M1397" s="2"/>
    </row>
    <row r="1398" spans="9:13" x14ac:dyDescent="0.2">
      <c r="I1398" s="13"/>
      <c r="J1398" s="13"/>
      <c r="M1398" s="2"/>
    </row>
    <row r="1399" spans="9:13" x14ac:dyDescent="0.2">
      <c r="I1399" s="13"/>
      <c r="J1399" s="13"/>
      <c r="M1399" s="2"/>
    </row>
    <row r="1400" spans="9:13" x14ac:dyDescent="0.2">
      <c r="I1400" s="13"/>
      <c r="J1400" s="13"/>
      <c r="M1400" s="2"/>
    </row>
    <row r="1401" spans="9:13" x14ac:dyDescent="0.2">
      <c r="I1401" s="13"/>
      <c r="J1401" s="13"/>
      <c r="M1401" s="2"/>
    </row>
    <row r="1402" spans="9:13" x14ac:dyDescent="0.2">
      <c r="I1402" s="13"/>
      <c r="J1402" s="13"/>
      <c r="M1402" s="2"/>
    </row>
    <row r="1403" spans="9:13" x14ac:dyDescent="0.2">
      <c r="I1403" s="13"/>
      <c r="J1403" s="13"/>
      <c r="M1403" s="2"/>
    </row>
    <row r="1404" spans="9:13" x14ac:dyDescent="0.2">
      <c r="I1404" s="13"/>
      <c r="J1404" s="13"/>
      <c r="M1404" s="2"/>
    </row>
    <row r="1405" spans="9:13" x14ac:dyDescent="0.2">
      <c r="I1405" s="13"/>
      <c r="J1405" s="13"/>
      <c r="M1405" s="2"/>
    </row>
    <row r="1406" spans="9:13" x14ac:dyDescent="0.2">
      <c r="I1406" s="13"/>
      <c r="J1406" s="13"/>
      <c r="M1406" s="2"/>
    </row>
    <row r="1407" spans="9:13" x14ac:dyDescent="0.2">
      <c r="I1407" s="13"/>
      <c r="J1407" s="13"/>
      <c r="M1407" s="2"/>
    </row>
    <row r="1408" spans="9:13" x14ac:dyDescent="0.2">
      <c r="I1408" s="13"/>
      <c r="J1408" s="13"/>
      <c r="M1408" s="2"/>
    </row>
    <row r="1409" spans="9:13" x14ac:dyDescent="0.2">
      <c r="I1409" s="13"/>
      <c r="J1409" s="13"/>
      <c r="M1409" s="2"/>
    </row>
    <row r="1410" spans="9:13" x14ac:dyDescent="0.2">
      <c r="I1410" s="13"/>
      <c r="J1410" s="13"/>
      <c r="M1410" s="2"/>
    </row>
    <row r="1411" spans="9:13" x14ac:dyDescent="0.2">
      <c r="I1411" s="13"/>
      <c r="J1411" s="13"/>
      <c r="M1411" s="2"/>
    </row>
    <row r="1412" spans="9:13" x14ac:dyDescent="0.2">
      <c r="I1412" s="13"/>
      <c r="J1412" s="13"/>
      <c r="M1412" s="2"/>
    </row>
    <row r="1413" spans="9:13" x14ac:dyDescent="0.2">
      <c r="I1413" s="13"/>
      <c r="J1413" s="13"/>
      <c r="M1413" s="2"/>
    </row>
    <row r="1414" spans="9:13" x14ac:dyDescent="0.2">
      <c r="I1414" s="13"/>
      <c r="J1414" s="13"/>
      <c r="M1414" s="2"/>
    </row>
    <row r="1415" spans="9:13" x14ac:dyDescent="0.2">
      <c r="I1415" s="13"/>
      <c r="J1415" s="13"/>
      <c r="M1415" s="2"/>
    </row>
    <row r="1416" spans="9:13" x14ac:dyDescent="0.2">
      <c r="I1416" s="13"/>
      <c r="J1416" s="13"/>
      <c r="M1416" s="2"/>
    </row>
    <row r="1417" spans="9:13" x14ac:dyDescent="0.2">
      <c r="I1417" s="13"/>
      <c r="J1417" s="13"/>
      <c r="M1417" s="2"/>
    </row>
    <row r="1418" spans="9:13" x14ac:dyDescent="0.2">
      <c r="I1418" s="13"/>
      <c r="J1418" s="13"/>
      <c r="M1418" s="2"/>
    </row>
    <row r="1419" spans="9:13" x14ac:dyDescent="0.2">
      <c r="I1419" s="13"/>
      <c r="J1419" s="13"/>
      <c r="M1419" s="2"/>
    </row>
    <row r="1420" spans="9:13" x14ac:dyDescent="0.2">
      <c r="I1420" s="13"/>
      <c r="J1420" s="13"/>
      <c r="M1420" s="2"/>
    </row>
    <row r="1421" spans="9:13" x14ac:dyDescent="0.2">
      <c r="I1421" s="13"/>
      <c r="J1421" s="13"/>
      <c r="M1421" s="2"/>
    </row>
    <row r="1422" spans="9:13" x14ac:dyDescent="0.2">
      <c r="I1422" s="13"/>
      <c r="J1422" s="13"/>
      <c r="M1422" s="2"/>
    </row>
    <row r="1423" spans="9:13" x14ac:dyDescent="0.2">
      <c r="I1423" s="13"/>
      <c r="J1423" s="13"/>
      <c r="M1423" s="2"/>
    </row>
    <row r="1424" spans="9:13" x14ac:dyDescent="0.2">
      <c r="I1424" s="13"/>
      <c r="J1424" s="13"/>
      <c r="M1424" s="2"/>
    </row>
    <row r="1425" spans="9:13" x14ac:dyDescent="0.2">
      <c r="I1425" s="13"/>
      <c r="J1425" s="13"/>
      <c r="M1425" s="2"/>
    </row>
    <row r="1426" spans="9:13" x14ac:dyDescent="0.2">
      <c r="I1426" s="13"/>
      <c r="J1426" s="13"/>
      <c r="M1426" s="2"/>
    </row>
    <row r="1427" spans="9:13" x14ac:dyDescent="0.2">
      <c r="I1427" s="13"/>
      <c r="J1427" s="13"/>
      <c r="M1427" s="2"/>
    </row>
    <row r="1428" spans="9:13" x14ac:dyDescent="0.2">
      <c r="I1428" s="13"/>
      <c r="J1428" s="13"/>
      <c r="M1428" s="2"/>
    </row>
    <row r="1429" spans="9:13" x14ac:dyDescent="0.2">
      <c r="I1429" s="13"/>
      <c r="J1429" s="13"/>
      <c r="M1429" s="2"/>
    </row>
    <row r="1430" spans="9:13" x14ac:dyDescent="0.2">
      <c r="I1430" s="13"/>
      <c r="J1430" s="13"/>
      <c r="M1430" s="2"/>
    </row>
    <row r="1431" spans="9:13" x14ac:dyDescent="0.2">
      <c r="I1431" s="13"/>
      <c r="J1431" s="13"/>
      <c r="M1431" s="2"/>
    </row>
    <row r="1432" spans="9:13" x14ac:dyDescent="0.2">
      <c r="I1432" s="13"/>
      <c r="J1432" s="13"/>
      <c r="M1432" s="2"/>
    </row>
    <row r="1433" spans="9:13" x14ac:dyDescent="0.2">
      <c r="I1433" s="13"/>
      <c r="J1433" s="13"/>
      <c r="M1433" s="2"/>
    </row>
    <row r="1434" spans="9:13" x14ac:dyDescent="0.2">
      <c r="I1434" s="13"/>
      <c r="J1434" s="13"/>
      <c r="M1434" s="2"/>
    </row>
    <row r="1435" spans="9:13" x14ac:dyDescent="0.2">
      <c r="I1435" s="13"/>
      <c r="J1435" s="13"/>
      <c r="M1435" s="2"/>
    </row>
    <row r="1436" spans="9:13" x14ac:dyDescent="0.2">
      <c r="I1436" s="13"/>
      <c r="J1436" s="13"/>
      <c r="M1436" s="2"/>
    </row>
    <row r="1437" spans="9:13" x14ac:dyDescent="0.2">
      <c r="I1437" s="13"/>
      <c r="J1437" s="13"/>
      <c r="M1437" s="2"/>
    </row>
    <row r="1438" spans="9:13" x14ac:dyDescent="0.2">
      <c r="I1438" s="13"/>
      <c r="J1438" s="13"/>
      <c r="M1438" s="2"/>
    </row>
    <row r="1439" spans="9:13" x14ac:dyDescent="0.2">
      <c r="I1439" s="13"/>
      <c r="J1439" s="13"/>
      <c r="M1439" s="2"/>
    </row>
    <row r="1440" spans="9:13" x14ac:dyDescent="0.2">
      <c r="I1440" s="13"/>
      <c r="J1440" s="13"/>
      <c r="M1440" s="2"/>
    </row>
    <row r="1441" spans="9:13" x14ac:dyDescent="0.2">
      <c r="I1441" s="13"/>
      <c r="J1441" s="13"/>
      <c r="M1441" s="2"/>
    </row>
    <row r="1442" spans="9:13" x14ac:dyDescent="0.2">
      <c r="I1442" s="13"/>
      <c r="J1442" s="13"/>
      <c r="M1442" s="2"/>
    </row>
    <row r="1443" spans="9:13" x14ac:dyDescent="0.2">
      <c r="I1443" s="13"/>
      <c r="J1443" s="13"/>
      <c r="M1443" s="2"/>
    </row>
    <row r="1444" spans="9:13" x14ac:dyDescent="0.2">
      <c r="I1444" s="13"/>
      <c r="J1444" s="13"/>
      <c r="M1444" s="2"/>
    </row>
    <row r="1445" spans="9:13" x14ac:dyDescent="0.2">
      <c r="I1445" s="13"/>
      <c r="J1445" s="13"/>
      <c r="M1445" s="2"/>
    </row>
    <row r="1446" spans="9:13" x14ac:dyDescent="0.2">
      <c r="I1446" s="13"/>
      <c r="J1446" s="13"/>
      <c r="M1446" s="2"/>
    </row>
    <row r="1447" spans="9:13" x14ac:dyDescent="0.2">
      <c r="I1447" s="13"/>
      <c r="J1447" s="13"/>
      <c r="M1447" s="2"/>
    </row>
    <row r="1448" spans="9:13" x14ac:dyDescent="0.2">
      <c r="I1448" s="13"/>
      <c r="J1448" s="13"/>
      <c r="M1448" s="2"/>
    </row>
    <row r="1449" spans="9:13" x14ac:dyDescent="0.2">
      <c r="I1449" s="13"/>
      <c r="J1449" s="13"/>
      <c r="M1449" s="2"/>
    </row>
    <row r="1450" spans="9:13" x14ac:dyDescent="0.2">
      <c r="I1450" s="13"/>
      <c r="J1450" s="13"/>
      <c r="M1450" s="2"/>
    </row>
    <row r="1451" spans="9:13" x14ac:dyDescent="0.2">
      <c r="I1451" s="13"/>
      <c r="J1451" s="13"/>
      <c r="M1451" s="2"/>
    </row>
    <row r="1452" spans="9:13" x14ac:dyDescent="0.2">
      <c r="I1452" s="13"/>
      <c r="J1452" s="13"/>
      <c r="M1452" s="2"/>
    </row>
    <row r="1453" spans="9:13" x14ac:dyDescent="0.2">
      <c r="I1453" s="13"/>
      <c r="J1453" s="13"/>
      <c r="M1453" s="2"/>
    </row>
    <row r="1454" spans="9:13" x14ac:dyDescent="0.2">
      <c r="I1454" s="13"/>
      <c r="J1454" s="13"/>
      <c r="M1454" s="2"/>
    </row>
    <row r="1455" spans="9:13" x14ac:dyDescent="0.2">
      <c r="I1455" s="13"/>
      <c r="J1455" s="13"/>
      <c r="M1455" s="2"/>
    </row>
    <row r="1456" spans="9:13" x14ac:dyDescent="0.2">
      <c r="I1456" s="13"/>
      <c r="J1456" s="13"/>
      <c r="M1456" s="2"/>
    </row>
    <row r="1457" spans="9:13" x14ac:dyDescent="0.2">
      <c r="I1457" s="13"/>
      <c r="J1457" s="13"/>
      <c r="M1457" s="2"/>
    </row>
    <row r="1458" spans="9:13" x14ac:dyDescent="0.2">
      <c r="I1458" s="13"/>
      <c r="J1458" s="13"/>
      <c r="M1458" s="2"/>
    </row>
    <row r="1459" spans="9:13" x14ac:dyDescent="0.2">
      <c r="I1459" s="13"/>
      <c r="J1459" s="13"/>
      <c r="M1459" s="2"/>
    </row>
    <row r="1460" spans="9:13" x14ac:dyDescent="0.2">
      <c r="I1460" s="13"/>
      <c r="J1460" s="13"/>
      <c r="M1460" s="2"/>
    </row>
    <row r="1461" spans="9:13" x14ac:dyDescent="0.2">
      <c r="I1461" s="13"/>
      <c r="J1461" s="13"/>
      <c r="M1461" s="2"/>
    </row>
    <row r="1462" spans="9:13" x14ac:dyDescent="0.2">
      <c r="I1462" s="13"/>
      <c r="J1462" s="13"/>
      <c r="M1462" s="2"/>
    </row>
    <row r="1463" spans="9:13" x14ac:dyDescent="0.2">
      <c r="I1463" s="13"/>
      <c r="J1463" s="13"/>
      <c r="M1463" s="2"/>
    </row>
    <row r="1464" spans="9:13" x14ac:dyDescent="0.2">
      <c r="I1464" s="13"/>
      <c r="J1464" s="13"/>
      <c r="M1464" s="2"/>
    </row>
    <row r="1465" spans="9:13" x14ac:dyDescent="0.2">
      <c r="I1465" s="13"/>
      <c r="J1465" s="13"/>
      <c r="M1465" s="2"/>
    </row>
    <row r="1466" spans="9:13" x14ac:dyDescent="0.2">
      <c r="I1466" s="13"/>
      <c r="J1466" s="13"/>
      <c r="M1466" s="2"/>
    </row>
    <row r="1467" spans="9:13" x14ac:dyDescent="0.2">
      <c r="I1467" s="13"/>
      <c r="J1467" s="13"/>
      <c r="M1467" s="2"/>
    </row>
    <row r="1468" spans="9:13" x14ac:dyDescent="0.2">
      <c r="I1468" s="13"/>
      <c r="J1468" s="13"/>
      <c r="M1468" s="2"/>
    </row>
    <row r="1469" spans="9:13" x14ac:dyDescent="0.2">
      <c r="I1469" s="13"/>
      <c r="J1469" s="13"/>
      <c r="M1469" s="2"/>
    </row>
    <row r="1470" spans="9:13" x14ac:dyDescent="0.2">
      <c r="I1470" s="13"/>
      <c r="J1470" s="13"/>
      <c r="M1470" s="2"/>
    </row>
    <row r="1471" spans="9:13" x14ac:dyDescent="0.2">
      <c r="I1471" s="13"/>
      <c r="J1471" s="13"/>
      <c r="M1471" s="2"/>
    </row>
    <row r="1472" spans="9:13" x14ac:dyDescent="0.2">
      <c r="I1472" s="13"/>
      <c r="J1472" s="13"/>
      <c r="M1472" s="2"/>
    </row>
    <row r="1473" spans="9:13" x14ac:dyDescent="0.2">
      <c r="I1473" s="13"/>
      <c r="J1473" s="13"/>
      <c r="M1473" s="2"/>
    </row>
    <row r="1474" spans="9:13" x14ac:dyDescent="0.2">
      <c r="I1474" s="13"/>
      <c r="J1474" s="13"/>
      <c r="M1474" s="2"/>
    </row>
    <row r="1475" spans="9:13" x14ac:dyDescent="0.2">
      <c r="I1475" s="13"/>
      <c r="J1475" s="13"/>
      <c r="M1475" s="2"/>
    </row>
    <row r="1476" spans="9:13" x14ac:dyDescent="0.2">
      <c r="I1476" s="13"/>
      <c r="J1476" s="13"/>
      <c r="M1476" s="2"/>
    </row>
    <row r="1477" spans="9:13" x14ac:dyDescent="0.2">
      <c r="I1477" s="13"/>
      <c r="J1477" s="13"/>
      <c r="M1477" s="2"/>
    </row>
    <row r="1478" spans="9:13" x14ac:dyDescent="0.2">
      <c r="I1478" s="13"/>
      <c r="J1478" s="13"/>
      <c r="M1478" s="2"/>
    </row>
    <row r="1479" spans="9:13" x14ac:dyDescent="0.2">
      <c r="I1479" s="13"/>
      <c r="J1479" s="13"/>
      <c r="M1479" s="2"/>
    </row>
    <row r="1480" spans="9:13" x14ac:dyDescent="0.2">
      <c r="I1480" s="13"/>
      <c r="J1480" s="13"/>
      <c r="M1480" s="2"/>
    </row>
    <row r="1481" spans="9:13" x14ac:dyDescent="0.2">
      <c r="I1481" s="13"/>
      <c r="J1481" s="13"/>
      <c r="M1481" s="2"/>
    </row>
    <row r="1482" spans="9:13" x14ac:dyDescent="0.2">
      <c r="I1482" s="13"/>
      <c r="J1482" s="13"/>
      <c r="M1482" s="2"/>
    </row>
    <row r="1483" spans="9:13" x14ac:dyDescent="0.2">
      <c r="I1483" s="13"/>
      <c r="J1483" s="13"/>
      <c r="M1483" s="2"/>
    </row>
    <row r="1484" spans="9:13" x14ac:dyDescent="0.2">
      <c r="I1484" s="13"/>
      <c r="J1484" s="13"/>
      <c r="M1484" s="2"/>
    </row>
    <row r="1485" spans="9:13" x14ac:dyDescent="0.2">
      <c r="I1485" s="13"/>
      <c r="J1485" s="13"/>
      <c r="M1485" s="2"/>
    </row>
    <row r="1486" spans="9:13" x14ac:dyDescent="0.2">
      <c r="I1486" s="13"/>
      <c r="J1486" s="13"/>
      <c r="M1486" s="2"/>
    </row>
    <row r="1487" spans="9:13" x14ac:dyDescent="0.2">
      <c r="I1487" s="13"/>
      <c r="J1487" s="13"/>
      <c r="M1487" s="2"/>
    </row>
    <row r="1488" spans="9:13" x14ac:dyDescent="0.2">
      <c r="I1488" s="13"/>
      <c r="J1488" s="13"/>
      <c r="M1488" s="2"/>
    </row>
    <row r="1489" spans="9:13" x14ac:dyDescent="0.2">
      <c r="I1489" s="13"/>
      <c r="J1489" s="13"/>
      <c r="M1489" s="2"/>
    </row>
    <row r="1490" spans="9:13" x14ac:dyDescent="0.2">
      <c r="I1490" s="13"/>
      <c r="J1490" s="13"/>
      <c r="M1490" s="2"/>
    </row>
    <row r="1491" spans="9:13" x14ac:dyDescent="0.2">
      <c r="I1491" s="13"/>
      <c r="J1491" s="13"/>
      <c r="M1491" s="2"/>
    </row>
    <row r="1492" spans="9:13" x14ac:dyDescent="0.2">
      <c r="I1492" s="13"/>
      <c r="J1492" s="13"/>
      <c r="M1492" s="2"/>
    </row>
    <row r="1493" spans="9:13" x14ac:dyDescent="0.2">
      <c r="I1493" s="13"/>
      <c r="J1493" s="13"/>
      <c r="M1493" s="2"/>
    </row>
    <row r="1494" spans="9:13" x14ac:dyDescent="0.2">
      <c r="I1494" s="13"/>
      <c r="J1494" s="13"/>
      <c r="M1494" s="2"/>
    </row>
    <row r="1495" spans="9:13" x14ac:dyDescent="0.2">
      <c r="I1495" s="13"/>
      <c r="J1495" s="13"/>
      <c r="M1495" s="2"/>
    </row>
    <row r="1496" spans="9:13" x14ac:dyDescent="0.2">
      <c r="I1496" s="13"/>
      <c r="J1496" s="13"/>
      <c r="M1496" s="2"/>
    </row>
    <row r="1497" spans="9:13" x14ac:dyDescent="0.2">
      <c r="I1497" s="13"/>
      <c r="J1497" s="13"/>
      <c r="M1497" s="2"/>
    </row>
    <row r="1498" spans="9:13" x14ac:dyDescent="0.2">
      <c r="I1498" s="13"/>
      <c r="J1498" s="13"/>
      <c r="M1498" s="2"/>
    </row>
    <row r="1499" spans="9:13" x14ac:dyDescent="0.2">
      <c r="I1499" s="13"/>
      <c r="J1499" s="13"/>
      <c r="M1499" s="2"/>
    </row>
    <row r="1500" spans="9:13" x14ac:dyDescent="0.2">
      <c r="I1500" s="13"/>
      <c r="J1500" s="13"/>
      <c r="M1500" s="2"/>
    </row>
    <row r="1501" spans="9:13" x14ac:dyDescent="0.2">
      <c r="I1501" s="13"/>
      <c r="J1501" s="13"/>
      <c r="M1501" s="2"/>
    </row>
    <row r="1502" spans="9:13" x14ac:dyDescent="0.2">
      <c r="I1502" s="13"/>
      <c r="J1502" s="13"/>
      <c r="M1502" s="2"/>
    </row>
    <row r="1503" spans="9:13" x14ac:dyDescent="0.2">
      <c r="I1503" s="13"/>
      <c r="J1503" s="13"/>
      <c r="M1503" s="2"/>
    </row>
    <row r="1504" spans="9:13" x14ac:dyDescent="0.2">
      <c r="I1504" s="13"/>
      <c r="J1504" s="13"/>
      <c r="M1504" s="2"/>
    </row>
    <row r="1505" spans="9:13" x14ac:dyDescent="0.2">
      <c r="I1505" s="13"/>
      <c r="J1505" s="13"/>
      <c r="M1505" s="2"/>
    </row>
    <row r="1506" spans="9:13" x14ac:dyDescent="0.2">
      <c r="I1506" s="13"/>
      <c r="J1506" s="13"/>
      <c r="M1506" s="2"/>
    </row>
    <row r="1507" spans="9:13" x14ac:dyDescent="0.2">
      <c r="I1507" s="13"/>
      <c r="J1507" s="13"/>
      <c r="M1507" s="2"/>
    </row>
    <row r="1508" spans="9:13" x14ac:dyDescent="0.2">
      <c r="I1508" s="13"/>
      <c r="J1508" s="13"/>
      <c r="M1508" s="2"/>
    </row>
    <row r="1509" spans="9:13" x14ac:dyDescent="0.2">
      <c r="I1509" s="13"/>
      <c r="J1509" s="13"/>
      <c r="M1509" s="2"/>
    </row>
    <row r="1510" spans="9:13" x14ac:dyDescent="0.2">
      <c r="I1510" s="13"/>
      <c r="J1510" s="13"/>
      <c r="M1510" s="2"/>
    </row>
    <row r="1511" spans="9:13" x14ac:dyDescent="0.2">
      <c r="I1511" s="13"/>
      <c r="J1511" s="13"/>
      <c r="M1511" s="2"/>
    </row>
    <row r="1512" spans="9:13" x14ac:dyDescent="0.2">
      <c r="I1512" s="13"/>
      <c r="J1512" s="13"/>
      <c r="M1512" s="2"/>
    </row>
    <row r="1513" spans="9:13" x14ac:dyDescent="0.2">
      <c r="I1513" s="13"/>
      <c r="J1513" s="13"/>
      <c r="M1513" s="2"/>
    </row>
    <row r="1514" spans="9:13" x14ac:dyDescent="0.2">
      <c r="I1514" s="13"/>
      <c r="J1514" s="13"/>
      <c r="M1514" s="2"/>
    </row>
    <row r="1515" spans="9:13" x14ac:dyDescent="0.2">
      <c r="I1515" s="13"/>
      <c r="J1515" s="13"/>
      <c r="M1515" s="2"/>
    </row>
    <row r="1516" spans="9:13" x14ac:dyDescent="0.2">
      <c r="I1516" s="13"/>
      <c r="J1516" s="13"/>
      <c r="M1516" s="2"/>
    </row>
    <row r="1517" spans="9:13" x14ac:dyDescent="0.2">
      <c r="I1517" s="13"/>
      <c r="J1517" s="13"/>
      <c r="M1517" s="2"/>
    </row>
    <row r="1518" spans="9:13" x14ac:dyDescent="0.2">
      <c r="I1518" s="13"/>
      <c r="J1518" s="13"/>
      <c r="M1518" s="2"/>
    </row>
    <row r="1519" spans="9:13" x14ac:dyDescent="0.2">
      <c r="I1519" s="13"/>
      <c r="J1519" s="13"/>
      <c r="M1519" s="2"/>
    </row>
    <row r="1520" spans="9:13" x14ac:dyDescent="0.2">
      <c r="I1520" s="13"/>
      <c r="J1520" s="13"/>
      <c r="M1520" s="2"/>
    </row>
    <row r="1521" spans="9:13" x14ac:dyDescent="0.2">
      <c r="I1521" s="13"/>
      <c r="J1521" s="13"/>
      <c r="M1521" s="2"/>
    </row>
    <row r="1522" spans="9:13" x14ac:dyDescent="0.2">
      <c r="I1522" s="13"/>
      <c r="J1522" s="13"/>
      <c r="M1522" s="2"/>
    </row>
    <row r="1523" spans="9:13" x14ac:dyDescent="0.2">
      <c r="I1523" s="13"/>
      <c r="J1523" s="13"/>
      <c r="M1523" s="2"/>
    </row>
    <row r="1524" spans="9:13" x14ac:dyDescent="0.2">
      <c r="I1524" s="13"/>
      <c r="J1524" s="13"/>
      <c r="M1524" s="2"/>
    </row>
    <row r="1525" spans="9:13" x14ac:dyDescent="0.2">
      <c r="I1525" s="13"/>
      <c r="J1525" s="13"/>
      <c r="M1525" s="2"/>
    </row>
    <row r="1526" spans="9:13" x14ac:dyDescent="0.2">
      <c r="I1526" s="13"/>
      <c r="J1526" s="13"/>
      <c r="M1526" s="2"/>
    </row>
    <row r="1527" spans="9:13" x14ac:dyDescent="0.2">
      <c r="I1527" s="13"/>
      <c r="J1527" s="13"/>
      <c r="M1527" s="2"/>
    </row>
    <row r="1528" spans="9:13" x14ac:dyDescent="0.2">
      <c r="I1528" s="13"/>
      <c r="J1528" s="13"/>
      <c r="M1528" s="2"/>
    </row>
    <row r="1529" spans="9:13" x14ac:dyDescent="0.2">
      <c r="I1529" s="13"/>
      <c r="J1529" s="13"/>
      <c r="M1529" s="2"/>
    </row>
    <row r="1530" spans="9:13" x14ac:dyDescent="0.2">
      <c r="I1530" s="13"/>
      <c r="J1530" s="13"/>
      <c r="M1530" s="2"/>
    </row>
    <row r="1531" spans="9:13" x14ac:dyDescent="0.2">
      <c r="I1531" s="13"/>
      <c r="J1531" s="13"/>
      <c r="M1531" s="2"/>
    </row>
    <row r="1532" spans="9:13" x14ac:dyDescent="0.2">
      <c r="I1532" s="13"/>
      <c r="J1532" s="13"/>
      <c r="M1532" s="2"/>
    </row>
    <row r="1533" spans="9:13" x14ac:dyDescent="0.2">
      <c r="I1533" s="13"/>
      <c r="J1533" s="13"/>
      <c r="M1533" s="2"/>
    </row>
    <row r="1534" spans="9:13" x14ac:dyDescent="0.2">
      <c r="I1534" s="13"/>
      <c r="J1534" s="13"/>
      <c r="M1534" s="2"/>
    </row>
    <row r="1535" spans="9:13" x14ac:dyDescent="0.2">
      <c r="I1535" s="13"/>
      <c r="J1535" s="13"/>
      <c r="M1535" s="2"/>
    </row>
    <row r="1536" spans="9:13" x14ac:dyDescent="0.2">
      <c r="I1536" s="13"/>
      <c r="J1536" s="13"/>
      <c r="M1536" s="2"/>
    </row>
    <row r="1537" spans="9:13" x14ac:dyDescent="0.2">
      <c r="I1537" s="13"/>
      <c r="J1537" s="13"/>
      <c r="M1537" s="2"/>
    </row>
    <row r="1538" spans="9:13" x14ac:dyDescent="0.2">
      <c r="I1538" s="13"/>
      <c r="J1538" s="13"/>
      <c r="M1538" s="2"/>
    </row>
    <row r="1539" spans="9:13" x14ac:dyDescent="0.2">
      <c r="I1539" s="13"/>
      <c r="J1539" s="13"/>
      <c r="M1539" s="2"/>
    </row>
    <row r="1540" spans="9:13" x14ac:dyDescent="0.2">
      <c r="I1540" s="13"/>
      <c r="J1540" s="13"/>
      <c r="M1540" s="2"/>
    </row>
    <row r="1541" spans="9:13" x14ac:dyDescent="0.2">
      <c r="I1541" s="13"/>
      <c r="J1541" s="13"/>
      <c r="M1541" s="2"/>
    </row>
    <row r="1542" spans="9:13" x14ac:dyDescent="0.2">
      <c r="I1542" s="13"/>
      <c r="J1542" s="13"/>
      <c r="M1542" s="2"/>
    </row>
    <row r="1543" spans="9:13" x14ac:dyDescent="0.2">
      <c r="I1543" s="13"/>
      <c r="J1543" s="13"/>
      <c r="M1543" s="2"/>
    </row>
    <row r="1544" spans="9:13" x14ac:dyDescent="0.2">
      <c r="I1544" s="13"/>
      <c r="J1544" s="13"/>
      <c r="M1544" s="2"/>
    </row>
    <row r="1545" spans="9:13" x14ac:dyDescent="0.2">
      <c r="I1545" s="13"/>
      <c r="J1545" s="13"/>
      <c r="M1545" s="2"/>
    </row>
    <row r="1546" spans="9:13" x14ac:dyDescent="0.2">
      <c r="I1546" s="13"/>
      <c r="J1546" s="13"/>
      <c r="M1546" s="2"/>
    </row>
    <row r="1547" spans="9:13" x14ac:dyDescent="0.2">
      <c r="I1547" s="13"/>
      <c r="J1547" s="13"/>
      <c r="M1547" s="2"/>
    </row>
    <row r="1548" spans="9:13" x14ac:dyDescent="0.2">
      <c r="I1548" s="13"/>
      <c r="J1548" s="13"/>
      <c r="M1548" s="2"/>
    </row>
    <row r="1549" spans="9:13" x14ac:dyDescent="0.2">
      <c r="I1549" s="13"/>
      <c r="J1549" s="13"/>
      <c r="M1549" s="2"/>
    </row>
    <row r="1550" spans="9:13" x14ac:dyDescent="0.2">
      <c r="I1550" s="13"/>
      <c r="J1550" s="13"/>
      <c r="M1550" s="2"/>
    </row>
    <row r="1551" spans="9:13" x14ac:dyDescent="0.2">
      <c r="I1551" s="13"/>
      <c r="J1551" s="13"/>
      <c r="M1551" s="2"/>
    </row>
    <row r="1552" spans="9:13" x14ac:dyDescent="0.2">
      <c r="I1552" s="13"/>
      <c r="J1552" s="13"/>
      <c r="M1552" s="2"/>
    </row>
    <row r="1553" spans="9:13" x14ac:dyDescent="0.2">
      <c r="I1553" s="13"/>
      <c r="J1553" s="13"/>
      <c r="M1553" s="2"/>
    </row>
    <row r="1554" spans="9:13" x14ac:dyDescent="0.2">
      <c r="I1554" s="13"/>
      <c r="J1554" s="13"/>
      <c r="M1554" s="2"/>
    </row>
    <row r="1555" spans="9:13" x14ac:dyDescent="0.2">
      <c r="I1555" s="13"/>
      <c r="J1555" s="13"/>
      <c r="M1555" s="2"/>
    </row>
    <row r="1556" spans="9:13" x14ac:dyDescent="0.2">
      <c r="I1556" s="13"/>
      <c r="J1556" s="13"/>
      <c r="M1556" s="2"/>
    </row>
    <row r="1557" spans="9:13" x14ac:dyDescent="0.2">
      <c r="I1557" s="13"/>
      <c r="J1557" s="13"/>
      <c r="M1557" s="2"/>
    </row>
    <row r="1558" spans="9:13" x14ac:dyDescent="0.2">
      <c r="I1558" s="13"/>
      <c r="J1558" s="13"/>
      <c r="M1558" s="2"/>
    </row>
    <row r="1559" spans="9:13" x14ac:dyDescent="0.2">
      <c r="I1559" s="13"/>
      <c r="J1559" s="13"/>
      <c r="M1559" s="2"/>
    </row>
    <row r="1560" spans="9:13" x14ac:dyDescent="0.2">
      <c r="I1560" s="13"/>
      <c r="J1560" s="13"/>
      <c r="M1560" s="2"/>
    </row>
    <row r="1561" spans="9:13" x14ac:dyDescent="0.2">
      <c r="I1561" s="13"/>
      <c r="J1561" s="13"/>
      <c r="M1561" s="2"/>
    </row>
    <row r="1562" spans="9:13" x14ac:dyDescent="0.2">
      <c r="I1562" s="13"/>
      <c r="J1562" s="13"/>
      <c r="M1562" s="2"/>
    </row>
    <row r="1563" spans="9:13" x14ac:dyDescent="0.2">
      <c r="I1563" s="13"/>
      <c r="J1563" s="13"/>
      <c r="M1563" s="2"/>
    </row>
    <row r="1564" spans="9:13" x14ac:dyDescent="0.2">
      <c r="I1564" s="13"/>
      <c r="J1564" s="13"/>
      <c r="M1564" s="2"/>
    </row>
    <row r="1565" spans="9:13" x14ac:dyDescent="0.2">
      <c r="I1565" s="13"/>
      <c r="J1565" s="13"/>
      <c r="M1565" s="2"/>
    </row>
    <row r="1566" spans="9:13" x14ac:dyDescent="0.2">
      <c r="I1566" s="13"/>
      <c r="J1566" s="13"/>
      <c r="M1566" s="2"/>
    </row>
    <row r="1567" spans="9:13" x14ac:dyDescent="0.2">
      <c r="I1567" s="13"/>
      <c r="J1567" s="13"/>
      <c r="M1567" s="2"/>
    </row>
    <row r="1568" spans="9:13" x14ac:dyDescent="0.2">
      <c r="I1568" s="13"/>
      <c r="J1568" s="13"/>
      <c r="M1568" s="2"/>
    </row>
    <row r="1569" spans="9:13" x14ac:dyDescent="0.2">
      <c r="I1569" s="13"/>
      <c r="J1569" s="13"/>
      <c r="M1569" s="2"/>
    </row>
    <row r="1570" spans="9:13" x14ac:dyDescent="0.2">
      <c r="I1570" s="13"/>
      <c r="J1570" s="13"/>
      <c r="M1570" s="2"/>
    </row>
    <row r="1571" spans="9:13" x14ac:dyDescent="0.2">
      <c r="I1571" s="13"/>
      <c r="J1571" s="13"/>
      <c r="M1571" s="2"/>
    </row>
    <row r="1572" spans="9:13" x14ac:dyDescent="0.2">
      <c r="I1572" s="13"/>
      <c r="J1572" s="13"/>
      <c r="M1572" s="2"/>
    </row>
    <row r="1573" spans="9:13" x14ac:dyDescent="0.2">
      <c r="I1573" s="13"/>
      <c r="J1573" s="13"/>
      <c r="M1573" s="2"/>
    </row>
    <row r="1574" spans="9:13" x14ac:dyDescent="0.2">
      <c r="I1574" s="13"/>
      <c r="J1574" s="13"/>
      <c r="M1574" s="2"/>
    </row>
    <row r="1575" spans="9:13" x14ac:dyDescent="0.2">
      <c r="I1575" s="13"/>
      <c r="J1575" s="13"/>
      <c r="M1575" s="2"/>
    </row>
    <row r="1576" spans="9:13" x14ac:dyDescent="0.2">
      <c r="I1576" s="13"/>
      <c r="J1576" s="13"/>
      <c r="M1576" s="2"/>
    </row>
    <row r="1577" spans="9:13" x14ac:dyDescent="0.2">
      <c r="I1577" s="13"/>
      <c r="J1577" s="13"/>
      <c r="M1577" s="2"/>
    </row>
    <row r="1578" spans="9:13" x14ac:dyDescent="0.2">
      <c r="I1578" s="13"/>
      <c r="J1578" s="13"/>
      <c r="M1578" s="2"/>
    </row>
    <row r="1579" spans="9:13" x14ac:dyDescent="0.2">
      <c r="I1579" s="13"/>
      <c r="J1579" s="13"/>
      <c r="M1579" s="2"/>
    </row>
    <row r="1580" spans="9:13" x14ac:dyDescent="0.2">
      <c r="I1580" s="13"/>
      <c r="J1580" s="13"/>
      <c r="M1580" s="2"/>
    </row>
    <row r="1581" spans="9:13" x14ac:dyDescent="0.2">
      <c r="I1581" s="13"/>
      <c r="J1581" s="13"/>
      <c r="M1581" s="2"/>
    </row>
    <row r="1582" spans="9:13" x14ac:dyDescent="0.2">
      <c r="I1582" s="13"/>
      <c r="J1582" s="13"/>
      <c r="M1582" s="2"/>
    </row>
    <row r="1583" spans="9:13" x14ac:dyDescent="0.2">
      <c r="I1583" s="13"/>
      <c r="J1583" s="13"/>
      <c r="M1583" s="2"/>
    </row>
    <row r="1584" spans="9:13" x14ac:dyDescent="0.2">
      <c r="I1584" s="13"/>
      <c r="J1584" s="13"/>
      <c r="M1584" s="2"/>
    </row>
    <row r="1585" spans="9:13" x14ac:dyDescent="0.2">
      <c r="I1585" s="13"/>
      <c r="J1585" s="13"/>
      <c r="M1585" s="2"/>
    </row>
    <row r="1586" spans="9:13" x14ac:dyDescent="0.2">
      <c r="I1586" s="13"/>
      <c r="J1586" s="13"/>
      <c r="M1586" s="2"/>
    </row>
    <row r="1587" spans="9:13" x14ac:dyDescent="0.2">
      <c r="I1587" s="13"/>
      <c r="J1587" s="13"/>
      <c r="M1587" s="2"/>
    </row>
    <row r="1588" spans="9:13" x14ac:dyDescent="0.2">
      <c r="I1588" s="13"/>
      <c r="J1588" s="13"/>
      <c r="M1588" s="2"/>
    </row>
    <row r="1589" spans="9:13" x14ac:dyDescent="0.2">
      <c r="I1589" s="13"/>
      <c r="J1589" s="13"/>
      <c r="M1589" s="2"/>
    </row>
    <row r="1590" spans="9:13" x14ac:dyDescent="0.2">
      <c r="I1590" s="13"/>
      <c r="J1590" s="13"/>
      <c r="M1590" s="2"/>
    </row>
    <row r="1591" spans="9:13" x14ac:dyDescent="0.2">
      <c r="I1591" s="13"/>
      <c r="J1591" s="13"/>
      <c r="M1591" s="2"/>
    </row>
    <row r="1592" spans="9:13" x14ac:dyDescent="0.2">
      <c r="I1592" s="13"/>
      <c r="J1592" s="13"/>
      <c r="M1592" s="2"/>
    </row>
    <row r="1593" spans="9:13" x14ac:dyDescent="0.2">
      <c r="I1593" s="13"/>
      <c r="J1593" s="13"/>
      <c r="M1593" s="2"/>
    </row>
    <row r="1594" spans="9:13" x14ac:dyDescent="0.2">
      <c r="I1594" s="13"/>
      <c r="J1594" s="13"/>
      <c r="M1594" s="2"/>
    </row>
    <row r="1595" spans="9:13" x14ac:dyDescent="0.2">
      <c r="I1595" s="13"/>
      <c r="J1595" s="13"/>
      <c r="M1595" s="2"/>
    </row>
    <row r="1596" spans="9:13" x14ac:dyDescent="0.2">
      <c r="I1596" s="13"/>
      <c r="J1596" s="13"/>
      <c r="M1596" s="2"/>
    </row>
    <row r="1597" spans="9:13" x14ac:dyDescent="0.2">
      <c r="I1597" s="13"/>
      <c r="J1597" s="13"/>
      <c r="M1597" s="2"/>
    </row>
    <row r="1598" spans="9:13" x14ac:dyDescent="0.2">
      <c r="I1598" s="13"/>
      <c r="J1598" s="13"/>
      <c r="M1598" s="2"/>
    </row>
    <row r="1599" spans="9:13" x14ac:dyDescent="0.2">
      <c r="I1599" s="13"/>
      <c r="J1599" s="13"/>
      <c r="M1599" s="2"/>
    </row>
    <row r="1600" spans="9:13" x14ac:dyDescent="0.2">
      <c r="I1600" s="13"/>
      <c r="J1600" s="13"/>
      <c r="M1600" s="2"/>
    </row>
    <row r="1601" spans="9:13" x14ac:dyDescent="0.2">
      <c r="I1601" s="13"/>
      <c r="J1601" s="13"/>
      <c r="M1601" s="2"/>
    </row>
    <row r="1602" spans="9:13" x14ac:dyDescent="0.2">
      <c r="I1602" s="13"/>
      <c r="J1602" s="13"/>
      <c r="M1602" s="2"/>
    </row>
    <row r="1603" spans="9:13" x14ac:dyDescent="0.2">
      <c r="I1603" s="13"/>
      <c r="J1603" s="13"/>
      <c r="M1603" s="2"/>
    </row>
    <row r="1604" spans="9:13" x14ac:dyDescent="0.2">
      <c r="I1604" s="13"/>
      <c r="J1604" s="13"/>
      <c r="M1604" s="2"/>
    </row>
    <row r="1605" spans="9:13" x14ac:dyDescent="0.2">
      <c r="I1605" s="13"/>
      <c r="J1605" s="13"/>
      <c r="M1605" s="2"/>
    </row>
    <row r="1606" spans="9:13" x14ac:dyDescent="0.2">
      <c r="I1606" s="13"/>
      <c r="J1606" s="13"/>
      <c r="M1606" s="2"/>
    </row>
    <row r="1607" spans="9:13" x14ac:dyDescent="0.2">
      <c r="I1607" s="13"/>
      <c r="J1607" s="13"/>
      <c r="M1607" s="2"/>
    </row>
    <row r="1608" spans="9:13" x14ac:dyDescent="0.2">
      <c r="I1608" s="13"/>
      <c r="J1608" s="13"/>
      <c r="M1608" s="2"/>
    </row>
    <row r="1609" spans="9:13" x14ac:dyDescent="0.2">
      <c r="I1609" s="13"/>
      <c r="J1609" s="13"/>
      <c r="M1609" s="2"/>
    </row>
    <row r="1610" spans="9:13" x14ac:dyDescent="0.2">
      <c r="I1610" s="13"/>
      <c r="J1610" s="13"/>
      <c r="M1610" s="2"/>
    </row>
    <row r="1611" spans="9:13" x14ac:dyDescent="0.2">
      <c r="I1611" s="13"/>
      <c r="J1611" s="13"/>
      <c r="M1611" s="2"/>
    </row>
    <row r="1612" spans="9:13" x14ac:dyDescent="0.2">
      <c r="I1612" s="13"/>
      <c r="J1612" s="13"/>
      <c r="M1612" s="2"/>
    </row>
    <row r="1613" spans="9:13" x14ac:dyDescent="0.2">
      <c r="I1613" s="13"/>
      <c r="J1613" s="13"/>
      <c r="M1613" s="2"/>
    </row>
    <row r="1614" spans="9:13" x14ac:dyDescent="0.2">
      <c r="I1614" s="13"/>
      <c r="J1614" s="13"/>
      <c r="M1614" s="2"/>
    </row>
    <row r="1615" spans="9:13" x14ac:dyDescent="0.2">
      <c r="I1615" s="13"/>
      <c r="J1615" s="13"/>
      <c r="M1615" s="2"/>
    </row>
    <row r="1616" spans="9:13" x14ac:dyDescent="0.2">
      <c r="I1616" s="13"/>
      <c r="J1616" s="13"/>
      <c r="M1616" s="2"/>
    </row>
    <row r="1617" spans="9:13" x14ac:dyDescent="0.2">
      <c r="I1617" s="13"/>
      <c r="J1617" s="13"/>
      <c r="M1617" s="2"/>
    </row>
    <row r="1618" spans="9:13" x14ac:dyDescent="0.2">
      <c r="I1618" s="13"/>
      <c r="J1618" s="13"/>
      <c r="M1618" s="2"/>
    </row>
    <row r="1619" spans="9:13" x14ac:dyDescent="0.2">
      <c r="I1619" s="13"/>
      <c r="J1619" s="13"/>
      <c r="M1619" s="2"/>
    </row>
    <row r="1620" spans="9:13" x14ac:dyDescent="0.2">
      <c r="I1620" s="13"/>
      <c r="J1620" s="13"/>
      <c r="M1620" s="2"/>
    </row>
    <row r="1621" spans="9:13" x14ac:dyDescent="0.2">
      <c r="I1621" s="13"/>
      <c r="J1621" s="13"/>
      <c r="M1621" s="2"/>
    </row>
    <row r="1622" spans="9:13" x14ac:dyDescent="0.2">
      <c r="I1622" s="13"/>
      <c r="J1622" s="13"/>
      <c r="M1622" s="2"/>
    </row>
    <row r="1623" spans="9:13" x14ac:dyDescent="0.2">
      <c r="I1623" s="13"/>
      <c r="J1623" s="13"/>
      <c r="M1623" s="2"/>
    </row>
    <row r="1624" spans="9:13" x14ac:dyDescent="0.2">
      <c r="I1624" s="13"/>
      <c r="J1624" s="13"/>
      <c r="M1624" s="2"/>
    </row>
    <row r="1625" spans="9:13" x14ac:dyDescent="0.2">
      <c r="I1625" s="13"/>
      <c r="J1625" s="13"/>
      <c r="M1625" s="2"/>
    </row>
    <row r="1626" spans="9:13" x14ac:dyDescent="0.2">
      <c r="I1626" s="13"/>
      <c r="J1626" s="13"/>
      <c r="M1626" s="2"/>
    </row>
    <row r="1627" spans="9:13" x14ac:dyDescent="0.2">
      <c r="I1627" s="13"/>
      <c r="J1627" s="13"/>
      <c r="M1627" s="2"/>
    </row>
    <row r="1628" spans="9:13" x14ac:dyDescent="0.2">
      <c r="I1628" s="13"/>
      <c r="J1628" s="13"/>
      <c r="M1628" s="2"/>
    </row>
    <row r="1629" spans="9:13" x14ac:dyDescent="0.2">
      <c r="I1629" s="13"/>
      <c r="J1629" s="13"/>
      <c r="M1629" s="2"/>
    </row>
    <row r="1630" spans="9:13" x14ac:dyDescent="0.2">
      <c r="I1630" s="13"/>
      <c r="J1630" s="13"/>
      <c r="M1630" s="2"/>
    </row>
    <row r="1631" spans="9:13" x14ac:dyDescent="0.2">
      <c r="I1631" s="13"/>
      <c r="J1631" s="13"/>
      <c r="M1631" s="2"/>
    </row>
    <row r="1632" spans="9:13" x14ac:dyDescent="0.2">
      <c r="I1632" s="13"/>
      <c r="J1632" s="13"/>
      <c r="M1632" s="2"/>
    </row>
    <row r="1633" spans="9:13" x14ac:dyDescent="0.2">
      <c r="I1633" s="13"/>
      <c r="J1633" s="13"/>
      <c r="M1633" s="2"/>
    </row>
    <row r="1634" spans="9:13" x14ac:dyDescent="0.2">
      <c r="I1634" s="13"/>
      <c r="J1634" s="13"/>
      <c r="M1634" s="2"/>
    </row>
    <row r="1635" spans="9:13" x14ac:dyDescent="0.2">
      <c r="I1635" s="13"/>
      <c r="J1635" s="13"/>
      <c r="M1635" s="2"/>
    </row>
    <row r="1636" spans="9:13" x14ac:dyDescent="0.2">
      <c r="I1636" s="13"/>
      <c r="J1636" s="13"/>
      <c r="M1636" s="2"/>
    </row>
    <row r="1637" spans="9:13" x14ac:dyDescent="0.2">
      <c r="I1637" s="13"/>
      <c r="J1637" s="13"/>
      <c r="M1637" s="2"/>
    </row>
    <row r="1638" spans="9:13" x14ac:dyDescent="0.2">
      <c r="I1638" s="13"/>
      <c r="J1638" s="13"/>
      <c r="M1638" s="2"/>
    </row>
    <row r="1639" spans="9:13" x14ac:dyDescent="0.2">
      <c r="I1639" s="13"/>
      <c r="J1639" s="13"/>
      <c r="M1639" s="2"/>
    </row>
    <row r="1640" spans="9:13" x14ac:dyDescent="0.2">
      <c r="I1640" s="13"/>
      <c r="J1640" s="13"/>
      <c r="M1640" s="2"/>
    </row>
    <row r="1641" spans="9:13" x14ac:dyDescent="0.2">
      <c r="I1641" s="13"/>
      <c r="J1641" s="13"/>
      <c r="M1641" s="2"/>
    </row>
    <row r="1642" spans="9:13" x14ac:dyDescent="0.2">
      <c r="I1642" s="13"/>
      <c r="J1642" s="13"/>
      <c r="M1642" s="2"/>
    </row>
    <row r="1643" spans="9:13" x14ac:dyDescent="0.2">
      <c r="I1643" s="13"/>
      <c r="J1643" s="13"/>
      <c r="M1643" s="2"/>
    </row>
    <row r="1644" spans="9:13" x14ac:dyDescent="0.2">
      <c r="I1644" s="13"/>
      <c r="J1644" s="13"/>
      <c r="M1644" s="2"/>
    </row>
    <row r="1645" spans="9:13" x14ac:dyDescent="0.2">
      <c r="I1645" s="13"/>
      <c r="J1645" s="13"/>
      <c r="M1645" s="2"/>
    </row>
    <row r="1646" spans="9:13" x14ac:dyDescent="0.2">
      <c r="I1646" s="13"/>
      <c r="J1646" s="13"/>
      <c r="M1646" s="2"/>
    </row>
    <row r="1647" spans="9:13" x14ac:dyDescent="0.2">
      <c r="I1647" s="13"/>
      <c r="J1647" s="13"/>
      <c r="M1647" s="2"/>
    </row>
    <row r="1648" spans="9:13" x14ac:dyDescent="0.2">
      <c r="I1648" s="13"/>
      <c r="J1648" s="13"/>
      <c r="M1648" s="2"/>
    </row>
    <row r="1649" spans="9:13" x14ac:dyDescent="0.2">
      <c r="I1649" s="13"/>
      <c r="J1649" s="13"/>
      <c r="M1649" s="2"/>
    </row>
    <row r="1650" spans="9:13" x14ac:dyDescent="0.2">
      <c r="I1650" s="13"/>
      <c r="J1650" s="13"/>
      <c r="M1650" s="2"/>
    </row>
    <row r="1651" spans="9:13" x14ac:dyDescent="0.2">
      <c r="I1651" s="13"/>
      <c r="J1651" s="13"/>
      <c r="M1651" s="2"/>
    </row>
    <row r="1652" spans="9:13" x14ac:dyDescent="0.2">
      <c r="I1652" s="13"/>
      <c r="J1652" s="13"/>
      <c r="M1652" s="2"/>
    </row>
    <row r="1653" spans="9:13" x14ac:dyDescent="0.2">
      <c r="I1653" s="13"/>
      <c r="J1653" s="13"/>
      <c r="M1653" s="2"/>
    </row>
    <row r="1654" spans="9:13" x14ac:dyDescent="0.2">
      <c r="I1654" s="13"/>
      <c r="J1654" s="13"/>
      <c r="M1654" s="2"/>
    </row>
    <row r="1655" spans="9:13" x14ac:dyDescent="0.2">
      <c r="I1655" s="13"/>
      <c r="J1655" s="13"/>
      <c r="M1655" s="2"/>
    </row>
    <row r="1656" spans="9:13" x14ac:dyDescent="0.2">
      <c r="I1656" s="13"/>
      <c r="J1656" s="13"/>
      <c r="M1656" s="2"/>
    </row>
    <row r="1657" spans="9:13" x14ac:dyDescent="0.2">
      <c r="I1657" s="13"/>
      <c r="J1657" s="13"/>
      <c r="M1657" s="2"/>
    </row>
    <row r="1658" spans="9:13" x14ac:dyDescent="0.2">
      <c r="I1658" s="13"/>
      <c r="J1658" s="13"/>
      <c r="M1658" s="2"/>
    </row>
    <row r="1659" spans="9:13" x14ac:dyDescent="0.2">
      <c r="I1659" s="13"/>
      <c r="J1659" s="13"/>
      <c r="M1659" s="2"/>
    </row>
    <row r="1660" spans="9:13" x14ac:dyDescent="0.2">
      <c r="I1660" s="13"/>
      <c r="J1660" s="13"/>
      <c r="M1660" s="2"/>
    </row>
    <row r="1661" spans="9:13" x14ac:dyDescent="0.2">
      <c r="I1661" s="13"/>
      <c r="J1661" s="13"/>
      <c r="M1661" s="2"/>
    </row>
    <row r="1662" spans="9:13" x14ac:dyDescent="0.2">
      <c r="I1662" s="13"/>
      <c r="J1662" s="13"/>
      <c r="M1662" s="2"/>
    </row>
    <row r="1663" spans="9:13" x14ac:dyDescent="0.2">
      <c r="I1663" s="13"/>
      <c r="J1663" s="13"/>
      <c r="M1663" s="2"/>
    </row>
    <row r="1664" spans="9:13" x14ac:dyDescent="0.2">
      <c r="I1664" s="13"/>
      <c r="J1664" s="13"/>
      <c r="M1664" s="2"/>
    </row>
    <row r="1665" spans="9:13" x14ac:dyDescent="0.2">
      <c r="I1665" s="13"/>
      <c r="J1665" s="13"/>
      <c r="M1665" s="2"/>
    </row>
    <row r="1666" spans="9:13" x14ac:dyDescent="0.2">
      <c r="I1666" s="13"/>
      <c r="J1666" s="13"/>
      <c r="M1666" s="2"/>
    </row>
    <row r="1667" spans="9:13" x14ac:dyDescent="0.2">
      <c r="I1667" s="13"/>
      <c r="J1667" s="13"/>
      <c r="M1667" s="2"/>
    </row>
    <row r="1668" spans="9:13" x14ac:dyDescent="0.2">
      <c r="I1668" s="13"/>
      <c r="J1668" s="13"/>
      <c r="M1668" s="2"/>
    </row>
    <row r="1669" spans="9:13" x14ac:dyDescent="0.2">
      <c r="I1669" s="13"/>
      <c r="J1669" s="13"/>
      <c r="M1669" s="2"/>
    </row>
    <row r="1670" spans="9:13" x14ac:dyDescent="0.2">
      <c r="I1670" s="13"/>
      <c r="J1670" s="13"/>
      <c r="M1670" s="2"/>
    </row>
    <row r="1671" spans="9:13" x14ac:dyDescent="0.2">
      <c r="I1671" s="13"/>
      <c r="J1671" s="13"/>
      <c r="M1671" s="2"/>
    </row>
    <row r="1672" spans="9:13" x14ac:dyDescent="0.2">
      <c r="I1672" s="13"/>
      <c r="J1672" s="13"/>
      <c r="M1672" s="2"/>
    </row>
    <row r="1673" spans="9:13" x14ac:dyDescent="0.2">
      <c r="I1673" s="13"/>
      <c r="J1673" s="13"/>
      <c r="M1673" s="2"/>
    </row>
    <row r="1674" spans="9:13" x14ac:dyDescent="0.2">
      <c r="I1674" s="13"/>
      <c r="J1674" s="13"/>
      <c r="M1674" s="2"/>
    </row>
    <row r="1675" spans="9:13" x14ac:dyDescent="0.2">
      <c r="I1675" s="13"/>
      <c r="J1675" s="13"/>
      <c r="M1675" s="2"/>
    </row>
    <row r="1676" spans="9:13" x14ac:dyDescent="0.2">
      <c r="I1676" s="13"/>
      <c r="J1676" s="13"/>
      <c r="M1676" s="2"/>
    </row>
    <row r="1677" spans="9:13" x14ac:dyDescent="0.2">
      <c r="I1677" s="13"/>
      <c r="J1677" s="13"/>
      <c r="M1677" s="2"/>
    </row>
    <row r="1678" spans="9:13" x14ac:dyDescent="0.2">
      <c r="I1678" s="13"/>
      <c r="J1678" s="13"/>
      <c r="M1678" s="2"/>
    </row>
    <row r="1679" spans="9:13" x14ac:dyDescent="0.2">
      <c r="I1679" s="13"/>
      <c r="J1679" s="13"/>
      <c r="M1679" s="2"/>
    </row>
    <row r="1680" spans="9:13" x14ac:dyDescent="0.2">
      <c r="I1680" s="13"/>
      <c r="J1680" s="13"/>
      <c r="M1680" s="2"/>
    </row>
    <row r="1681" spans="9:13" x14ac:dyDescent="0.2">
      <c r="I1681" s="13"/>
      <c r="J1681" s="13"/>
      <c r="M1681" s="2"/>
    </row>
    <row r="1682" spans="9:13" x14ac:dyDescent="0.2">
      <c r="I1682" s="13"/>
      <c r="J1682" s="13"/>
      <c r="M1682" s="2"/>
    </row>
    <row r="1683" spans="9:13" x14ac:dyDescent="0.2">
      <c r="I1683" s="13"/>
      <c r="J1683" s="13"/>
      <c r="M1683" s="2"/>
    </row>
    <row r="1684" spans="9:13" x14ac:dyDescent="0.2">
      <c r="I1684" s="13"/>
      <c r="J1684" s="13"/>
      <c r="M16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24C6-1034-4C2D-A068-ABE73772CDD2}">
  <sheetPr codeName="Sheet2"/>
  <dimension ref="C1:R455"/>
  <sheetViews>
    <sheetView showGridLines="0" view="pageBreakPreview" zoomScaleNormal="40" zoomScaleSheetLayoutView="100" workbookViewId="0">
      <selection activeCell="E232" sqref="E232:P232"/>
    </sheetView>
  </sheetViews>
  <sheetFormatPr defaultColWidth="8.85546875" defaultRowHeight="12.75" x14ac:dyDescent="0.2"/>
  <cols>
    <col min="1" max="2" width="8.85546875" style="37"/>
    <col min="3" max="3" width="17.42578125" style="37" customWidth="1"/>
    <col min="4" max="4" width="10" style="37" bestFit="1" customWidth="1"/>
    <col min="5" max="16" width="4.7109375" style="38" customWidth="1"/>
    <col min="17" max="17" width="8.85546875" style="37"/>
    <col min="18" max="18" width="18.140625" style="37" bestFit="1" customWidth="1"/>
    <col min="19" max="16384" width="8.85546875" style="37"/>
  </cols>
  <sheetData>
    <row r="1" spans="3:18" x14ac:dyDescent="0.2">
      <c r="C1" s="36" t="str">
        <f>[4]jan!B1</f>
        <v>CURAH  HUJAN  WS BENGAWAN SOLO</v>
      </c>
    </row>
    <row r="2" spans="3:18" x14ac:dyDescent="0.2">
      <c r="C2" s="39" t="s">
        <v>3590</v>
      </c>
      <c r="E2" s="40">
        <f>[4]jan!C3</f>
        <v>2022</v>
      </c>
    </row>
    <row r="3" spans="3:18" x14ac:dyDescent="0.2">
      <c r="C3" s="41" t="s">
        <v>31</v>
      </c>
      <c r="D3" s="41" t="s">
        <v>30</v>
      </c>
      <c r="E3" s="41" t="s">
        <v>3591</v>
      </c>
      <c r="F3" s="41" t="s">
        <v>3592</v>
      </c>
      <c r="G3" s="41" t="s">
        <v>3593</v>
      </c>
      <c r="H3" s="41" t="s">
        <v>3594</v>
      </c>
      <c r="I3" s="41" t="s">
        <v>3595</v>
      </c>
      <c r="J3" s="41" t="s">
        <v>3596</v>
      </c>
      <c r="K3" s="41" t="s">
        <v>3597</v>
      </c>
      <c r="L3" s="41" t="s">
        <v>3598</v>
      </c>
      <c r="M3" s="41" t="s">
        <v>3599</v>
      </c>
      <c r="N3" s="41" t="s">
        <v>3600</v>
      </c>
      <c r="O3" s="41" t="s">
        <v>3601</v>
      </c>
      <c r="P3" s="41" t="s">
        <v>3602</v>
      </c>
      <c r="Q3" s="41" t="s">
        <v>2050</v>
      </c>
      <c r="R3" s="42" t="s">
        <v>3603</v>
      </c>
    </row>
    <row r="4" spans="3:18" x14ac:dyDescent="0.2">
      <c r="C4" s="43" t="str">
        <f>VLOOKUP(D4,[4]DBASE!$B$3:$P$923,2,FALSE)</f>
        <v>Krikilan</v>
      </c>
      <c r="D4" s="44">
        <f>[4]jan!C8</f>
        <v>350125005</v>
      </c>
      <c r="E4" s="45">
        <f t="shared" ref="E4:E67" si="0">VLOOKUP($D4,jan,33,FALSE)</f>
        <v>445.2</v>
      </c>
      <c r="F4" s="45">
        <f t="shared" ref="F4:F196" si="1">VLOOKUP($D4,peb,33,FALSE)</f>
        <v>324</v>
      </c>
      <c r="G4" s="45">
        <f t="shared" ref="G4:G196" si="2">VLOOKUP($D4,mar,33,FALSE)</f>
        <v>584</v>
      </c>
      <c r="H4" s="45">
        <f t="shared" ref="H4:H196" si="3">VLOOKUP($D4,apr,33,FALSE)</f>
        <v>477</v>
      </c>
      <c r="I4" s="45">
        <f t="shared" ref="I4:I196" si="4">VLOOKUP($D4,mei,33,FALSE)</f>
        <v>337</v>
      </c>
      <c r="J4" s="45">
        <f t="shared" ref="J4:J196" si="5">VLOOKUP($D4,jun,33,FALSE)</f>
        <v>273</v>
      </c>
      <c r="K4" s="45">
        <f t="shared" ref="K4:K196" si="6">VLOOKUP($D4,jul,33,FALSE)</f>
        <v>103</v>
      </c>
      <c r="L4" s="45">
        <f t="shared" ref="L4:L196" si="7">VLOOKUP($D4,ags,33,FALSE)</f>
        <v>34</v>
      </c>
      <c r="M4" s="45">
        <f t="shared" ref="M4:M196" si="8">VLOOKUP($D4,sep,33,FALSE)</f>
        <v>44</v>
      </c>
      <c r="N4" s="45">
        <f t="shared" ref="N4:N196" si="9">VLOOKUP($D4,okt,33,FALSE)</f>
        <v>477</v>
      </c>
      <c r="O4" s="45">
        <f t="shared" ref="O4:O196" si="10">VLOOKUP($D4,nop,33,FALSE)</f>
        <v>590</v>
      </c>
      <c r="P4" s="45">
        <f t="shared" ref="P4:P196" si="11">VLOOKUP($D4,des,33,FALSE)</f>
        <v>509</v>
      </c>
      <c r="Q4" s="45">
        <f>SUM(E4:P4)</f>
        <v>4197.2</v>
      </c>
      <c r="R4" s="46">
        <f>AVERAGEIF(Q4:Q231,("&gt;0"))</f>
        <v>2431.0908333333332</v>
      </c>
    </row>
    <row r="5" spans="3:18" x14ac:dyDescent="0.2">
      <c r="C5" s="43" t="str">
        <f>VLOOKUP(D5,[4]DBASE!$B$3:$P$923,2,FALSE)</f>
        <v>Duduksampean</v>
      </c>
      <c r="D5" s="47">
        <f>[4]jan!C9</f>
        <v>350125004</v>
      </c>
      <c r="E5" s="45">
        <f t="shared" si="0"/>
        <v>200.5</v>
      </c>
      <c r="F5" s="45">
        <f t="shared" si="1"/>
        <v>124</v>
      </c>
      <c r="G5" s="45">
        <f t="shared" si="2"/>
        <v>210</v>
      </c>
      <c r="H5" s="45">
        <f t="shared" si="3"/>
        <v>153</v>
      </c>
      <c r="I5" s="45">
        <f t="shared" si="4"/>
        <v>85</v>
      </c>
      <c r="J5" s="45">
        <f t="shared" si="5"/>
        <v>49</v>
      </c>
      <c r="K5" s="45">
        <f t="shared" si="6"/>
        <v>46</v>
      </c>
      <c r="L5" s="45">
        <f t="shared" si="7"/>
        <v>0</v>
      </c>
      <c r="M5" s="45">
        <f t="shared" si="8"/>
        <v>0</v>
      </c>
      <c r="N5" s="45">
        <f t="shared" si="9"/>
        <v>208</v>
      </c>
      <c r="O5" s="45">
        <f t="shared" si="10"/>
        <v>218</v>
      </c>
      <c r="P5" s="45">
        <f t="shared" si="11"/>
        <v>90</v>
      </c>
      <c r="Q5" s="45">
        <f t="shared" ref="Q5:Q68" si="12">SUM(E5:P5)</f>
        <v>1383.5</v>
      </c>
      <c r="R5" s="48"/>
    </row>
    <row r="6" spans="3:18" x14ac:dyDescent="0.2">
      <c r="C6" s="43" t="str">
        <f>VLOOKUP(D6,[4]DBASE!$B$3:$P$923,2,FALSE)</f>
        <v>Cerme GRS</v>
      </c>
      <c r="D6" s="47">
        <f>[4]jan!C10</f>
        <v>350125003</v>
      </c>
      <c r="E6" s="45">
        <f t="shared" si="0"/>
        <v>265</v>
      </c>
      <c r="F6" s="45">
        <f t="shared" si="1"/>
        <v>121.5</v>
      </c>
      <c r="G6" s="45">
        <f t="shared" si="2"/>
        <v>165.5</v>
      </c>
      <c r="H6" s="45">
        <f t="shared" si="3"/>
        <v>112.5</v>
      </c>
      <c r="I6" s="45">
        <f t="shared" si="4"/>
        <v>116</v>
      </c>
      <c r="J6" s="45">
        <f t="shared" si="5"/>
        <v>40</v>
      </c>
      <c r="K6" s="45">
        <f t="shared" si="6"/>
        <v>107</v>
      </c>
      <c r="L6" s="45">
        <f t="shared" si="7"/>
        <v>8</v>
      </c>
      <c r="M6" s="45">
        <f t="shared" si="8"/>
        <v>0</v>
      </c>
      <c r="N6" s="45">
        <f t="shared" si="9"/>
        <v>158.5</v>
      </c>
      <c r="O6" s="45">
        <f t="shared" si="10"/>
        <v>242</v>
      </c>
      <c r="P6" s="45">
        <f t="shared" si="11"/>
        <v>101</v>
      </c>
      <c r="Q6" s="45">
        <f t="shared" si="12"/>
        <v>1437</v>
      </c>
      <c r="R6" s="48"/>
    </row>
    <row r="7" spans="3:18" x14ac:dyDescent="0.2">
      <c r="C7" s="43" t="str">
        <f>VLOOKUP(D7,[4]DBASE!$B$3:$P$923,2,FALSE)</f>
        <v>Bunder / Gresik</v>
      </c>
      <c r="D7" s="47">
        <f>[4]jan!C11</f>
        <v>350125002</v>
      </c>
      <c r="E7" s="45">
        <f t="shared" si="0"/>
        <v>245</v>
      </c>
      <c r="F7" s="45">
        <f t="shared" si="1"/>
        <v>144</v>
      </c>
      <c r="G7" s="45">
        <f t="shared" si="2"/>
        <v>315</v>
      </c>
      <c r="H7" s="45">
        <f t="shared" si="3"/>
        <v>108</v>
      </c>
      <c r="I7" s="45">
        <f t="shared" si="4"/>
        <v>126</v>
      </c>
      <c r="J7" s="45">
        <f t="shared" si="5"/>
        <v>64</v>
      </c>
      <c r="K7" s="45">
        <f t="shared" si="6"/>
        <v>95</v>
      </c>
      <c r="L7" s="45">
        <f t="shared" si="7"/>
        <v>5</v>
      </c>
      <c r="M7" s="45">
        <f t="shared" si="8"/>
        <v>0</v>
      </c>
      <c r="N7" s="45">
        <f t="shared" si="9"/>
        <v>133</v>
      </c>
      <c r="O7" s="45">
        <f t="shared" si="10"/>
        <v>300</v>
      </c>
      <c r="P7" s="45">
        <f t="shared" si="11"/>
        <v>75</v>
      </c>
      <c r="Q7" s="45">
        <f t="shared" si="12"/>
        <v>1610</v>
      </c>
      <c r="R7" s="48"/>
    </row>
    <row r="8" spans="3:18" x14ac:dyDescent="0.2">
      <c r="C8" s="43" t="str">
        <f>VLOOKUP(D8,[4]DBASE!$B$3:$P$923,2,FALSE)</f>
        <v>Benjeng</v>
      </c>
      <c r="D8" s="47">
        <f>[4]jan!C12</f>
        <v>350125001</v>
      </c>
      <c r="E8" s="45">
        <f t="shared" si="0"/>
        <v>188</v>
      </c>
      <c r="F8" s="45">
        <f t="shared" si="1"/>
        <v>122</v>
      </c>
      <c r="G8" s="45">
        <f t="shared" si="2"/>
        <v>246</v>
      </c>
      <c r="H8" s="45">
        <f t="shared" si="3"/>
        <v>96</v>
      </c>
      <c r="I8" s="45">
        <f t="shared" si="4"/>
        <v>173</v>
      </c>
      <c r="J8" s="45">
        <f t="shared" si="5"/>
        <v>137</v>
      </c>
      <c r="K8" s="45">
        <f t="shared" si="6"/>
        <v>71</v>
      </c>
      <c r="L8" s="45">
        <f t="shared" si="7"/>
        <v>15</v>
      </c>
      <c r="M8" s="45">
        <f t="shared" si="8"/>
        <v>0</v>
      </c>
      <c r="N8" s="45">
        <f t="shared" si="9"/>
        <v>236</v>
      </c>
      <c r="O8" s="45">
        <f t="shared" si="10"/>
        <v>200</v>
      </c>
      <c r="P8" s="45">
        <f t="shared" si="11"/>
        <v>184</v>
      </c>
      <c r="Q8" s="45">
        <f t="shared" si="12"/>
        <v>1668</v>
      </c>
      <c r="R8" s="48"/>
    </row>
    <row r="9" spans="3:18" x14ac:dyDescent="0.2">
      <c r="C9" s="43" t="str">
        <f>VLOOKUP(D9,[4]DBASE!$B$3:$P$923,2,FALSE)</f>
        <v>Kedungkumpul</v>
      </c>
      <c r="D9" s="47">
        <f>[4]jan!C13</f>
        <v>350124024</v>
      </c>
      <c r="E9" s="45">
        <f t="shared" si="0"/>
        <v>204.5</v>
      </c>
      <c r="F9" s="45">
        <f t="shared" si="1"/>
        <v>181.5</v>
      </c>
      <c r="G9" s="45">
        <f t="shared" si="2"/>
        <v>246</v>
      </c>
      <c r="H9" s="45">
        <f t="shared" si="3"/>
        <v>283</v>
      </c>
      <c r="I9" s="45">
        <f t="shared" si="4"/>
        <v>157</v>
      </c>
      <c r="J9" s="45">
        <f t="shared" si="5"/>
        <v>134</v>
      </c>
      <c r="K9" s="45">
        <f t="shared" si="6"/>
        <v>114</v>
      </c>
      <c r="L9" s="45">
        <f t="shared" si="7"/>
        <v>12</v>
      </c>
      <c r="M9" s="45">
        <f t="shared" si="8"/>
        <v>3</v>
      </c>
      <c r="N9" s="45">
        <f t="shared" si="9"/>
        <v>357</v>
      </c>
      <c r="O9" s="45">
        <f t="shared" si="10"/>
        <v>306</v>
      </c>
      <c r="P9" s="45">
        <f t="shared" si="11"/>
        <v>121</v>
      </c>
      <c r="Q9" s="45">
        <f t="shared" si="12"/>
        <v>2119</v>
      </c>
      <c r="R9" s="48"/>
    </row>
    <row r="10" spans="3:18" x14ac:dyDescent="0.2">
      <c r="C10" s="43" t="str">
        <f>VLOOKUP(D10,[4]DBASE!$B$3:$P$923,2,FALSE)</f>
        <v>Sukorejo</v>
      </c>
      <c r="D10" s="47">
        <f>[4]jan!C14</f>
        <v>350124023</v>
      </c>
      <c r="E10" s="45">
        <f t="shared" si="0"/>
        <v>277</v>
      </c>
      <c r="F10" s="45">
        <f t="shared" si="1"/>
        <v>267</v>
      </c>
      <c r="G10" s="45">
        <f t="shared" si="2"/>
        <v>446</v>
      </c>
      <c r="H10" s="45">
        <f t="shared" si="3"/>
        <v>197</v>
      </c>
      <c r="I10" s="45">
        <f t="shared" si="4"/>
        <v>124</v>
      </c>
      <c r="J10" s="45">
        <f t="shared" si="5"/>
        <v>104</v>
      </c>
      <c r="K10" s="45">
        <f t="shared" si="6"/>
        <v>69</v>
      </c>
      <c r="L10" s="45">
        <f t="shared" si="7"/>
        <v>82</v>
      </c>
      <c r="M10" s="45">
        <f t="shared" si="8"/>
        <v>0</v>
      </c>
      <c r="N10" s="45">
        <f t="shared" si="9"/>
        <v>513</v>
      </c>
      <c r="O10" s="45">
        <f t="shared" si="10"/>
        <v>134</v>
      </c>
      <c r="P10" s="45">
        <f t="shared" si="11"/>
        <v>196</v>
      </c>
      <c r="Q10" s="45">
        <f t="shared" si="12"/>
        <v>2409</v>
      </c>
      <c r="R10" s="48"/>
    </row>
    <row r="11" spans="3:18" x14ac:dyDescent="0.2">
      <c r="C11" s="43" t="str">
        <f>VLOOKUP(D11,[4]DBASE!$B$3:$P$923,2,FALSE)</f>
        <v>Wudi</v>
      </c>
      <c r="D11" s="47">
        <f>[4]jan!C15</f>
        <v>350124022</v>
      </c>
      <c r="E11" s="45">
        <f t="shared" si="0"/>
        <v>265</v>
      </c>
      <c r="F11" s="45">
        <f t="shared" si="1"/>
        <v>228</v>
      </c>
      <c r="G11" s="45">
        <f t="shared" si="2"/>
        <v>267</v>
      </c>
      <c r="H11" s="45">
        <f t="shared" si="3"/>
        <v>237</v>
      </c>
      <c r="I11" s="45">
        <f t="shared" si="4"/>
        <v>216</v>
      </c>
      <c r="J11" s="45">
        <f t="shared" si="5"/>
        <v>147.5</v>
      </c>
      <c r="K11" s="45">
        <f t="shared" si="6"/>
        <v>44</v>
      </c>
      <c r="L11" s="45">
        <f t="shared" si="7"/>
        <v>51</v>
      </c>
      <c r="M11" s="45">
        <f t="shared" si="8"/>
        <v>44.5</v>
      </c>
      <c r="N11" s="45">
        <f t="shared" si="9"/>
        <v>476</v>
      </c>
      <c r="O11" s="45">
        <f t="shared" si="10"/>
        <v>363</v>
      </c>
      <c r="P11" s="45">
        <f t="shared" si="11"/>
        <v>185.5</v>
      </c>
      <c r="Q11" s="45">
        <f t="shared" si="12"/>
        <v>2524.5</v>
      </c>
      <c r="R11" s="48"/>
    </row>
    <row r="12" spans="3:18" x14ac:dyDescent="0.2">
      <c r="C12" s="43" t="str">
        <f>VLOOKUP(D12,[4]DBASE!$B$3:$P$923,2,FALSE)</f>
        <v>Takeran</v>
      </c>
      <c r="D12" s="47">
        <f>[4]jan!C16</f>
        <v>350124021</v>
      </c>
      <c r="E12" s="45">
        <f t="shared" si="0"/>
        <v>288</v>
      </c>
      <c r="F12" s="45">
        <f t="shared" si="1"/>
        <v>182</v>
      </c>
      <c r="G12" s="45">
        <f t="shared" si="2"/>
        <v>231</v>
      </c>
      <c r="H12" s="45">
        <f t="shared" si="3"/>
        <v>182</v>
      </c>
      <c r="I12" s="45">
        <f t="shared" si="4"/>
        <v>143</v>
      </c>
      <c r="J12" s="45">
        <f t="shared" si="5"/>
        <v>145</v>
      </c>
      <c r="K12" s="45">
        <f t="shared" si="6"/>
        <v>101</v>
      </c>
      <c r="L12" s="45">
        <f t="shared" si="7"/>
        <v>8</v>
      </c>
      <c r="M12" s="45">
        <f t="shared" si="8"/>
        <v>3</v>
      </c>
      <c r="N12" s="45">
        <f t="shared" si="9"/>
        <v>426</v>
      </c>
      <c r="O12" s="45">
        <f t="shared" si="10"/>
        <v>271</v>
      </c>
      <c r="P12" s="45">
        <f t="shared" si="11"/>
        <v>138</v>
      </c>
      <c r="Q12" s="45">
        <f t="shared" si="12"/>
        <v>2118</v>
      </c>
      <c r="R12" s="48"/>
    </row>
    <row r="13" spans="3:18" x14ac:dyDescent="0.2">
      <c r="C13" s="43" t="str">
        <f>VLOOKUP(D13,[4]DBASE!$B$3:$P$923,2,FALSE)</f>
        <v>Sukodadi</v>
      </c>
      <c r="D13" s="47">
        <f>[4]jan!C17</f>
        <v>350124020</v>
      </c>
      <c r="E13" s="45">
        <f t="shared" si="0"/>
        <v>360</v>
      </c>
      <c r="F13" s="45">
        <f t="shared" si="1"/>
        <v>274</v>
      </c>
      <c r="G13" s="45">
        <f t="shared" si="2"/>
        <v>258</v>
      </c>
      <c r="H13" s="45">
        <f t="shared" si="3"/>
        <v>239</v>
      </c>
      <c r="I13" s="45">
        <f t="shared" si="4"/>
        <v>287</v>
      </c>
      <c r="J13" s="45">
        <f t="shared" si="5"/>
        <v>168</v>
      </c>
      <c r="K13" s="45">
        <f t="shared" si="6"/>
        <v>30</v>
      </c>
      <c r="L13" s="45">
        <f t="shared" si="7"/>
        <v>71</v>
      </c>
      <c r="M13" s="45">
        <f t="shared" si="8"/>
        <v>0</v>
      </c>
      <c r="N13" s="45">
        <f t="shared" si="9"/>
        <v>401</v>
      </c>
      <c r="O13" s="45">
        <f t="shared" si="10"/>
        <v>211</v>
      </c>
      <c r="P13" s="45">
        <f t="shared" si="11"/>
        <v>158</v>
      </c>
      <c r="Q13" s="45">
        <f t="shared" si="12"/>
        <v>2457</v>
      </c>
      <c r="R13" s="48"/>
    </row>
    <row r="14" spans="3:18" x14ac:dyDescent="0.2">
      <c r="C14" s="43" t="str">
        <f>VLOOKUP(D14,[4]DBASE!$B$3:$P$923,2,FALSE)</f>
        <v>Pulekidul</v>
      </c>
      <c r="D14" s="47">
        <f>[4]jan!C18</f>
        <v>350124019</v>
      </c>
      <c r="E14" s="45">
        <f t="shared" si="0"/>
        <v>360</v>
      </c>
      <c r="F14" s="45">
        <f t="shared" si="1"/>
        <v>294</v>
      </c>
      <c r="G14" s="45">
        <f t="shared" si="2"/>
        <v>306</v>
      </c>
      <c r="H14" s="45">
        <f t="shared" si="3"/>
        <v>174</v>
      </c>
      <c r="I14" s="45">
        <f t="shared" si="4"/>
        <v>179</v>
      </c>
      <c r="J14" s="45">
        <f t="shared" si="5"/>
        <v>87</v>
      </c>
      <c r="K14" s="45">
        <f t="shared" si="6"/>
        <v>40</v>
      </c>
      <c r="L14" s="45">
        <f t="shared" si="7"/>
        <v>102</v>
      </c>
      <c r="M14" s="45">
        <f t="shared" si="8"/>
        <v>29</v>
      </c>
      <c r="N14" s="45">
        <f t="shared" si="9"/>
        <v>372</v>
      </c>
      <c r="O14" s="45">
        <f t="shared" si="10"/>
        <v>240</v>
      </c>
      <c r="P14" s="45">
        <f t="shared" si="11"/>
        <v>331</v>
      </c>
      <c r="Q14" s="45">
        <f t="shared" si="12"/>
        <v>2514</v>
      </c>
      <c r="R14" s="48"/>
    </row>
    <row r="15" spans="3:18" x14ac:dyDescent="0.2">
      <c r="C15" s="43" t="str">
        <f>VLOOKUP(D15,[4]DBASE!$B$3:$P$923,2,FALSE)</f>
        <v>Prijetan</v>
      </c>
      <c r="D15" s="47">
        <f>[4]jan!C19</f>
        <v>350124018</v>
      </c>
      <c r="E15" s="45">
        <f t="shared" si="0"/>
        <v>342</v>
      </c>
      <c r="F15" s="45">
        <f t="shared" si="1"/>
        <v>242</v>
      </c>
      <c r="G15" s="45">
        <f t="shared" si="2"/>
        <v>320</v>
      </c>
      <c r="H15" s="45">
        <f t="shared" si="3"/>
        <v>243</v>
      </c>
      <c r="I15" s="45">
        <f t="shared" si="4"/>
        <v>228</v>
      </c>
      <c r="J15" s="45">
        <f t="shared" si="5"/>
        <v>239</v>
      </c>
      <c r="K15" s="45">
        <f t="shared" si="6"/>
        <v>35</v>
      </c>
      <c r="L15" s="45">
        <f t="shared" si="7"/>
        <v>114</v>
      </c>
      <c r="M15" s="45">
        <f t="shared" si="8"/>
        <v>81</v>
      </c>
      <c r="N15" s="45">
        <f t="shared" si="9"/>
        <v>358</v>
      </c>
      <c r="O15" s="45">
        <f t="shared" si="10"/>
        <v>212</v>
      </c>
      <c r="P15" s="45">
        <f t="shared" si="11"/>
        <v>210</v>
      </c>
      <c r="Q15" s="45">
        <f t="shared" si="12"/>
        <v>2624</v>
      </c>
      <c r="R15" s="48"/>
    </row>
    <row r="16" spans="3:18" x14ac:dyDescent="0.2">
      <c r="C16" s="43" t="str">
        <f>VLOOKUP(D16,[4]DBASE!$B$3:$P$923,2,FALSE)</f>
        <v>Pangkatrejo</v>
      </c>
      <c r="D16" s="47">
        <f>[4]jan!C20</f>
        <v>350124017</v>
      </c>
      <c r="E16" s="45">
        <f t="shared" si="0"/>
        <v>277</v>
      </c>
      <c r="F16" s="45">
        <f t="shared" si="1"/>
        <v>210</v>
      </c>
      <c r="G16" s="45">
        <f t="shared" si="2"/>
        <v>203</v>
      </c>
      <c r="H16" s="45">
        <f t="shared" si="3"/>
        <v>156</v>
      </c>
      <c r="I16" s="45">
        <f t="shared" si="4"/>
        <v>114</v>
      </c>
      <c r="J16" s="45">
        <f t="shared" si="5"/>
        <v>101</v>
      </c>
      <c r="K16" s="45">
        <f t="shared" si="6"/>
        <v>127</v>
      </c>
      <c r="L16" s="45">
        <f t="shared" si="7"/>
        <v>60</v>
      </c>
      <c r="M16" s="45">
        <f t="shared" si="8"/>
        <v>0</v>
      </c>
      <c r="N16" s="45">
        <f t="shared" si="9"/>
        <v>260</v>
      </c>
      <c r="O16" s="45">
        <f t="shared" si="10"/>
        <v>244</v>
      </c>
      <c r="P16" s="45">
        <f t="shared" si="11"/>
        <v>220</v>
      </c>
      <c r="Q16" s="45">
        <f t="shared" si="12"/>
        <v>1972</v>
      </c>
      <c r="R16" s="48"/>
    </row>
    <row r="17" spans="3:18" x14ac:dyDescent="0.2">
      <c r="C17" s="43" t="str">
        <f>VLOOKUP(D17,[4]DBASE!$B$3:$P$923,2,FALSE)</f>
        <v>Sumberbanjar</v>
      </c>
      <c r="D17" s="47">
        <f>[4]jan!C21</f>
        <v>350124016</v>
      </c>
      <c r="E17" s="45">
        <f t="shared" si="0"/>
        <v>369</v>
      </c>
      <c r="F17" s="45">
        <f t="shared" si="1"/>
        <v>388</v>
      </c>
      <c r="G17" s="45">
        <f t="shared" si="2"/>
        <v>621</v>
      </c>
      <c r="H17" s="45">
        <f t="shared" si="3"/>
        <v>355</v>
      </c>
      <c r="I17" s="45">
        <f t="shared" si="4"/>
        <v>181</v>
      </c>
      <c r="J17" s="45">
        <f t="shared" si="5"/>
        <v>115</v>
      </c>
      <c r="K17" s="45">
        <f t="shared" si="6"/>
        <v>95</v>
      </c>
      <c r="L17" s="45">
        <f t="shared" si="7"/>
        <v>112</v>
      </c>
      <c r="M17" s="45">
        <f t="shared" si="8"/>
        <v>37</v>
      </c>
      <c r="N17" s="45">
        <f t="shared" si="9"/>
        <v>442</v>
      </c>
      <c r="O17" s="45">
        <f t="shared" si="10"/>
        <v>325</v>
      </c>
      <c r="P17" s="45">
        <f t="shared" si="11"/>
        <v>216</v>
      </c>
      <c r="Q17" s="45">
        <f t="shared" si="12"/>
        <v>3256</v>
      </c>
      <c r="R17" s="48"/>
    </row>
    <row r="18" spans="3:18" x14ac:dyDescent="0.2">
      <c r="C18" s="43" t="str">
        <f>VLOOKUP(D18,[4]DBASE!$B$3:$P$923,2,FALSE)</f>
        <v>Lamongan</v>
      </c>
      <c r="D18" s="47">
        <f>[4]jan!C22</f>
        <v>350124015</v>
      </c>
      <c r="E18" s="45">
        <f t="shared" si="0"/>
        <v>335</v>
      </c>
      <c r="F18" s="45">
        <f t="shared" si="1"/>
        <v>273.5</v>
      </c>
      <c r="G18" s="45">
        <f t="shared" si="2"/>
        <v>338</v>
      </c>
      <c r="H18" s="45">
        <f t="shared" si="3"/>
        <v>136</v>
      </c>
      <c r="I18" s="45">
        <f t="shared" si="4"/>
        <v>65</v>
      </c>
      <c r="J18" s="45">
        <f t="shared" si="5"/>
        <v>68</v>
      </c>
      <c r="K18" s="45">
        <f t="shared" si="6"/>
        <v>56</v>
      </c>
      <c r="L18" s="45">
        <f t="shared" si="7"/>
        <v>7</v>
      </c>
      <c r="M18" s="45">
        <f t="shared" si="8"/>
        <v>0</v>
      </c>
      <c r="N18" s="45">
        <f t="shared" si="9"/>
        <v>309</v>
      </c>
      <c r="O18" s="45">
        <f t="shared" si="10"/>
        <v>240</v>
      </c>
      <c r="P18" s="45">
        <f t="shared" si="11"/>
        <v>221</v>
      </c>
      <c r="Q18" s="45">
        <f t="shared" si="12"/>
        <v>2048.5</v>
      </c>
      <c r="R18" s="48"/>
    </row>
    <row r="19" spans="3:18" x14ac:dyDescent="0.2">
      <c r="C19" s="43" t="str">
        <f>VLOOKUP(D19,[4]DBASE!$B$3:$P$923,2,FALSE)</f>
        <v>Kuro</v>
      </c>
      <c r="D19" s="47">
        <f>[4]jan!C23</f>
        <v>350124014</v>
      </c>
      <c r="E19" s="45">
        <f t="shared" si="0"/>
        <v>207</v>
      </c>
      <c r="F19" s="45">
        <f t="shared" si="1"/>
        <v>125</v>
      </c>
      <c r="G19" s="45">
        <f t="shared" si="2"/>
        <v>108</v>
      </c>
      <c r="H19" s="45">
        <f t="shared" si="3"/>
        <v>116</v>
      </c>
      <c r="I19" s="45">
        <f t="shared" si="4"/>
        <v>232</v>
      </c>
      <c r="J19" s="45">
        <f t="shared" si="5"/>
        <v>35</v>
      </c>
      <c r="K19" s="45">
        <f t="shared" si="6"/>
        <v>125</v>
      </c>
      <c r="L19" s="45">
        <f t="shared" si="7"/>
        <v>43</v>
      </c>
      <c r="M19" s="45">
        <f t="shared" si="8"/>
        <v>6</v>
      </c>
      <c r="N19" s="45">
        <f t="shared" si="9"/>
        <v>301</v>
      </c>
      <c r="O19" s="45">
        <f t="shared" si="10"/>
        <v>115</v>
      </c>
      <c r="P19" s="45">
        <f t="shared" si="11"/>
        <v>170</v>
      </c>
      <c r="Q19" s="45">
        <f t="shared" si="12"/>
        <v>1583</v>
      </c>
      <c r="R19" s="48"/>
    </row>
    <row r="20" spans="3:18" x14ac:dyDescent="0.2">
      <c r="C20" s="43" t="str">
        <f>VLOOKUP(D20,[4]DBASE!$B$3:$P$923,2,FALSE)</f>
        <v>Kr.binangun</v>
      </c>
      <c r="D20" s="47">
        <f>[4]jan!C24</f>
        <v>350124013</v>
      </c>
      <c r="E20" s="45">
        <f t="shared" si="0"/>
        <v>250</v>
      </c>
      <c r="F20" s="45">
        <f t="shared" si="1"/>
        <v>121</v>
      </c>
      <c r="G20" s="45">
        <f t="shared" si="2"/>
        <v>198</v>
      </c>
      <c r="H20" s="45">
        <f t="shared" si="3"/>
        <v>143</v>
      </c>
      <c r="I20" s="45">
        <f t="shared" si="4"/>
        <v>132</v>
      </c>
      <c r="J20" s="45">
        <f t="shared" si="5"/>
        <v>49</v>
      </c>
      <c r="K20" s="45">
        <f t="shared" si="6"/>
        <v>96</v>
      </c>
      <c r="L20" s="45">
        <f t="shared" si="7"/>
        <v>13</v>
      </c>
      <c r="M20" s="45">
        <f t="shared" si="8"/>
        <v>0</v>
      </c>
      <c r="N20" s="45">
        <f t="shared" si="9"/>
        <v>218</v>
      </c>
      <c r="O20" s="45">
        <f t="shared" si="10"/>
        <v>170</v>
      </c>
      <c r="P20" s="45">
        <f t="shared" si="11"/>
        <v>162</v>
      </c>
      <c r="Q20" s="45">
        <f t="shared" si="12"/>
        <v>1552</v>
      </c>
      <c r="R20" s="48"/>
    </row>
    <row r="21" spans="3:18" x14ac:dyDescent="0.2">
      <c r="C21" s="43" t="str">
        <f>VLOOKUP(D21,[4]DBASE!$B$3:$P$923,2,FALSE)</f>
        <v>Kembangbahu</v>
      </c>
      <c r="D21" s="47">
        <f>[4]jan!C25</f>
        <v>350124012</v>
      </c>
      <c r="E21" s="45">
        <f t="shared" si="0"/>
        <v>391</v>
      </c>
      <c r="F21" s="45">
        <f t="shared" si="1"/>
        <v>187</v>
      </c>
      <c r="G21" s="45">
        <f t="shared" si="2"/>
        <v>307</v>
      </c>
      <c r="H21" s="45">
        <f t="shared" si="3"/>
        <v>189</v>
      </c>
      <c r="I21" s="45">
        <f t="shared" si="4"/>
        <v>241</v>
      </c>
      <c r="J21" s="45">
        <f t="shared" si="5"/>
        <v>93</v>
      </c>
      <c r="K21" s="45">
        <f t="shared" si="6"/>
        <v>50</v>
      </c>
      <c r="L21" s="45">
        <f t="shared" si="7"/>
        <v>48</v>
      </c>
      <c r="M21" s="45">
        <f t="shared" si="8"/>
        <v>7</v>
      </c>
      <c r="N21" s="45">
        <f t="shared" si="9"/>
        <v>483</v>
      </c>
      <c r="O21" s="45">
        <f t="shared" si="10"/>
        <v>265</v>
      </c>
      <c r="P21" s="45">
        <f t="shared" si="11"/>
        <v>235</v>
      </c>
      <c r="Q21" s="45">
        <f t="shared" si="12"/>
        <v>2496</v>
      </c>
      <c r="R21" s="48"/>
    </row>
    <row r="22" spans="3:18" x14ac:dyDescent="0.2">
      <c r="C22" s="43" t="str">
        <f>VLOOKUP(D22,[4]DBASE!$B$3:$P$923,2,FALSE)</f>
        <v>Kedungpring</v>
      </c>
      <c r="D22" s="47">
        <f>[4]jan!C26</f>
        <v>350124011</v>
      </c>
      <c r="E22" s="45">
        <f t="shared" si="0"/>
        <v>328</v>
      </c>
      <c r="F22" s="45">
        <f t="shared" si="1"/>
        <v>185</v>
      </c>
      <c r="G22" s="45">
        <f t="shared" si="2"/>
        <v>254</v>
      </c>
      <c r="H22" s="45">
        <f t="shared" si="3"/>
        <v>242</v>
      </c>
      <c r="I22" s="45">
        <f t="shared" si="4"/>
        <v>190</v>
      </c>
      <c r="J22" s="45">
        <f t="shared" si="5"/>
        <v>183</v>
      </c>
      <c r="K22" s="45">
        <f t="shared" si="6"/>
        <v>58</v>
      </c>
      <c r="L22" s="45">
        <f t="shared" si="7"/>
        <v>116</v>
      </c>
      <c r="M22" s="45">
        <f t="shared" si="8"/>
        <v>63</v>
      </c>
      <c r="N22" s="45">
        <f t="shared" si="9"/>
        <v>273</v>
      </c>
      <c r="O22" s="45">
        <f t="shared" si="10"/>
        <v>210</v>
      </c>
      <c r="P22" s="45">
        <f t="shared" si="11"/>
        <v>214</v>
      </c>
      <c r="Q22" s="45">
        <f t="shared" si="12"/>
        <v>2316</v>
      </c>
      <c r="R22" s="48"/>
    </row>
    <row r="23" spans="3:18" x14ac:dyDescent="0.2">
      <c r="C23" s="43" t="str">
        <f>VLOOKUP(D23,[4]DBASE!$B$3:$P$923,2,FALSE)</f>
        <v>Karanggeneng</v>
      </c>
      <c r="D23" s="47">
        <f>[4]jan!C27</f>
        <v>350124010</v>
      </c>
      <c r="E23" s="45">
        <f t="shared" si="0"/>
        <v>351</v>
      </c>
      <c r="F23" s="45">
        <f t="shared" si="1"/>
        <v>148</v>
      </c>
      <c r="G23" s="45">
        <f t="shared" si="2"/>
        <v>165</v>
      </c>
      <c r="H23" s="45">
        <f t="shared" si="3"/>
        <v>169</v>
      </c>
      <c r="I23" s="45">
        <f t="shared" si="4"/>
        <v>172</v>
      </c>
      <c r="J23" s="45">
        <f t="shared" si="5"/>
        <v>47</v>
      </c>
      <c r="K23" s="45">
        <f t="shared" si="6"/>
        <v>166</v>
      </c>
      <c r="L23" s="45">
        <f t="shared" si="7"/>
        <v>21</v>
      </c>
      <c r="M23" s="45">
        <f t="shared" si="8"/>
        <v>6</v>
      </c>
      <c r="N23" s="45">
        <f t="shared" si="9"/>
        <v>258</v>
      </c>
      <c r="O23" s="45">
        <f t="shared" si="10"/>
        <v>224</v>
      </c>
      <c r="P23" s="45">
        <f t="shared" si="11"/>
        <v>184</v>
      </c>
      <c r="Q23" s="45">
        <f t="shared" si="12"/>
        <v>1911</v>
      </c>
      <c r="R23" s="48"/>
    </row>
    <row r="24" spans="3:18" x14ac:dyDescent="0.2">
      <c r="C24" s="43" t="str">
        <f>VLOOKUP(D24,[4]DBASE!$B$3:$P$923,2,FALSE)</f>
        <v>Jabung</v>
      </c>
      <c r="D24" s="47">
        <f>[4]jan!C28</f>
        <v>350124009</v>
      </c>
      <c r="E24" s="45">
        <f t="shared" si="0"/>
        <v>277</v>
      </c>
      <c r="F24" s="45">
        <f t="shared" si="1"/>
        <v>247</v>
      </c>
      <c r="G24" s="45">
        <f t="shared" si="2"/>
        <v>237</v>
      </c>
      <c r="H24" s="45">
        <f t="shared" si="3"/>
        <v>103</v>
      </c>
      <c r="I24" s="45">
        <f t="shared" si="4"/>
        <v>182</v>
      </c>
      <c r="J24" s="45">
        <f t="shared" si="5"/>
        <v>77</v>
      </c>
      <c r="K24" s="45">
        <f t="shared" si="6"/>
        <v>156</v>
      </c>
      <c r="L24" s="45">
        <f t="shared" si="7"/>
        <v>62</v>
      </c>
      <c r="M24" s="45">
        <f t="shared" si="8"/>
        <v>0</v>
      </c>
      <c r="N24" s="45">
        <f t="shared" si="9"/>
        <v>297</v>
      </c>
      <c r="O24" s="45">
        <f t="shared" si="10"/>
        <v>182</v>
      </c>
      <c r="P24" s="45">
        <f t="shared" si="11"/>
        <v>97</v>
      </c>
      <c r="Q24" s="45">
        <f t="shared" si="12"/>
        <v>1917</v>
      </c>
      <c r="R24" s="48"/>
    </row>
    <row r="25" spans="3:18" x14ac:dyDescent="0.2">
      <c r="C25" s="43" t="str">
        <f>VLOOKUP(D25,[4]DBASE!$B$3:$P$923,2,FALSE)</f>
        <v>Gondang Sugio</v>
      </c>
      <c r="D25" s="47">
        <f>[4]jan!C29</f>
        <v>350124008</v>
      </c>
      <c r="E25" s="45">
        <f t="shared" si="0"/>
        <v>316</v>
      </c>
      <c r="F25" s="45">
        <f t="shared" si="1"/>
        <v>150</v>
      </c>
      <c r="G25" s="45">
        <f t="shared" si="2"/>
        <v>324</v>
      </c>
      <c r="H25" s="45">
        <f t="shared" si="3"/>
        <v>144</v>
      </c>
      <c r="I25" s="45">
        <f t="shared" si="4"/>
        <v>131</v>
      </c>
      <c r="J25" s="45">
        <f t="shared" si="5"/>
        <v>122</v>
      </c>
      <c r="K25" s="45">
        <f t="shared" si="6"/>
        <v>64</v>
      </c>
      <c r="L25" s="45">
        <f t="shared" si="7"/>
        <v>45</v>
      </c>
      <c r="M25" s="45">
        <f t="shared" si="8"/>
        <v>18</v>
      </c>
      <c r="N25" s="45">
        <f t="shared" si="9"/>
        <v>319</v>
      </c>
      <c r="O25" s="45">
        <f t="shared" si="10"/>
        <v>257</v>
      </c>
      <c r="P25" s="45">
        <f t="shared" si="11"/>
        <v>250.6</v>
      </c>
      <c r="Q25" s="45">
        <f t="shared" si="12"/>
        <v>2140.6</v>
      </c>
      <c r="R25" s="48"/>
    </row>
    <row r="26" spans="3:18" x14ac:dyDescent="0.2">
      <c r="C26" s="43" t="str">
        <f>VLOOKUP(D26,[4]DBASE!$B$3:$P$923,2,FALSE)</f>
        <v>Girik / Baru</v>
      </c>
      <c r="D26" s="47">
        <f>[4]jan!C30</f>
        <v>350124007</v>
      </c>
      <c r="E26" s="45">
        <f t="shared" si="0"/>
        <v>367</v>
      </c>
      <c r="F26" s="45">
        <f t="shared" si="1"/>
        <v>231</v>
      </c>
      <c r="G26" s="45">
        <f t="shared" si="2"/>
        <v>318</v>
      </c>
      <c r="H26" s="45">
        <f t="shared" si="3"/>
        <v>297</v>
      </c>
      <c r="I26" s="45">
        <f t="shared" si="4"/>
        <v>218</v>
      </c>
      <c r="J26" s="45">
        <f t="shared" si="5"/>
        <v>238</v>
      </c>
      <c r="K26" s="45">
        <f t="shared" si="6"/>
        <v>42</v>
      </c>
      <c r="L26" s="45">
        <f t="shared" si="7"/>
        <v>122</v>
      </c>
      <c r="M26" s="45">
        <f t="shared" si="8"/>
        <v>87</v>
      </c>
      <c r="N26" s="45">
        <f t="shared" si="9"/>
        <v>342</v>
      </c>
      <c r="O26" s="45">
        <f t="shared" si="10"/>
        <v>223</v>
      </c>
      <c r="P26" s="45">
        <f t="shared" si="11"/>
        <v>217</v>
      </c>
      <c r="Q26" s="45">
        <f t="shared" si="12"/>
        <v>2702</v>
      </c>
      <c r="R26" s="48"/>
    </row>
    <row r="27" spans="3:18" x14ac:dyDescent="0.2">
      <c r="C27" s="43" t="str">
        <f>VLOOKUP(D27,[4]DBASE!$B$3:$P$923,2,FALSE)</f>
        <v>Cungkup</v>
      </c>
      <c r="D27" s="47">
        <f>[4]jan!C31</f>
        <v>350124006</v>
      </c>
      <c r="E27" s="45">
        <f t="shared" si="0"/>
        <v>394</v>
      </c>
      <c r="F27" s="45">
        <f t="shared" si="1"/>
        <v>303</v>
      </c>
      <c r="G27" s="45">
        <f t="shared" si="2"/>
        <v>260</v>
      </c>
      <c r="H27" s="45">
        <f t="shared" si="3"/>
        <v>229</v>
      </c>
      <c r="I27" s="45">
        <f t="shared" si="4"/>
        <v>213</v>
      </c>
      <c r="J27" s="45">
        <f t="shared" si="5"/>
        <v>128</v>
      </c>
      <c r="K27" s="45">
        <f t="shared" si="6"/>
        <v>26</v>
      </c>
      <c r="L27" s="45">
        <f t="shared" si="7"/>
        <v>50</v>
      </c>
      <c r="M27" s="45">
        <f t="shared" si="8"/>
        <v>0</v>
      </c>
      <c r="N27" s="45">
        <f t="shared" si="9"/>
        <v>274</v>
      </c>
      <c r="O27" s="45">
        <f t="shared" si="10"/>
        <v>173</v>
      </c>
      <c r="P27" s="45">
        <f t="shared" si="11"/>
        <v>204</v>
      </c>
      <c r="Q27" s="45">
        <f t="shared" si="12"/>
        <v>2254</v>
      </c>
      <c r="R27" s="48"/>
    </row>
    <row r="28" spans="3:18" x14ac:dyDescent="0.2">
      <c r="C28" s="43" t="str">
        <f>VLOOKUP(D28,[4]DBASE!$B$3:$P$923,2,FALSE)</f>
        <v>Brondong</v>
      </c>
      <c r="D28" s="47">
        <f>[4]jan!C32</f>
        <v>350124005</v>
      </c>
      <c r="E28" s="45">
        <f t="shared" si="0"/>
        <v>259</v>
      </c>
      <c r="F28" s="45">
        <f t="shared" si="1"/>
        <v>216</v>
      </c>
      <c r="G28" s="45">
        <f t="shared" si="2"/>
        <v>224</v>
      </c>
      <c r="H28" s="45">
        <f t="shared" si="3"/>
        <v>119</v>
      </c>
      <c r="I28" s="45">
        <f t="shared" si="4"/>
        <v>152</v>
      </c>
      <c r="J28" s="45">
        <f t="shared" si="5"/>
        <v>69</v>
      </c>
      <c r="K28" s="45">
        <f t="shared" si="6"/>
        <v>104</v>
      </c>
      <c r="L28" s="45">
        <f t="shared" si="7"/>
        <v>54</v>
      </c>
      <c r="M28" s="45">
        <f t="shared" si="8"/>
        <v>0</v>
      </c>
      <c r="N28" s="45">
        <f t="shared" si="9"/>
        <v>150</v>
      </c>
      <c r="O28" s="45">
        <f t="shared" si="10"/>
        <v>125</v>
      </c>
      <c r="P28" s="45">
        <f t="shared" si="11"/>
        <v>127</v>
      </c>
      <c r="Q28" s="45">
        <f t="shared" si="12"/>
        <v>1599</v>
      </c>
      <c r="R28" s="48"/>
    </row>
    <row r="29" spans="3:18" x14ac:dyDescent="0.2">
      <c r="C29" s="43" t="str">
        <f>VLOOKUP(D29,[4]DBASE!$B$3:$P$923,2,FALSE)</f>
        <v>Bluri</v>
      </c>
      <c r="D29" s="47">
        <f>[4]jan!C33</f>
        <v>350124004</v>
      </c>
      <c r="E29" s="45">
        <f t="shared" si="0"/>
        <v>118</v>
      </c>
      <c r="F29" s="45">
        <f t="shared" si="1"/>
        <v>309</v>
      </c>
      <c r="G29" s="45">
        <f t="shared" si="2"/>
        <v>235</v>
      </c>
      <c r="H29" s="45">
        <f t="shared" si="3"/>
        <v>125</v>
      </c>
      <c r="I29" s="45">
        <f t="shared" si="4"/>
        <v>167</v>
      </c>
      <c r="J29" s="45">
        <f t="shared" si="5"/>
        <v>146</v>
      </c>
      <c r="K29" s="45">
        <f t="shared" si="6"/>
        <v>96</v>
      </c>
      <c r="L29" s="45">
        <f t="shared" si="7"/>
        <v>70</v>
      </c>
      <c r="M29" s="45">
        <f t="shared" si="8"/>
        <v>0</v>
      </c>
      <c r="N29" s="45">
        <f t="shared" si="9"/>
        <v>131</v>
      </c>
      <c r="O29" s="45">
        <f t="shared" si="10"/>
        <v>120</v>
      </c>
      <c r="P29" s="45">
        <f t="shared" si="11"/>
        <v>198</v>
      </c>
      <c r="Q29" s="45">
        <f t="shared" si="12"/>
        <v>1715</v>
      </c>
      <c r="R29" s="48"/>
    </row>
    <row r="30" spans="3:18" x14ac:dyDescent="0.2">
      <c r="C30" s="43" t="str">
        <f>VLOOKUP(D30,[4]DBASE!$B$3:$P$923,2,FALSE)</f>
        <v>Bluluk</v>
      </c>
      <c r="D30" s="47">
        <f>[4]jan!C34</f>
        <v>350124003</v>
      </c>
      <c r="E30" s="45">
        <f t="shared" si="0"/>
        <v>326</v>
      </c>
      <c r="F30" s="45">
        <f t="shared" si="1"/>
        <v>213.5</v>
      </c>
      <c r="G30" s="45">
        <f t="shared" si="2"/>
        <v>435</v>
      </c>
      <c r="H30" s="45">
        <f t="shared" si="3"/>
        <v>196.5</v>
      </c>
      <c r="I30" s="45">
        <f t="shared" si="4"/>
        <v>158</v>
      </c>
      <c r="J30" s="45">
        <f t="shared" si="5"/>
        <v>165</v>
      </c>
      <c r="K30" s="45">
        <f t="shared" si="6"/>
        <v>64</v>
      </c>
      <c r="L30" s="45">
        <f t="shared" si="7"/>
        <v>163</v>
      </c>
      <c r="M30" s="45">
        <f t="shared" si="8"/>
        <v>97</v>
      </c>
      <c r="N30" s="45">
        <f t="shared" si="9"/>
        <v>248.5</v>
      </c>
      <c r="O30" s="45">
        <f t="shared" si="10"/>
        <v>357</v>
      </c>
      <c r="P30" s="45">
        <f t="shared" si="11"/>
        <v>220</v>
      </c>
      <c r="Q30" s="45">
        <f t="shared" si="12"/>
        <v>2643.5</v>
      </c>
      <c r="R30" s="48"/>
    </row>
    <row r="31" spans="3:18" x14ac:dyDescent="0.2">
      <c r="C31" s="43" t="str">
        <f>VLOOKUP(D31,[4]DBASE!$B$3:$P$923,2,FALSE)</f>
        <v>Blawi</v>
      </c>
      <c r="D31" s="47">
        <f>[4]jan!C35</f>
        <v>350124002</v>
      </c>
      <c r="E31" s="45">
        <f t="shared" si="0"/>
        <v>263</v>
      </c>
      <c r="F31" s="45">
        <f t="shared" si="1"/>
        <v>295</v>
      </c>
      <c r="G31" s="45">
        <f t="shared" si="2"/>
        <v>249</v>
      </c>
      <c r="H31" s="45">
        <f t="shared" si="3"/>
        <v>200</v>
      </c>
      <c r="I31" s="45">
        <f t="shared" si="4"/>
        <v>136</v>
      </c>
      <c r="J31" s="45">
        <f t="shared" si="5"/>
        <v>41</v>
      </c>
      <c r="K31" s="45">
        <f t="shared" si="6"/>
        <v>126</v>
      </c>
      <c r="L31" s="45">
        <f t="shared" si="7"/>
        <v>82</v>
      </c>
      <c r="M31" s="45">
        <f t="shared" si="8"/>
        <v>2</v>
      </c>
      <c r="N31" s="45">
        <f t="shared" si="9"/>
        <v>427</v>
      </c>
      <c r="O31" s="45">
        <f t="shared" si="10"/>
        <v>252</v>
      </c>
      <c r="P31" s="45">
        <f t="shared" si="11"/>
        <v>168</v>
      </c>
      <c r="Q31" s="45">
        <f t="shared" si="12"/>
        <v>2241</v>
      </c>
      <c r="R31" s="48"/>
    </row>
    <row r="32" spans="3:18" x14ac:dyDescent="0.2">
      <c r="C32" s="43" t="str">
        <f>VLOOKUP(D32,[4]DBASE!$B$3:$P$923,2,FALSE)</f>
        <v>Babat</v>
      </c>
      <c r="D32" s="47">
        <f>[4]jan!C36</f>
        <v>350124001</v>
      </c>
      <c r="E32" s="45">
        <f t="shared" si="0"/>
        <v>352</v>
      </c>
      <c r="F32" s="45">
        <f t="shared" si="1"/>
        <v>284</v>
      </c>
      <c r="G32" s="45">
        <f t="shared" si="2"/>
        <v>355</v>
      </c>
      <c r="H32" s="45">
        <f t="shared" si="3"/>
        <v>176</v>
      </c>
      <c r="I32" s="45">
        <f t="shared" si="4"/>
        <v>185</v>
      </c>
      <c r="J32" s="45">
        <f t="shared" si="5"/>
        <v>152</v>
      </c>
      <c r="K32" s="45">
        <f t="shared" si="6"/>
        <v>67</v>
      </c>
      <c r="L32" s="45">
        <f t="shared" si="7"/>
        <v>67</v>
      </c>
      <c r="M32" s="45">
        <f t="shared" si="8"/>
        <v>51</v>
      </c>
      <c r="N32" s="45">
        <f t="shared" si="9"/>
        <v>309</v>
      </c>
      <c r="O32" s="45">
        <f t="shared" si="10"/>
        <v>190</v>
      </c>
      <c r="P32" s="45">
        <f t="shared" si="11"/>
        <v>148</v>
      </c>
      <c r="Q32" s="45">
        <f t="shared" si="12"/>
        <v>2336</v>
      </c>
      <c r="R32" s="48"/>
    </row>
    <row r="33" spans="3:18" x14ac:dyDescent="0.2">
      <c r="C33" s="43" t="str">
        <f>VLOOKUP(D33,[4]DBASE!$B$3:$P$923,2,FALSE)</f>
        <v>Sumuragung</v>
      </c>
      <c r="D33" s="47">
        <f>[4]jan!C37</f>
        <v>350123037</v>
      </c>
      <c r="E33" s="45">
        <f t="shared" si="0"/>
        <v>82</v>
      </c>
      <c r="F33" s="45">
        <f t="shared" si="1"/>
        <v>249</v>
      </c>
      <c r="G33" s="45">
        <f t="shared" si="2"/>
        <v>246</v>
      </c>
      <c r="H33" s="45">
        <f t="shared" si="3"/>
        <v>316</v>
      </c>
      <c r="I33" s="45">
        <f t="shared" si="4"/>
        <v>110</v>
      </c>
      <c r="J33" s="45">
        <f t="shared" si="5"/>
        <v>101</v>
      </c>
      <c r="K33" s="45">
        <f t="shared" si="6"/>
        <v>44</v>
      </c>
      <c r="L33" s="45">
        <f t="shared" si="7"/>
        <v>101</v>
      </c>
      <c r="M33" s="45">
        <f t="shared" si="8"/>
        <v>2</v>
      </c>
      <c r="N33" s="45">
        <f t="shared" si="9"/>
        <v>257</v>
      </c>
      <c r="O33" s="45">
        <f t="shared" si="10"/>
        <v>266</v>
      </c>
      <c r="P33" s="45">
        <f t="shared" si="11"/>
        <v>164</v>
      </c>
      <c r="Q33" s="45">
        <f t="shared" si="12"/>
        <v>1938</v>
      </c>
      <c r="R33" s="48"/>
    </row>
    <row r="34" spans="3:18" x14ac:dyDescent="0.2">
      <c r="C34" s="43" t="str">
        <f>VLOOKUP(D34,[4]DBASE!$B$3:$P$923,2,FALSE)</f>
        <v>Tahulu</v>
      </c>
      <c r="D34" s="47">
        <f>[4]jan!C38</f>
        <v>350123036</v>
      </c>
      <c r="E34" s="45">
        <f t="shared" si="0"/>
        <v>148</v>
      </c>
      <c r="F34" s="45">
        <f t="shared" si="1"/>
        <v>159</v>
      </c>
      <c r="G34" s="45">
        <f t="shared" si="2"/>
        <v>239</v>
      </c>
      <c r="H34" s="45">
        <f t="shared" si="3"/>
        <v>109</v>
      </c>
      <c r="I34" s="45">
        <f t="shared" si="4"/>
        <v>186</v>
      </c>
      <c r="J34" s="45">
        <f t="shared" si="5"/>
        <v>94</v>
      </c>
      <c r="K34" s="45">
        <f t="shared" si="6"/>
        <v>63</v>
      </c>
      <c r="L34" s="45">
        <f t="shared" si="7"/>
        <v>56</v>
      </c>
      <c r="M34" s="45">
        <f t="shared" si="8"/>
        <v>62</v>
      </c>
      <c r="N34" s="45">
        <f t="shared" si="9"/>
        <v>349</v>
      </c>
      <c r="O34" s="45">
        <f t="shared" si="10"/>
        <v>227</v>
      </c>
      <c r="P34" s="45">
        <f t="shared" si="11"/>
        <v>227.5</v>
      </c>
      <c r="Q34" s="45">
        <f t="shared" si="12"/>
        <v>1919.5</v>
      </c>
      <c r="R34" s="48"/>
    </row>
    <row r="35" spans="3:18" x14ac:dyDescent="0.2">
      <c r="C35" s="43" t="str">
        <f>VLOOKUP(D35,[4]DBASE!$B$3:$P$923,2,FALSE)</f>
        <v>Wukirharjo</v>
      </c>
      <c r="D35" s="47">
        <f>[4]jan!C39</f>
        <v>350123035</v>
      </c>
      <c r="E35" s="45">
        <f t="shared" si="0"/>
        <v>216</v>
      </c>
      <c r="F35" s="45">
        <f t="shared" si="1"/>
        <v>435</v>
      </c>
      <c r="G35" s="45">
        <f t="shared" si="2"/>
        <v>357</v>
      </c>
      <c r="H35" s="45">
        <f t="shared" si="3"/>
        <v>602</v>
      </c>
      <c r="I35" s="45">
        <f t="shared" si="4"/>
        <v>660</v>
      </c>
      <c r="J35" s="45">
        <f t="shared" si="5"/>
        <v>320</v>
      </c>
      <c r="K35" s="45">
        <f t="shared" si="6"/>
        <v>66</v>
      </c>
      <c r="L35" s="45">
        <f t="shared" si="7"/>
        <v>79</v>
      </c>
      <c r="M35" s="45">
        <f t="shared" si="8"/>
        <v>49</v>
      </c>
      <c r="N35" s="45">
        <f t="shared" si="9"/>
        <v>316</v>
      </c>
      <c r="O35" s="45">
        <f t="shared" si="10"/>
        <v>209</v>
      </c>
      <c r="P35" s="45">
        <f t="shared" si="11"/>
        <v>227</v>
      </c>
      <c r="Q35" s="45">
        <f t="shared" si="12"/>
        <v>3536</v>
      </c>
      <c r="R35" s="48"/>
    </row>
    <row r="36" spans="3:18" x14ac:dyDescent="0.2">
      <c r="C36" s="43" t="str">
        <f>VLOOKUP(D36,[4]DBASE!$B$3:$P$923,2,FALSE)</f>
        <v>Ngimbang Tuban</v>
      </c>
      <c r="D36" s="47">
        <f>[4]jan!C40</f>
        <v>350123034</v>
      </c>
      <c r="E36" s="45">
        <f t="shared" si="0"/>
        <v>127</v>
      </c>
      <c r="F36" s="45">
        <f t="shared" si="1"/>
        <v>216</v>
      </c>
      <c r="G36" s="45">
        <f t="shared" si="2"/>
        <v>221</v>
      </c>
      <c r="H36" s="45">
        <f t="shared" si="3"/>
        <v>211</v>
      </c>
      <c r="I36" s="45">
        <f t="shared" si="4"/>
        <v>241</v>
      </c>
      <c r="J36" s="45">
        <f t="shared" si="5"/>
        <v>127</v>
      </c>
      <c r="K36" s="45">
        <f t="shared" si="6"/>
        <v>79</v>
      </c>
      <c r="L36" s="45">
        <f t="shared" si="7"/>
        <v>31</v>
      </c>
      <c r="M36" s="45">
        <f t="shared" si="8"/>
        <v>0</v>
      </c>
      <c r="N36" s="45">
        <f t="shared" si="9"/>
        <v>240</v>
      </c>
      <c r="O36" s="45">
        <f t="shared" si="10"/>
        <v>204</v>
      </c>
      <c r="P36" s="45">
        <f t="shared" si="11"/>
        <v>186</v>
      </c>
      <c r="Q36" s="45">
        <f t="shared" si="12"/>
        <v>1883</v>
      </c>
      <c r="R36" s="48"/>
    </row>
    <row r="37" spans="3:18" x14ac:dyDescent="0.2">
      <c r="C37" s="43" t="str">
        <f>VLOOKUP(D37,[4]DBASE!$B$3:$P$923,2,FALSE)</f>
        <v>Dermawuharjo</v>
      </c>
      <c r="D37" s="47">
        <f>[4]jan!C41</f>
        <v>350123033</v>
      </c>
      <c r="E37" s="45">
        <f t="shared" si="0"/>
        <v>160.5</v>
      </c>
      <c r="F37" s="45">
        <f t="shared" si="1"/>
        <v>214.5</v>
      </c>
      <c r="G37" s="45">
        <f t="shared" si="2"/>
        <v>480.5</v>
      </c>
      <c r="H37" s="45">
        <f t="shared" si="3"/>
        <v>285.5</v>
      </c>
      <c r="I37" s="45">
        <f t="shared" si="4"/>
        <v>111.5</v>
      </c>
      <c r="J37" s="45">
        <f t="shared" si="5"/>
        <v>165</v>
      </c>
      <c r="K37" s="45">
        <f t="shared" si="6"/>
        <v>103</v>
      </c>
      <c r="L37" s="45">
        <f t="shared" si="7"/>
        <v>80</v>
      </c>
      <c r="M37" s="45">
        <f t="shared" si="8"/>
        <v>53.5</v>
      </c>
      <c r="N37" s="45">
        <f t="shared" si="9"/>
        <v>356</v>
      </c>
      <c r="O37" s="45">
        <f t="shared" si="10"/>
        <v>307.5</v>
      </c>
      <c r="P37" s="45">
        <f t="shared" si="11"/>
        <v>239</v>
      </c>
      <c r="Q37" s="45">
        <f t="shared" si="12"/>
        <v>2556.5</v>
      </c>
      <c r="R37" s="48"/>
    </row>
    <row r="38" spans="3:18" x14ac:dyDescent="0.2">
      <c r="C38" s="43" t="str">
        <f>VLOOKUP(D38,[4]DBASE!$B$3:$P$923,2,FALSE)</f>
        <v>Sugihwaras</v>
      </c>
      <c r="D38" s="47">
        <f>[4]jan!C42</f>
        <v>350123032</v>
      </c>
      <c r="E38" s="45">
        <f t="shared" si="0"/>
        <v>144</v>
      </c>
      <c r="F38" s="45">
        <f t="shared" si="1"/>
        <v>308</v>
      </c>
      <c r="G38" s="45">
        <f t="shared" si="2"/>
        <v>271</v>
      </c>
      <c r="H38" s="45">
        <f t="shared" si="3"/>
        <v>216</v>
      </c>
      <c r="I38" s="45">
        <f t="shared" si="4"/>
        <v>366</v>
      </c>
      <c r="J38" s="45">
        <f t="shared" si="5"/>
        <v>192</v>
      </c>
      <c r="K38" s="45">
        <f t="shared" si="6"/>
        <v>50</v>
      </c>
      <c r="L38" s="45">
        <f t="shared" si="7"/>
        <v>77</v>
      </c>
      <c r="M38" s="45">
        <f t="shared" si="8"/>
        <v>28</v>
      </c>
      <c r="N38" s="45">
        <f t="shared" si="9"/>
        <v>576</v>
      </c>
      <c r="O38" s="45">
        <f t="shared" si="10"/>
        <v>513</v>
      </c>
      <c r="P38" s="45">
        <f t="shared" si="11"/>
        <v>409</v>
      </c>
      <c r="Q38" s="45">
        <f t="shared" si="12"/>
        <v>3150</v>
      </c>
      <c r="R38" s="48"/>
    </row>
    <row r="39" spans="3:18" x14ac:dyDescent="0.2">
      <c r="C39" s="43" t="str">
        <f>VLOOKUP(D39,[4]DBASE!$B$3:$P$923,2,FALSE)</f>
        <v>Widang</v>
      </c>
      <c r="D39" s="47">
        <f>[4]jan!C43</f>
        <v>350123031</v>
      </c>
      <c r="E39" s="45">
        <f t="shared" si="0"/>
        <v>322</v>
      </c>
      <c r="F39" s="45">
        <f t="shared" si="1"/>
        <v>268</v>
      </c>
      <c r="G39" s="45">
        <f t="shared" si="2"/>
        <v>322</v>
      </c>
      <c r="H39" s="45">
        <f t="shared" si="3"/>
        <v>167</v>
      </c>
      <c r="I39" s="45">
        <f t="shared" si="4"/>
        <v>175</v>
      </c>
      <c r="J39" s="45">
        <f t="shared" si="5"/>
        <v>208</v>
      </c>
      <c r="K39" s="45">
        <f t="shared" si="6"/>
        <v>88</v>
      </c>
      <c r="L39" s="45">
        <f t="shared" si="7"/>
        <v>57</v>
      </c>
      <c r="M39" s="45">
        <f t="shared" si="8"/>
        <v>79</v>
      </c>
      <c r="N39" s="45">
        <f t="shared" si="9"/>
        <v>238</v>
      </c>
      <c r="O39" s="45">
        <f t="shared" si="10"/>
        <v>224</v>
      </c>
      <c r="P39" s="45">
        <f t="shared" si="11"/>
        <v>142</v>
      </c>
      <c r="Q39" s="45">
        <f t="shared" si="12"/>
        <v>2290</v>
      </c>
      <c r="R39" s="48"/>
    </row>
    <row r="40" spans="3:18" x14ac:dyDescent="0.2">
      <c r="C40" s="43" t="str">
        <f>VLOOKUP(D40,[4]DBASE!$B$3:$P$923,2,FALSE)</f>
        <v>Tuwiwiyan</v>
      </c>
      <c r="D40" s="47">
        <f>[4]jan!C44</f>
        <v>350123030</v>
      </c>
      <c r="E40" s="45">
        <f t="shared" si="0"/>
        <v>150</v>
      </c>
      <c r="F40" s="45">
        <f t="shared" si="1"/>
        <v>165</v>
      </c>
      <c r="G40" s="45">
        <f t="shared" si="2"/>
        <v>279</v>
      </c>
      <c r="H40" s="45">
        <f t="shared" si="3"/>
        <v>132</v>
      </c>
      <c r="I40" s="45">
        <f t="shared" si="4"/>
        <v>184</v>
      </c>
      <c r="J40" s="45">
        <f t="shared" si="5"/>
        <v>172</v>
      </c>
      <c r="K40" s="45">
        <f t="shared" si="6"/>
        <v>67</v>
      </c>
      <c r="L40" s="45">
        <f t="shared" si="7"/>
        <v>59</v>
      </c>
      <c r="M40" s="45">
        <f t="shared" si="8"/>
        <v>24</v>
      </c>
      <c r="N40" s="45">
        <f t="shared" si="9"/>
        <v>439</v>
      </c>
      <c r="O40" s="45">
        <f t="shared" si="10"/>
        <v>338</v>
      </c>
      <c r="P40" s="45">
        <f t="shared" si="11"/>
        <v>378</v>
      </c>
      <c r="Q40" s="45">
        <f t="shared" si="12"/>
        <v>2387</v>
      </c>
      <c r="R40" s="48"/>
    </row>
    <row r="41" spans="3:18" x14ac:dyDescent="0.2">
      <c r="C41" s="43" t="str">
        <f>VLOOKUP(D41,[4]DBASE!$B$3:$P$923,2,FALSE)</f>
        <v>Tuban</v>
      </c>
      <c r="D41" s="47">
        <f>[4]jan!C45</f>
        <v>350123029</v>
      </c>
      <c r="E41" s="45">
        <f t="shared" si="0"/>
        <v>161</v>
      </c>
      <c r="F41" s="45">
        <f t="shared" si="1"/>
        <v>246</v>
      </c>
      <c r="G41" s="45">
        <f t="shared" si="2"/>
        <v>205</v>
      </c>
      <c r="H41" s="45">
        <f t="shared" si="3"/>
        <v>49</v>
      </c>
      <c r="I41" s="45">
        <f t="shared" si="4"/>
        <v>170</v>
      </c>
      <c r="J41" s="45">
        <f t="shared" si="5"/>
        <v>49</v>
      </c>
      <c r="K41" s="45">
        <f t="shared" si="6"/>
        <v>115</v>
      </c>
      <c r="L41" s="45">
        <f t="shared" si="7"/>
        <v>47</v>
      </c>
      <c r="M41" s="45">
        <f t="shared" si="8"/>
        <v>4</v>
      </c>
      <c r="N41" s="45">
        <f t="shared" si="9"/>
        <v>287</v>
      </c>
      <c r="O41" s="45">
        <f t="shared" si="10"/>
        <v>153</v>
      </c>
      <c r="P41" s="45">
        <f t="shared" si="11"/>
        <v>291</v>
      </c>
      <c r="Q41" s="45">
        <f t="shared" si="12"/>
        <v>1777</v>
      </c>
      <c r="R41" s="48"/>
    </row>
    <row r="42" spans="3:18" x14ac:dyDescent="0.2">
      <c r="C42" s="43" t="str">
        <f>VLOOKUP(D42,[4]DBASE!$B$3:$P$923,2,FALSE)</f>
        <v>Tegalrejo</v>
      </c>
      <c r="D42" s="47">
        <f>[4]jan!C46</f>
        <v>350123028</v>
      </c>
      <c r="E42" s="45">
        <f t="shared" si="0"/>
        <v>144</v>
      </c>
      <c r="F42" s="45">
        <f t="shared" si="1"/>
        <v>294</v>
      </c>
      <c r="G42" s="45">
        <f t="shared" si="2"/>
        <v>144</v>
      </c>
      <c r="H42" s="45">
        <f t="shared" si="3"/>
        <v>133</v>
      </c>
      <c r="I42" s="45">
        <f t="shared" si="4"/>
        <v>177</v>
      </c>
      <c r="J42" s="45">
        <f t="shared" si="5"/>
        <v>98</v>
      </c>
      <c r="K42" s="45">
        <f t="shared" si="6"/>
        <v>66</v>
      </c>
      <c r="L42" s="45">
        <f t="shared" si="7"/>
        <v>33</v>
      </c>
      <c r="M42" s="45">
        <f t="shared" si="8"/>
        <v>39</v>
      </c>
      <c r="N42" s="45">
        <f t="shared" si="9"/>
        <v>245</v>
      </c>
      <c r="O42" s="45">
        <f t="shared" si="10"/>
        <v>156</v>
      </c>
      <c r="P42" s="45">
        <f t="shared" si="11"/>
        <v>314</v>
      </c>
      <c r="Q42" s="45">
        <f t="shared" si="12"/>
        <v>1843</v>
      </c>
      <c r="R42" s="48"/>
    </row>
    <row r="43" spans="3:18" x14ac:dyDescent="0.2">
      <c r="C43" s="43" t="str">
        <f>VLOOKUP(D43,[4]DBASE!$B$3:$P$923,2,FALSE)</f>
        <v>Kaligede</v>
      </c>
      <c r="D43" s="47">
        <f>[4]jan!C47</f>
        <v>350123027</v>
      </c>
      <c r="E43" s="45">
        <f t="shared" si="0"/>
        <v>248</v>
      </c>
      <c r="F43" s="45">
        <f t="shared" si="1"/>
        <v>256</v>
      </c>
      <c r="G43" s="45">
        <f t="shared" si="2"/>
        <v>521</v>
      </c>
      <c r="H43" s="45">
        <f t="shared" si="3"/>
        <v>290</v>
      </c>
      <c r="I43" s="45">
        <f t="shared" si="4"/>
        <v>195</v>
      </c>
      <c r="J43" s="45">
        <f t="shared" si="5"/>
        <v>223</v>
      </c>
      <c r="K43" s="45">
        <f t="shared" si="6"/>
        <v>87</v>
      </c>
      <c r="L43" s="45">
        <f t="shared" si="7"/>
        <v>147</v>
      </c>
      <c r="M43" s="45">
        <f t="shared" si="8"/>
        <v>120</v>
      </c>
      <c r="N43" s="45">
        <f t="shared" si="9"/>
        <v>386</v>
      </c>
      <c r="O43" s="45">
        <f t="shared" si="10"/>
        <v>614</v>
      </c>
      <c r="P43" s="45">
        <f t="shared" si="11"/>
        <v>370</v>
      </c>
      <c r="Q43" s="45">
        <f t="shared" si="12"/>
        <v>3457</v>
      </c>
      <c r="R43" s="48"/>
    </row>
    <row r="44" spans="3:18" x14ac:dyDescent="0.2">
      <c r="C44" s="43" t="str">
        <f>VLOOKUP(D44,[4]DBASE!$B$3:$P$923,2,FALSE)</f>
        <v>Soko</v>
      </c>
      <c r="D44" s="47">
        <f>[4]jan!C48</f>
        <v>350123026</v>
      </c>
      <c r="E44" s="45">
        <f t="shared" si="0"/>
        <v>125</v>
      </c>
      <c r="F44" s="45">
        <f t="shared" si="1"/>
        <v>286</v>
      </c>
      <c r="G44" s="45">
        <f t="shared" si="2"/>
        <v>309</v>
      </c>
      <c r="H44" s="45">
        <f t="shared" si="3"/>
        <v>187</v>
      </c>
      <c r="I44" s="45">
        <f t="shared" si="4"/>
        <v>130</v>
      </c>
      <c r="J44" s="45">
        <f t="shared" si="5"/>
        <v>112</v>
      </c>
      <c r="K44" s="45">
        <f t="shared" si="6"/>
        <v>26</v>
      </c>
      <c r="L44" s="45">
        <f t="shared" si="7"/>
        <v>65</v>
      </c>
      <c r="M44" s="45">
        <f t="shared" si="8"/>
        <v>31</v>
      </c>
      <c r="N44" s="45">
        <f t="shared" si="9"/>
        <v>358</v>
      </c>
      <c r="O44" s="45">
        <f t="shared" si="10"/>
        <v>324</v>
      </c>
      <c r="P44" s="45">
        <f t="shared" si="11"/>
        <v>207</v>
      </c>
      <c r="Q44" s="45">
        <f t="shared" si="12"/>
        <v>2160</v>
      </c>
      <c r="R44" s="48"/>
    </row>
    <row r="45" spans="3:18" x14ac:dyDescent="0.2">
      <c r="C45" s="43" t="str">
        <f>VLOOKUP(D45,[4]DBASE!$B$3:$P$923,2,FALSE)</f>
        <v>Simo</v>
      </c>
      <c r="D45" s="47">
        <f>[4]jan!C49</f>
        <v>350123025</v>
      </c>
      <c r="E45" s="45">
        <f t="shared" si="0"/>
        <v>332</v>
      </c>
      <c r="F45" s="45">
        <f t="shared" si="1"/>
        <v>472</v>
      </c>
      <c r="G45" s="45">
        <f t="shared" si="2"/>
        <v>306</v>
      </c>
      <c r="H45" s="45">
        <f t="shared" si="3"/>
        <v>220</v>
      </c>
      <c r="I45" s="45">
        <f t="shared" si="4"/>
        <v>223</v>
      </c>
      <c r="J45" s="45">
        <f t="shared" si="5"/>
        <v>98</v>
      </c>
      <c r="K45" s="45">
        <f t="shared" si="6"/>
        <v>214</v>
      </c>
      <c r="L45" s="45">
        <f t="shared" si="7"/>
        <v>60</v>
      </c>
      <c r="M45" s="45">
        <f t="shared" si="8"/>
        <v>18</v>
      </c>
      <c r="N45" s="45">
        <f t="shared" si="9"/>
        <v>357</v>
      </c>
      <c r="O45" s="45">
        <f t="shared" si="10"/>
        <v>297</v>
      </c>
      <c r="P45" s="45">
        <f t="shared" si="11"/>
        <v>578</v>
      </c>
      <c r="Q45" s="45">
        <f t="shared" si="12"/>
        <v>3175</v>
      </c>
      <c r="R45" s="48"/>
    </row>
    <row r="46" spans="3:18" x14ac:dyDescent="0.2">
      <c r="C46" s="43" t="str">
        <f>VLOOKUP(D46,[4]DBASE!$B$3:$P$923,2,FALSE)</f>
        <v>Parangbatu</v>
      </c>
      <c r="D46" s="47">
        <f>[4]jan!C50</f>
        <v>350123024</v>
      </c>
      <c r="E46" s="45">
        <f t="shared" si="0"/>
        <v>160</v>
      </c>
      <c r="F46" s="45">
        <f t="shared" si="1"/>
        <v>314</v>
      </c>
      <c r="G46" s="45">
        <f t="shared" si="2"/>
        <v>265.5</v>
      </c>
      <c r="H46" s="45">
        <f t="shared" si="3"/>
        <v>327</v>
      </c>
      <c r="I46" s="45">
        <f t="shared" si="4"/>
        <v>233</v>
      </c>
      <c r="J46" s="45">
        <f t="shared" si="5"/>
        <v>120</v>
      </c>
      <c r="K46" s="45">
        <f t="shared" si="6"/>
        <v>31</v>
      </c>
      <c r="L46" s="45">
        <f t="shared" si="7"/>
        <v>73</v>
      </c>
      <c r="M46" s="45">
        <f t="shared" si="8"/>
        <v>31.5</v>
      </c>
      <c r="N46" s="45">
        <f t="shared" si="9"/>
        <v>362.5</v>
      </c>
      <c r="O46" s="45">
        <f t="shared" si="10"/>
        <v>419</v>
      </c>
      <c r="P46" s="45">
        <f t="shared" si="11"/>
        <v>363.5</v>
      </c>
      <c r="Q46" s="45">
        <f t="shared" si="12"/>
        <v>2700</v>
      </c>
      <c r="R46" s="48"/>
    </row>
    <row r="47" spans="3:18" x14ac:dyDescent="0.2">
      <c r="C47" s="43" t="str">
        <f>VLOOKUP(D47,[4]DBASE!$B$3:$P$923,2,FALSE)</f>
        <v>Sekaran</v>
      </c>
      <c r="D47" s="47">
        <f>[4]jan!C51</f>
        <v>350123023</v>
      </c>
      <c r="E47" s="45">
        <f t="shared" si="0"/>
        <v>180</v>
      </c>
      <c r="F47" s="45">
        <f t="shared" si="1"/>
        <v>248</v>
      </c>
      <c r="G47" s="45">
        <f t="shared" si="2"/>
        <v>161</v>
      </c>
      <c r="H47" s="45">
        <f t="shared" si="3"/>
        <v>134</v>
      </c>
      <c r="I47" s="45">
        <f t="shared" si="4"/>
        <v>127</v>
      </c>
      <c r="J47" s="45">
        <f t="shared" si="5"/>
        <v>121</v>
      </c>
      <c r="K47" s="45">
        <f t="shared" si="6"/>
        <v>26</v>
      </c>
      <c r="L47" s="45">
        <f t="shared" si="7"/>
        <v>21</v>
      </c>
      <c r="M47" s="45">
        <f t="shared" si="8"/>
        <v>12</v>
      </c>
      <c r="N47" s="45">
        <f t="shared" si="9"/>
        <v>243</v>
      </c>
      <c r="O47" s="45">
        <f t="shared" si="10"/>
        <v>245</v>
      </c>
      <c r="P47" s="45">
        <f t="shared" si="11"/>
        <v>171</v>
      </c>
      <c r="Q47" s="45">
        <f t="shared" si="12"/>
        <v>1689</v>
      </c>
      <c r="R47" s="48"/>
    </row>
    <row r="48" spans="3:18" x14ac:dyDescent="0.2">
      <c r="C48" s="43" t="str">
        <f>VLOOKUP(D48,[4]DBASE!$B$3:$P$923,2,FALSE)</f>
        <v>Rengel</v>
      </c>
      <c r="D48" s="47">
        <f>[4]jan!C52</f>
        <v>350123022</v>
      </c>
      <c r="E48" s="45">
        <f t="shared" si="0"/>
        <v>204</v>
      </c>
      <c r="F48" s="45">
        <f t="shared" si="1"/>
        <v>226</v>
      </c>
      <c r="G48" s="45">
        <f t="shared" si="2"/>
        <v>241</v>
      </c>
      <c r="H48" s="45">
        <f t="shared" si="3"/>
        <v>277</v>
      </c>
      <c r="I48" s="45">
        <f t="shared" si="4"/>
        <v>108</v>
      </c>
      <c r="J48" s="45">
        <f t="shared" si="5"/>
        <v>134</v>
      </c>
      <c r="K48" s="45">
        <f t="shared" si="6"/>
        <v>66</v>
      </c>
      <c r="L48" s="45">
        <f t="shared" si="7"/>
        <v>79</v>
      </c>
      <c r="M48" s="45">
        <f t="shared" si="8"/>
        <v>126</v>
      </c>
      <c r="N48" s="45">
        <f t="shared" si="9"/>
        <v>323</v>
      </c>
      <c r="O48" s="45">
        <f t="shared" si="10"/>
        <v>128</v>
      </c>
      <c r="P48" s="45">
        <f t="shared" si="11"/>
        <v>148</v>
      </c>
      <c r="Q48" s="45">
        <f t="shared" si="12"/>
        <v>2060</v>
      </c>
      <c r="R48" s="48"/>
    </row>
    <row r="49" spans="3:18" x14ac:dyDescent="0.2">
      <c r="C49" s="43" t="str">
        <f>VLOOKUP(D49,[4]DBASE!$B$3:$P$923,2,FALSE)</f>
        <v>Plajan / katerban</v>
      </c>
      <c r="D49" s="47">
        <f>[4]jan!C53</f>
        <v>350123021</v>
      </c>
      <c r="E49" s="45">
        <f t="shared" si="0"/>
        <v>142</v>
      </c>
      <c r="F49" s="45">
        <f t="shared" si="1"/>
        <v>373</v>
      </c>
      <c r="G49" s="45">
        <f t="shared" si="2"/>
        <v>235</v>
      </c>
      <c r="H49" s="45">
        <f t="shared" si="3"/>
        <v>203</v>
      </c>
      <c r="I49" s="45">
        <f t="shared" si="4"/>
        <v>162</v>
      </c>
      <c r="J49" s="45">
        <f t="shared" si="5"/>
        <v>86</v>
      </c>
      <c r="K49" s="45">
        <f t="shared" si="6"/>
        <v>82</v>
      </c>
      <c r="L49" s="45">
        <f t="shared" si="7"/>
        <v>96</v>
      </c>
      <c r="M49" s="45">
        <f t="shared" si="8"/>
        <v>15</v>
      </c>
      <c r="N49" s="45">
        <f t="shared" si="9"/>
        <v>360</v>
      </c>
      <c r="O49" s="45">
        <f t="shared" si="10"/>
        <v>460</v>
      </c>
      <c r="P49" s="45">
        <f t="shared" si="11"/>
        <v>443</v>
      </c>
      <c r="Q49" s="45">
        <f t="shared" si="12"/>
        <v>2657</v>
      </c>
      <c r="R49" s="48"/>
    </row>
    <row r="50" spans="3:18" x14ac:dyDescent="0.2">
      <c r="C50" s="43" t="str">
        <f>VLOOKUP(D50,[4]DBASE!$B$3:$P$923,2,FALSE)</f>
        <v>Ngolahan</v>
      </c>
      <c r="D50" s="47">
        <f>[4]jan!C54</f>
        <v>350123020</v>
      </c>
      <c r="E50" s="45">
        <f t="shared" si="0"/>
        <v>144</v>
      </c>
      <c r="F50" s="45">
        <f t="shared" si="1"/>
        <v>255</v>
      </c>
      <c r="G50" s="45">
        <f t="shared" si="2"/>
        <v>232</v>
      </c>
      <c r="H50" s="45">
        <f t="shared" si="3"/>
        <v>126</v>
      </c>
      <c r="I50" s="45">
        <f t="shared" si="4"/>
        <v>152</v>
      </c>
      <c r="J50" s="45">
        <f t="shared" si="5"/>
        <v>128</v>
      </c>
      <c r="K50" s="45">
        <f t="shared" si="6"/>
        <v>82</v>
      </c>
      <c r="L50" s="45">
        <f t="shared" si="7"/>
        <v>71</v>
      </c>
      <c r="M50" s="45">
        <f t="shared" si="8"/>
        <v>7</v>
      </c>
      <c r="N50" s="45">
        <f t="shared" si="9"/>
        <v>282</v>
      </c>
      <c r="O50" s="45">
        <f t="shared" si="10"/>
        <v>174</v>
      </c>
      <c r="P50" s="45">
        <f t="shared" si="11"/>
        <v>306</v>
      </c>
      <c r="Q50" s="45">
        <f t="shared" si="12"/>
        <v>1959</v>
      </c>
      <c r="R50" s="48"/>
    </row>
    <row r="51" spans="3:18" x14ac:dyDescent="0.2">
      <c r="C51" s="43" t="str">
        <f>VLOOKUP(D51,[4]DBASE!$B$3:$P$923,2,FALSE)</f>
        <v>Ngabongan</v>
      </c>
      <c r="D51" s="47">
        <f>[4]jan!C55</f>
        <v>350123019</v>
      </c>
      <c r="E51" s="45">
        <f t="shared" si="0"/>
        <v>115</v>
      </c>
      <c r="F51" s="45">
        <f t="shared" si="1"/>
        <v>183.5</v>
      </c>
      <c r="G51" s="45">
        <f t="shared" si="2"/>
        <v>234</v>
      </c>
      <c r="H51" s="45">
        <f t="shared" si="3"/>
        <v>206</v>
      </c>
      <c r="I51" s="45">
        <f t="shared" si="4"/>
        <v>139</v>
      </c>
      <c r="J51" s="45">
        <f t="shared" si="5"/>
        <v>101</v>
      </c>
      <c r="K51" s="45">
        <f t="shared" si="6"/>
        <v>45</v>
      </c>
      <c r="L51" s="45">
        <f t="shared" si="7"/>
        <v>73</v>
      </c>
      <c r="M51" s="45">
        <f t="shared" si="8"/>
        <v>49</v>
      </c>
      <c r="N51" s="45">
        <f t="shared" si="9"/>
        <v>388.5</v>
      </c>
      <c r="O51" s="45">
        <f t="shared" si="10"/>
        <v>400</v>
      </c>
      <c r="P51" s="45">
        <f t="shared" si="11"/>
        <v>363</v>
      </c>
      <c r="Q51" s="45">
        <f t="shared" si="12"/>
        <v>2297</v>
      </c>
      <c r="R51" s="48"/>
    </row>
    <row r="52" spans="3:18" x14ac:dyDescent="0.2">
      <c r="C52" s="43" t="str">
        <f>VLOOKUP(D52,[4]DBASE!$B$3:$P$923,2,FALSE)</f>
        <v>Mundri</v>
      </c>
      <c r="D52" s="47">
        <f>[4]jan!C56</f>
        <v>350123018</v>
      </c>
      <c r="E52" s="45">
        <f t="shared" si="0"/>
        <v>224</v>
      </c>
      <c r="F52" s="45">
        <f t="shared" si="1"/>
        <v>182</v>
      </c>
      <c r="G52" s="45">
        <f t="shared" si="2"/>
        <v>159</v>
      </c>
      <c r="H52" s="45">
        <f t="shared" si="3"/>
        <v>166</v>
      </c>
      <c r="I52" s="45">
        <f t="shared" si="4"/>
        <v>128</v>
      </c>
      <c r="J52" s="45">
        <f t="shared" si="5"/>
        <v>140</v>
      </c>
      <c r="K52" s="45">
        <f t="shared" si="6"/>
        <v>96</v>
      </c>
      <c r="L52" s="45">
        <f t="shared" si="7"/>
        <v>91</v>
      </c>
      <c r="M52" s="45">
        <f t="shared" si="8"/>
        <v>96</v>
      </c>
      <c r="N52" s="45">
        <f t="shared" si="9"/>
        <v>500</v>
      </c>
      <c r="O52" s="45">
        <f t="shared" si="10"/>
        <v>500</v>
      </c>
      <c r="P52" s="45">
        <f t="shared" si="11"/>
        <v>287</v>
      </c>
      <c r="Q52" s="45">
        <f t="shared" si="12"/>
        <v>2569</v>
      </c>
      <c r="R52" s="48"/>
    </row>
    <row r="53" spans="3:18" x14ac:dyDescent="0.2">
      <c r="C53" s="43" t="str">
        <f>VLOOKUP(D53,[4]DBASE!$B$3:$P$923,2,FALSE)</f>
        <v>Montong</v>
      </c>
      <c r="D53" s="47">
        <f>[4]jan!C57</f>
        <v>350123017</v>
      </c>
      <c r="E53" s="45">
        <f t="shared" si="0"/>
        <v>109</v>
      </c>
      <c r="F53" s="45">
        <f t="shared" si="1"/>
        <v>146</v>
      </c>
      <c r="G53" s="45">
        <f t="shared" si="2"/>
        <v>360</v>
      </c>
      <c r="H53" s="45">
        <f t="shared" si="3"/>
        <v>178</v>
      </c>
      <c r="I53" s="45">
        <f t="shared" si="4"/>
        <v>126</v>
      </c>
      <c r="J53" s="45">
        <f t="shared" si="5"/>
        <v>65</v>
      </c>
      <c r="K53" s="45">
        <f t="shared" si="6"/>
        <v>26</v>
      </c>
      <c r="L53" s="45">
        <f t="shared" si="7"/>
        <v>81</v>
      </c>
      <c r="M53" s="45">
        <f t="shared" si="8"/>
        <v>70</v>
      </c>
      <c r="N53" s="45">
        <f t="shared" si="9"/>
        <v>479</v>
      </c>
      <c r="O53" s="45">
        <f t="shared" si="10"/>
        <v>161</v>
      </c>
      <c r="P53" s="45">
        <f t="shared" si="11"/>
        <v>410</v>
      </c>
      <c r="Q53" s="45">
        <f t="shared" si="12"/>
        <v>2211</v>
      </c>
      <c r="R53" s="48"/>
    </row>
    <row r="54" spans="3:18" x14ac:dyDescent="0.2">
      <c r="C54" s="43" t="str">
        <f>VLOOKUP(D54,[4]DBASE!$B$3:$P$923,2,FALSE)</f>
        <v>Tluwe</v>
      </c>
      <c r="D54" s="47">
        <f>[4]jan!C58</f>
        <v>350123016</v>
      </c>
      <c r="E54" s="45">
        <f t="shared" si="0"/>
        <v>150</v>
      </c>
      <c r="F54" s="45">
        <f t="shared" si="1"/>
        <v>348.5</v>
      </c>
      <c r="G54" s="45">
        <f t="shared" si="2"/>
        <v>196</v>
      </c>
      <c r="H54" s="45">
        <f t="shared" si="3"/>
        <v>242</v>
      </c>
      <c r="I54" s="45">
        <f t="shared" si="4"/>
        <v>182</v>
      </c>
      <c r="J54" s="45">
        <f t="shared" si="5"/>
        <v>138.5</v>
      </c>
      <c r="K54" s="45">
        <f t="shared" si="6"/>
        <v>56</v>
      </c>
      <c r="L54" s="45">
        <f t="shared" si="7"/>
        <v>61</v>
      </c>
      <c r="M54" s="45">
        <f t="shared" si="8"/>
        <v>36.5</v>
      </c>
      <c r="N54" s="45">
        <f t="shared" si="9"/>
        <v>362.5</v>
      </c>
      <c r="O54" s="45">
        <f t="shared" si="10"/>
        <v>212</v>
      </c>
      <c r="P54" s="45">
        <f t="shared" si="11"/>
        <v>270.5</v>
      </c>
      <c r="Q54" s="45">
        <f t="shared" si="12"/>
        <v>2255.5</v>
      </c>
      <c r="R54" s="48"/>
    </row>
    <row r="55" spans="3:18" x14ac:dyDescent="0.2">
      <c r="C55" s="43" t="str">
        <f>VLOOKUP(D55,[4]DBASE!$B$3:$P$923,2,FALSE)</f>
        <v>Laju</v>
      </c>
      <c r="D55" s="47">
        <f>[4]jan!C59</f>
        <v>350123015</v>
      </c>
      <c r="E55" s="45">
        <f t="shared" si="0"/>
        <v>189</v>
      </c>
      <c r="F55" s="45">
        <f t="shared" si="1"/>
        <v>118</v>
      </c>
      <c r="G55" s="45">
        <f t="shared" si="2"/>
        <v>137</v>
      </c>
      <c r="H55" s="45">
        <f t="shared" si="3"/>
        <v>134</v>
      </c>
      <c r="I55" s="45">
        <f t="shared" si="4"/>
        <v>114</v>
      </c>
      <c r="J55" s="45">
        <f t="shared" si="5"/>
        <v>70</v>
      </c>
      <c r="K55" s="45">
        <f t="shared" si="6"/>
        <v>54</v>
      </c>
      <c r="L55" s="45">
        <f t="shared" si="7"/>
        <v>16</v>
      </c>
      <c r="M55" s="45">
        <f t="shared" si="8"/>
        <v>15</v>
      </c>
      <c r="N55" s="45">
        <f t="shared" si="9"/>
        <v>295</v>
      </c>
      <c r="O55" s="45">
        <f t="shared" si="10"/>
        <v>236</v>
      </c>
      <c r="P55" s="45">
        <f t="shared" si="11"/>
        <v>162</v>
      </c>
      <c r="Q55" s="45">
        <f t="shared" si="12"/>
        <v>1540</v>
      </c>
      <c r="R55" s="48"/>
    </row>
    <row r="56" spans="3:18" x14ac:dyDescent="0.2">
      <c r="C56" s="43" t="str">
        <f>VLOOKUP(D56,[4]DBASE!$B$3:$P$923,2,FALSE)</f>
        <v>Kwasen</v>
      </c>
      <c r="D56" s="47">
        <f>[4]jan!C60</f>
        <v>350123014</v>
      </c>
      <c r="E56" s="45">
        <f t="shared" si="0"/>
        <v>130</v>
      </c>
      <c r="F56" s="45">
        <f t="shared" si="1"/>
        <v>234</v>
      </c>
      <c r="G56" s="45">
        <f t="shared" si="2"/>
        <v>294</v>
      </c>
      <c r="H56" s="45">
        <f t="shared" si="3"/>
        <v>228</v>
      </c>
      <c r="I56" s="45">
        <f t="shared" si="4"/>
        <v>158</v>
      </c>
      <c r="J56" s="45">
        <f t="shared" si="5"/>
        <v>210</v>
      </c>
      <c r="K56" s="45">
        <f t="shared" si="6"/>
        <v>64</v>
      </c>
      <c r="L56" s="45">
        <f t="shared" si="7"/>
        <v>77</v>
      </c>
      <c r="M56" s="45">
        <f t="shared" si="8"/>
        <v>12</v>
      </c>
      <c r="N56" s="45">
        <f t="shared" si="9"/>
        <v>359</v>
      </c>
      <c r="O56" s="45">
        <f t="shared" si="10"/>
        <v>367</v>
      </c>
      <c r="P56" s="45">
        <f t="shared" si="11"/>
        <v>223</v>
      </c>
      <c r="Q56" s="45">
        <f t="shared" si="12"/>
        <v>2356</v>
      </c>
      <c r="R56" s="48"/>
    </row>
    <row r="57" spans="3:18" x14ac:dyDescent="0.2">
      <c r="C57" s="43" t="str">
        <f>VLOOKUP(D57,[4]DBASE!$B$3:$P$923,2,FALSE)</f>
        <v>Klotok/Sembungrejo</v>
      </c>
      <c r="D57" s="47">
        <f>[4]jan!C61</f>
        <v>350123013</v>
      </c>
      <c r="E57" s="45">
        <f t="shared" si="0"/>
        <v>208</v>
      </c>
      <c r="F57" s="45">
        <f t="shared" si="1"/>
        <v>305</v>
      </c>
      <c r="G57" s="45">
        <f t="shared" si="2"/>
        <v>242</v>
      </c>
      <c r="H57" s="45">
        <f t="shared" si="3"/>
        <v>270</v>
      </c>
      <c r="I57" s="45">
        <f t="shared" si="4"/>
        <v>91</v>
      </c>
      <c r="J57" s="45">
        <f t="shared" si="5"/>
        <v>136</v>
      </c>
      <c r="K57" s="45">
        <f t="shared" si="6"/>
        <v>23</v>
      </c>
      <c r="L57" s="45">
        <f t="shared" si="7"/>
        <v>94</v>
      </c>
      <c r="M57" s="45">
        <f t="shared" si="8"/>
        <v>42</v>
      </c>
      <c r="N57" s="45">
        <f t="shared" si="9"/>
        <v>294</v>
      </c>
      <c r="O57" s="45">
        <f t="shared" si="10"/>
        <v>223</v>
      </c>
      <c r="P57" s="45">
        <f t="shared" si="11"/>
        <v>188</v>
      </c>
      <c r="Q57" s="45">
        <f t="shared" si="12"/>
        <v>2116</v>
      </c>
      <c r="R57" s="48"/>
    </row>
    <row r="58" spans="3:18" x14ac:dyDescent="0.2">
      <c r="C58" s="43" t="str">
        <f>VLOOKUP(D58,[4]DBASE!$B$3:$P$923,2,FALSE)</f>
        <v>Kerek</v>
      </c>
      <c r="D58" s="47">
        <f>[4]jan!C62</f>
        <v>350123012</v>
      </c>
      <c r="E58" s="45">
        <f t="shared" si="0"/>
        <v>131</v>
      </c>
      <c r="F58" s="45">
        <f t="shared" si="1"/>
        <v>346</v>
      </c>
      <c r="G58" s="45">
        <f t="shared" si="2"/>
        <v>421</v>
      </c>
      <c r="H58" s="45">
        <f t="shared" si="3"/>
        <v>120</v>
      </c>
      <c r="I58" s="45">
        <f t="shared" si="4"/>
        <v>261</v>
      </c>
      <c r="J58" s="45">
        <f t="shared" si="5"/>
        <v>157</v>
      </c>
      <c r="K58" s="45">
        <f t="shared" si="6"/>
        <v>49</v>
      </c>
      <c r="L58" s="45">
        <f t="shared" si="7"/>
        <v>45</v>
      </c>
      <c r="M58" s="45">
        <f t="shared" si="8"/>
        <v>13</v>
      </c>
      <c r="N58" s="45">
        <f t="shared" si="9"/>
        <v>404</v>
      </c>
      <c r="O58" s="45">
        <f t="shared" si="10"/>
        <v>219</v>
      </c>
      <c r="P58" s="45">
        <f t="shared" si="11"/>
        <v>288</v>
      </c>
      <c r="Q58" s="45">
        <f t="shared" si="12"/>
        <v>2454</v>
      </c>
      <c r="R58" s="48"/>
    </row>
    <row r="59" spans="3:18" x14ac:dyDescent="0.2">
      <c r="C59" s="43" t="str">
        <f>VLOOKUP(D59,[4]DBASE!$B$3:$P$923,2,FALSE)</f>
        <v>Kepet</v>
      </c>
      <c r="D59" s="47">
        <f>[4]jan!C63</f>
        <v>350123011</v>
      </c>
      <c r="E59" s="45">
        <f t="shared" si="0"/>
        <v>202</v>
      </c>
      <c r="F59" s="45">
        <f t="shared" si="1"/>
        <v>243</v>
      </c>
      <c r="G59" s="45">
        <f t="shared" si="2"/>
        <v>174</v>
      </c>
      <c r="H59" s="45">
        <f t="shared" si="3"/>
        <v>95</v>
      </c>
      <c r="I59" s="45">
        <f t="shared" si="4"/>
        <v>139</v>
      </c>
      <c r="J59" s="45">
        <f t="shared" si="5"/>
        <v>80</v>
      </c>
      <c r="K59" s="45">
        <f t="shared" si="6"/>
        <v>89</v>
      </c>
      <c r="L59" s="45">
        <f t="shared" si="7"/>
        <v>33</v>
      </c>
      <c r="M59" s="45">
        <f t="shared" si="8"/>
        <v>3</v>
      </c>
      <c r="N59" s="45">
        <f t="shared" si="9"/>
        <v>338</v>
      </c>
      <c r="O59" s="45">
        <f t="shared" si="10"/>
        <v>167</v>
      </c>
      <c r="P59" s="45">
        <f t="shared" si="11"/>
        <v>229</v>
      </c>
      <c r="Q59" s="45">
        <f t="shared" si="12"/>
        <v>1792</v>
      </c>
      <c r="R59" s="48"/>
    </row>
    <row r="60" spans="3:18" x14ac:dyDescent="0.2">
      <c r="C60" s="43" t="str">
        <f>VLOOKUP(D60,[4]DBASE!$B$3:$P$923,2,FALSE)</f>
        <v>Kejuron</v>
      </c>
      <c r="D60" s="47">
        <f>[4]jan!C64</f>
        <v>350123010</v>
      </c>
      <c r="E60" s="45">
        <f t="shared" si="0"/>
        <v>204</v>
      </c>
      <c r="F60" s="45">
        <f t="shared" si="1"/>
        <v>174</v>
      </c>
      <c r="G60" s="45">
        <f t="shared" si="2"/>
        <v>182</v>
      </c>
      <c r="H60" s="45">
        <f t="shared" si="3"/>
        <v>147</v>
      </c>
      <c r="I60" s="45">
        <f t="shared" si="4"/>
        <v>79</v>
      </c>
      <c r="J60" s="45">
        <f t="shared" si="5"/>
        <v>107</v>
      </c>
      <c r="K60" s="45">
        <f t="shared" si="6"/>
        <v>94</v>
      </c>
      <c r="L60" s="45">
        <f t="shared" si="7"/>
        <v>89</v>
      </c>
      <c r="M60" s="45">
        <f t="shared" si="8"/>
        <v>43</v>
      </c>
      <c r="N60" s="45">
        <f t="shared" si="9"/>
        <v>312</v>
      </c>
      <c r="O60" s="45">
        <f t="shared" si="10"/>
        <v>367</v>
      </c>
      <c r="P60" s="45">
        <f t="shared" si="11"/>
        <v>251</v>
      </c>
      <c r="Q60" s="45">
        <f t="shared" si="12"/>
        <v>2049</v>
      </c>
      <c r="R60" s="48"/>
    </row>
    <row r="61" spans="3:18" x14ac:dyDescent="0.2">
      <c r="C61" s="43" t="str">
        <f>VLOOKUP(D61,[4]DBASE!$B$3:$P$923,2,FALSE)</f>
        <v>Kebonharjo/paseyan</v>
      </c>
      <c r="D61" s="47">
        <f>[4]jan!C65</f>
        <v>350123009</v>
      </c>
      <c r="E61" s="45">
        <f t="shared" si="0"/>
        <v>74</v>
      </c>
      <c r="F61" s="45">
        <f t="shared" si="1"/>
        <v>214</v>
      </c>
      <c r="G61" s="45">
        <f t="shared" si="2"/>
        <v>138</v>
      </c>
      <c r="H61" s="45">
        <f t="shared" si="3"/>
        <v>178</v>
      </c>
      <c r="I61" s="45">
        <f t="shared" si="4"/>
        <v>147</v>
      </c>
      <c r="J61" s="45">
        <f t="shared" si="5"/>
        <v>125.5</v>
      </c>
      <c r="K61" s="45">
        <f t="shared" si="6"/>
        <v>87.5</v>
      </c>
      <c r="L61" s="45">
        <f t="shared" si="7"/>
        <v>65</v>
      </c>
      <c r="M61" s="45">
        <f t="shared" si="8"/>
        <v>26</v>
      </c>
      <c r="N61" s="45">
        <f t="shared" si="9"/>
        <v>381.5</v>
      </c>
      <c r="O61" s="45">
        <f t="shared" si="10"/>
        <v>360</v>
      </c>
      <c r="P61" s="45">
        <f t="shared" si="11"/>
        <v>299</v>
      </c>
      <c r="Q61" s="45">
        <f t="shared" si="12"/>
        <v>2095.5</v>
      </c>
      <c r="R61" s="48"/>
    </row>
    <row r="62" spans="3:18" x14ac:dyDescent="0.2">
      <c r="C62" s="43" t="str">
        <f>VLOOKUP(D62,[4]DBASE!$B$3:$P$923,2,FALSE)</f>
        <v>Kebonagung TBN</v>
      </c>
      <c r="D62" s="47">
        <f>[4]jan!C66</f>
        <v>350123008</v>
      </c>
      <c r="E62" s="45">
        <f t="shared" si="0"/>
        <v>187</v>
      </c>
      <c r="F62" s="45">
        <f t="shared" si="1"/>
        <v>169</v>
      </c>
      <c r="G62" s="45">
        <f t="shared" si="2"/>
        <v>619</v>
      </c>
      <c r="H62" s="45">
        <f t="shared" si="3"/>
        <v>227</v>
      </c>
      <c r="I62" s="45">
        <f t="shared" si="4"/>
        <v>108</v>
      </c>
      <c r="J62" s="45">
        <f t="shared" si="5"/>
        <v>74</v>
      </c>
      <c r="K62" s="45">
        <f t="shared" si="6"/>
        <v>33</v>
      </c>
      <c r="L62" s="45">
        <f t="shared" si="7"/>
        <v>65</v>
      </c>
      <c r="M62" s="45">
        <f t="shared" si="8"/>
        <v>78</v>
      </c>
      <c r="N62" s="45">
        <f t="shared" si="9"/>
        <v>403</v>
      </c>
      <c r="O62" s="45">
        <f t="shared" si="10"/>
        <v>161</v>
      </c>
      <c r="P62" s="45">
        <f t="shared" si="11"/>
        <v>225</v>
      </c>
      <c r="Q62" s="45">
        <f t="shared" si="12"/>
        <v>2349</v>
      </c>
      <c r="R62" s="48"/>
    </row>
    <row r="63" spans="3:18" x14ac:dyDescent="0.2">
      <c r="C63" s="43" t="str">
        <f>VLOOKUP(D63,[4]DBASE!$B$3:$P$923,2,FALSE)</f>
        <v>Kayenjoho</v>
      </c>
      <c r="D63" s="47">
        <f>[4]jan!C67</f>
        <v>350123007</v>
      </c>
      <c r="E63" s="45">
        <f t="shared" si="0"/>
        <v>216</v>
      </c>
      <c r="F63" s="45">
        <f t="shared" si="1"/>
        <v>269</v>
      </c>
      <c r="G63" s="45">
        <f t="shared" si="2"/>
        <v>182</v>
      </c>
      <c r="H63" s="45">
        <f t="shared" si="3"/>
        <v>100</v>
      </c>
      <c r="I63" s="45">
        <f t="shared" si="4"/>
        <v>159</v>
      </c>
      <c r="J63" s="45">
        <f t="shared" si="5"/>
        <v>69</v>
      </c>
      <c r="K63" s="45">
        <f t="shared" si="6"/>
        <v>94</v>
      </c>
      <c r="L63" s="45">
        <f t="shared" si="7"/>
        <v>31</v>
      </c>
      <c r="M63" s="45">
        <f t="shared" si="8"/>
        <v>4</v>
      </c>
      <c r="N63" s="45">
        <f t="shared" si="9"/>
        <v>279</v>
      </c>
      <c r="O63" s="45">
        <f t="shared" si="10"/>
        <v>150</v>
      </c>
      <c r="P63" s="45">
        <f t="shared" si="11"/>
        <v>193</v>
      </c>
      <c r="Q63" s="45">
        <f t="shared" si="12"/>
        <v>1746</v>
      </c>
      <c r="R63" s="48"/>
    </row>
    <row r="64" spans="3:18" x14ac:dyDescent="0.2">
      <c r="C64" s="43" t="str">
        <f>VLOOKUP(D64,[4]DBASE!$B$3:$P$923,2,FALSE)</f>
        <v>Jojogan</v>
      </c>
      <c r="D64" s="47">
        <f>[4]jan!C68</f>
        <v>350123006</v>
      </c>
      <c r="E64" s="45">
        <f t="shared" si="0"/>
        <v>96</v>
      </c>
      <c r="F64" s="45">
        <f t="shared" si="1"/>
        <v>176</v>
      </c>
      <c r="G64" s="45">
        <f t="shared" si="2"/>
        <v>186</v>
      </c>
      <c r="H64" s="45">
        <f t="shared" si="3"/>
        <v>204</v>
      </c>
      <c r="I64" s="45">
        <f t="shared" si="4"/>
        <v>180</v>
      </c>
      <c r="J64" s="45">
        <f t="shared" si="5"/>
        <v>129</v>
      </c>
      <c r="K64" s="45">
        <f t="shared" si="6"/>
        <v>40</v>
      </c>
      <c r="L64" s="45">
        <f t="shared" si="7"/>
        <v>51</v>
      </c>
      <c r="M64" s="45">
        <f t="shared" si="8"/>
        <v>44</v>
      </c>
      <c r="N64" s="45">
        <f t="shared" si="9"/>
        <v>325</v>
      </c>
      <c r="O64" s="45">
        <f t="shared" si="10"/>
        <v>308</v>
      </c>
      <c r="P64" s="45">
        <f t="shared" si="11"/>
        <v>410</v>
      </c>
      <c r="Q64" s="45">
        <f t="shared" si="12"/>
        <v>2149</v>
      </c>
      <c r="R64" s="48"/>
    </row>
    <row r="65" spans="3:18" x14ac:dyDescent="0.2">
      <c r="C65" s="43" t="str">
        <f>VLOOKUP(D65,[4]DBASE!$B$3:$P$923,2,FALSE)</f>
        <v>Grabagan</v>
      </c>
      <c r="D65" s="47">
        <f>[4]jan!C69</f>
        <v>350123005</v>
      </c>
      <c r="E65" s="45">
        <f t="shared" si="0"/>
        <v>215</v>
      </c>
      <c r="F65" s="45">
        <f t="shared" si="1"/>
        <v>250</v>
      </c>
      <c r="G65" s="45">
        <f t="shared" si="2"/>
        <v>384</v>
      </c>
      <c r="H65" s="45">
        <f t="shared" si="3"/>
        <v>381</v>
      </c>
      <c r="I65" s="45">
        <f t="shared" si="4"/>
        <v>196</v>
      </c>
      <c r="J65" s="45">
        <f t="shared" si="5"/>
        <v>130</v>
      </c>
      <c r="K65" s="45">
        <f t="shared" si="6"/>
        <v>40</v>
      </c>
      <c r="L65" s="45">
        <f t="shared" si="7"/>
        <v>82</v>
      </c>
      <c r="M65" s="45">
        <f t="shared" si="8"/>
        <v>119</v>
      </c>
      <c r="N65" s="45">
        <f t="shared" si="9"/>
        <v>377</v>
      </c>
      <c r="O65" s="45">
        <f t="shared" si="10"/>
        <v>338</v>
      </c>
      <c r="P65" s="45">
        <f t="shared" si="11"/>
        <v>293</v>
      </c>
      <c r="Q65" s="45">
        <f t="shared" si="12"/>
        <v>2805</v>
      </c>
      <c r="R65" s="48"/>
    </row>
    <row r="66" spans="3:18" x14ac:dyDescent="0.2">
      <c r="C66" s="43" t="str">
        <f>VLOOKUP(D66,[4]DBASE!$B$3:$P$923,2,FALSE)</f>
        <v>Gaplok</v>
      </c>
      <c r="D66" s="47">
        <f>[4]jan!C70</f>
        <v>350123004</v>
      </c>
      <c r="E66" s="45">
        <f t="shared" si="0"/>
        <v>125</v>
      </c>
      <c r="F66" s="45">
        <f t="shared" si="1"/>
        <v>168</v>
      </c>
      <c r="G66" s="45">
        <f t="shared" si="2"/>
        <v>296</v>
      </c>
      <c r="H66" s="45">
        <f t="shared" si="3"/>
        <v>157</v>
      </c>
      <c r="I66" s="45">
        <f t="shared" si="4"/>
        <v>140</v>
      </c>
      <c r="J66" s="45">
        <f t="shared" si="5"/>
        <v>77</v>
      </c>
      <c r="K66" s="45">
        <f t="shared" si="6"/>
        <v>71</v>
      </c>
      <c r="L66" s="45">
        <f t="shared" si="7"/>
        <v>66</v>
      </c>
      <c r="M66" s="45">
        <f t="shared" si="8"/>
        <v>27</v>
      </c>
      <c r="N66" s="45">
        <f t="shared" si="9"/>
        <v>296</v>
      </c>
      <c r="O66" s="45">
        <f t="shared" si="10"/>
        <v>113</v>
      </c>
      <c r="P66" s="45">
        <f t="shared" si="11"/>
        <v>293</v>
      </c>
      <c r="Q66" s="45">
        <f t="shared" si="12"/>
        <v>1829</v>
      </c>
      <c r="R66" s="48"/>
    </row>
    <row r="67" spans="3:18" x14ac:dyDescent="0.2">
      <c r="C67" s="43" t="str">
        <f>VLOOKUP(D67,[4]DBASE!$B$3:$P$923,2,FALSE)</f>
        <v>Boropetung</v>
      </c>
      <c r="D67" s="47">
        <f>[4]jan!C71</f>
        <v>350123003</v>
      </c>
      <c r="E67" s="45">
        <f t="shared" si="0"/>
        <v>167</v>
      </c>
      <c r="F67" s="45">
        <f t="shared" si="1"/>
        <v>142</v>
      </c>
      <c r="G67" s="45">
        <f t="shared" si="2"/>
        <v>310</v>
      </c>
      <c r="H67" s="45">
        <f t="shared" si="3"/>
        <v>204</v>
      </c>
      <c r="I67" s="45">
        <f t="shared" si="4"/>
        <v>155</v>
      </c>
      <c r="J67" s="45">
        <f t="shared" si="5"/>
        <v>79</v>
      </c>
      <c r="K67" s="45">
        <f t="shared" si="6"/>
        <v>80</v>
      </c>
      <c r="L67" s="45">
        <f t="shared" si="7"/>
        <v>61</v>
      </c>
      <c r="M67" s="45">
        <f t="shared" si="8"/>
        <v>41</v>
      </c>
      <c r="N67" s="45">
        <f t="shared" si="9"/>
        <v>264</v>
      </c>
      <c r="O67" s="45">
        <f t="shared" si="10"/>
        <v>155</v>
      </c>
      <c r="P67" s="45">
        <f t="shared" si="11"/>
        <v>210</v>
      </c>
      <c r="Q67" s="45">
        <f t="shared" si="12"/>
        <v>1868</v>
      </c>
      <c r="R67" s="48"/>
    </row>
    <row r="68" spans="3:18" x14ac:dyDescent="0.2">
      <c r="C68" s="43" t="str">
        <f>VLOOKUP(D68,[4]DBASE!$B$3:$P$923,2,FALSE)</f>
        <v>Belikanget</v>
      </c>
      <c r="D68" s="47">
        <f>[4]jan!C72</f>
        <v>350123002</v>
      </c>
      <c r="E68" s="45">
        <f t="shared" ref="E68:E131" si="13">VLOOKUP($D68,jan,33,FALSE)</f>
        <v>109</v>
      </c>
      <c r="F68" s="45">
        <f t="shared" si="1"/>
        <v>276</v>
      </c>
      <c r="G68" s="45">
        <f t="shared" si="2"/>
        <v>215</v>
      </c>
      <c r="H68" s="45">
        <f t="shared" si="3"/>
        <v>95</v>
      </c>
      <c r="I68" s="45">
        <f t="shared" si="4"/>
        <v>93</v>
      </c>
      <c r="J68" s="45">
        <f t="shared" si="5"/>
        <v>55</v>
      </c>
      <c r="K68" s="45">
        <f t="shared" si="6"/>
        <v>112</v>
      </c>
      <c r="L68" s="45">
        <f t="shared" si="7"/>
        <v>31</v>
      </c>
      <c r="M68" s="45">
        <f t="shared" si="8"/>
        <v>0</v>
      </c>
      <c r="N68" s="45">
        <f t="shared" si="9"/>
        <v>175</v>
      </c>
      <c r="O68" s="45">
        <f t="shared" si="10"/>
        <v>179</v>
      </c>
      <c r="P68" s="45">
        <f t="shared" si="11"/>
        <v>354</v>
      </c>
      <c r="Q68" s="45">
        <f t="shared" si="12"/>
        <v>1694</v>
      </c>
      <c r="R68" s="48"/>
    </row>
    <row r="69" spans="3:18" x14ac:dyDescent="0.2">
      <c r="C69" s="43" t="str">
        <f>VLOOKUP(D69,[4]DBASE!$B$3:$P$923,2,FALSE)</f>
        <v>Sidomukti</v>
      </c>
      <c r="D69" s="47">
        <f>[4]jan!C73</f>
        <v>350123001</v>
      </c>
      <c r="E69" s="45">
        <f t="shared" si="13"/>
        <v>134</v>
      </c>
      <c r="F69" s="45">
        <f t="shared" si="1"/>
        <v>130</v>
      </c>
      <c r="G69" s="45">
        <f t="shared" si="2"/>
        <v>185</v>
      </c>
      <c r="H69" s="45">
        <f t="shared" si="3"/>
        <v>194</v>
      </c>
      <c r="I69" s="45">
        <f t="shared" si="4"/>
        <v>286</v>
      </c>
      <c r="J69" s="45">
        <f t="shared" si="5"/>
        <v>177</v>
      </c>
      <c r="K69" s="45">
        <f t="shared" si="6"/>
        <v>64</v>
      </c>
      <c r="L69" s="45">
        <f t="shared" si="7"/>
        <v>41</v>
      </c>
      <c r="M69" s="45">
        <f t="shared" si="8"/>
        <v>11</v>
      </c>
      <c r="N69" s="45">
        <f t="shared" si="9"/>
        <v>401</v>
      </c>
      <c r="O69" s="45">
        <f t="shared" si="10"/>
        <v>434</v>
      </c>
      <c r="P69" s="45">
        <f t="shared" si="11"/>
        <v>390</v>
      </c>
      <c r="Q69" s="45">
        <f t="shared" ref="Q69:Q132" si="14">SUM(E69:P69)</f>
        <v>2447</v>
      </c>
      <c r="R69" s="48"/>
    </row>
    <row r="70" spans="3:18" x14ac:dyDescent="0.2">
      <c r="C70" s="43" t="str">
        <f>VLOOKUP(D70,[4]DBASE!$B$3:$P$923,2,FALSE)</f>
        <v>Sumberejo/malo</v>
      </c>
      <c r="D70" s="47">
        <f>[4]jan!C74</f>
        <v>350122031</v>
      </c>
      <c r="E70" s="45">
        <f t="shared" si="13"/>
        <v>163</v>
      </c>
      <c r="F70" s="45">
        <f t="shared" si="1"/>
        <v>297</v>
      </c>
      <c r="G70" s="45">
        <f t="shared" si="2"/>
        <v>234</v>
      </c>
      <c r="H70" s="45">
        <f t="shared" si="3"/>
        <v>218</v>
      </c>
      <c r="I70" s="45">
        <f t="shared" si="4"/>
        <v>124</v>
      </c>
      <c r="J70" s="45">
        <f t="shared" si="5"/>
        <v>42</v>
      </c>
      <c r="K70" s="45">
        <f t="shared" si="6"/>
        <v>28</v>
      </c>
      <c r="L70" s="45">
        <f t="shared" si="7"/>
        <v>67</v>
      </c>
      <c r="M70" s="45">
        <f t="shared" si="8"/>
        <v>33</v>
      </c>
      <c r="N70" s="45">
        <f t="shared" si="9"/>
        <v>426</v>
      </c>
      <c r="O70" s="45">
        <f t="shared" si="10"/>
        <v>523</v>
      </c>
      <c r="P70" s="45">
        <f t="shared" si="11"/>
        <v>352</v>
      </c>
      <c r="Q70" s="45">
        <f t="shared" si="14"/>
        <v>2507</v>
      </c>
      <c r="R70" s="48"/>
    </row>
    <row r="71" spans="3:18" x14ac:dyDescent="0.2">
      <c r="C71" s="43" t="str">
        <f>VLOOKUP(D71,[4]DBASE!$B$3:$P$923,2,FALSE)</f>
        <v>Cancung</v>
      </c>
      <c r="D71" s="47">
        <f>[4]jan!C75</f>
        <v>350122030</v>
      </c>
      <c r="E71" s="45">
        <f t="shared" si="13"/>
        <v>237</v>
      </c>
      <c r="F71" s="45">
        <f t="shared" si="1"/>
        <v>218</v>
      </c>
      <c r="G71" s="45">
        <f t="shared" si="2"/>
        <v>483.5</v>
      </c>
      <c r="H71" s="45">
        <f t="shared" si="3"/>
        <v>232</v>
      </c>
      <c r="I71" s="45">
        <f t="shared" si="4"/>
        <v>301</v>
      </c>
      <c r="J71" s="45">
        <f t="shared" si="5"/>
        <v>133</v>
      </c>
      <c r="K71" s="45">
        <f t="shared" si="6"/>
        <v>56</v>
      </c>
      <c r="L71" s="45">
        <f t="shared" si="7"/>
        <v>36</v>
      </c>
      <c r="M71" s="45">
        <f t="shared" si="8"/>
        <v>39</v>
      </c>
      <c r="N71" s="45">
        <f t="shared" si="9"/>
        <v>314</v>
      </c>
      <c r="O71" s="45">
        <f t="shared" si="10"/>
        <v>446</v>
      </c>
      <c r="P71" s="45">
        <f t="shared" si="11"/>
        <v>150</v>
      </c>
      <c r="Q71" s="45">
        <f t="shared" si="14"/>
        <v>2645.5</v>
      </c>
      <c r="R71" s="48"/>
    </row>
    <row r="72" spans="3:18" x14ac:dyDescent="0.2">
      <c r="C72" s="43" t="str">
        <f>VLOOKUP(D72,[4]DBASE!$B$3:$P$923,2,FALSE)</f>
        <v>Kali sumber</v>
      </c>
      <c r="D72" s="47">
        <f>[4]jan!C76</f>
        <v>350122029</v>
      </c>
      <c r="E72" s="45">
        <f t="shared" si="13"/>
        <v>319</v>
      </c>
      <c r="F72" s="45">
        <f t="shared" si="1"/>
        <v>262</v>
      </c>
      <c r="G72" s="45">
        <f t="shared" si="2"/>
        <v>267</v>
      </c>
      <c r="H72" s="45">
        <f t="shared" si="3"/>
        <v>253</v>
      </c>
      <c r="I72" s="45">
        <f t="shared" si="4"/>
        <v>166</v>
      </c>
      <c r="J72" s="45">
        <f t="shared" si="5"/>
        <v>252</v>
      </c>
      <c r="K72" s="45">
        <f t="shared" si="6"/>
        <v>58</v>
      </c>
      <c r="L72" s="45">
        <f t="shared" si="7"/>
        <v>82</v>
      </c>
      <c r="M72" s="45">
        <f t="shared" si="8"/>
        <v>80</v>
      </c>
      <c r="N72" s="45">
        <f t="shared" si="9"/>
        <v>426</v>
      </c>
      <c r="O72" s="45">
        <f t="shared" si="10"/>
        <v>383</v>
      </c>
      <c r="P72" s="45">
        <f t="shared" si="11"/>
        <v>212</v>
      </c>
      <c r="Q72" s="45">
        <f t="shared" si="14"/>
        <v>2760</v>
      </c>
      <c r="R72" s="48"/>
    </row>
    <row r="73" spans="3:18" x14ac:dyDescent="0.2">
      <c r="C73" s="43" t="str">
        <f>VLOOKUP(D73,[4]DBASE!$B$3:$P$923,2,FALSE)</f>
        <v>Butoh</v>
      </c>
      <c r="D73" s="47">
        <f>[4]jan!C77</f>
        <v>350122028</v>
      </c>
      <c r="E73" s="45">
        <f t="shared" si="13"/>
        <v>269</v>
      </c>
      <c r="F73" s="45">
        <f t="shared" si="1"/>
        <v>326</v>
      </c>
      <c r="G73" s="45">
        <f t="shared" si="2"/>
        <v>417</v>
      </c>
      <c r="H73" s="45">
        <f t="shared" si="3"/>
        <v>119</v>
      </c>
      <c r="I73" s="45">
        <f t="shared" si="4"/>
        <v>199</v>
      </c>
      <c r="J73" s="45">
        <f t="shared" si="5"/>
        <v>128</v>
      </c>
      <c r="K73" s="45">
        <f t="shared" si="6"/>
        <v>14</v>
      </c>
      <c r="L73" s="45">
        <f t="shared" si="7"/>
        <v>39</v>
      </c>
      <c r="M73" s="45">
        <f t="shared" si="8"/>
        <v>40</v>
      </c>
      <c r="N73" s="45">
        <f t="shared" si="9"/>
        <v>453</v>
      </c>
      <c r="O73" s="45">
        <f t="shared" si="10"/>
        <v>671</v>
      </c>
      <c r="P73" s="45">
        <f t="shared" si="11"/>
        <v>265</v>
      </c>
      <c r="Q73" s="45">
        <f t="shared" si="14"/>
        <v>2940</v>
      </c>
      <c r="R73" s="48"/>
    </row>
    <row r="74" spans="3:18" x14ac:dyDescent="0.2">
      <c r="C74" s="43" t="str">
        <f>VLOOKUP(D74,[4]DBASE!$B$3:$P$923,2,FALSE)</f>
        <v>Kalitidu</v>
      </c>
      <c r="D74" s="47">
        <f>[4]jan!C78</f>
        <v>350122027</v>
      </c>
      <c r="E74" s="45">
        <f t="shared" si="13"/>
        <v>162</v>
      </c>
      <c r="F74" s="45">
        <f t="shared" si="1"/>
        <v>301</v>
      </c>
      <c r="G74" s="45">
        <f t="shared" si="2"/>
        <v>279.09999999999997</v>
      </c>
      <c r="H74" s="45">
        <f t="shared" si="3"/>
        <v>336.3</v>
      </c>
      <c r="I74" s="45">
        <f t="shared" si="4"/>
        <v>158.5</v>
      </c>
      <c r="J74" s="45">
        <f t="shared" si="5"/>
        <v>95.5</v>
      </c>
      <c r="K74" s="45">
        <f t="shared" si="6"/>
        <v>62.5</v>
      </c>
      <c r="L74" s="45">
        <f t="shared" si="7"/>
        <v>87.5</v>
      </c>
      <c r="M74" s="45">
        <f t="shared" si="8"/>
        <v>18.5</v>
      </c>
      <c r="N74" s="45">
        <f t="shared" si="9"/>
        <v>374.5</v>
      </c>
      <c r="O74" s="45">
        <f t="shared" si="10"/>
        <v>531</v>
      </c>
      <c r="P74" s="45">
        <f t="shared" si="11"/>
        <v>351</v>
      </c>
      <c r="Q74" s="45">
        <f t="shared" si="14"/>
        <v>2757.3999999999996</v>
      </c>
      <c r="R74" s="48"/>
    </row>
    <row r="75" spans="3:18" x14ac:dyDescent="0.2">
      <c r="C75" s="43" t="str">
        <f>VLOOKUP(D75,[4]DBASE!$B$3:$P$923,2,FALSE)</f>
        <v>Pajeng</v>
      </c>
      <c r="D75" s="47">
        <f>[4]jan!C79</f>
        <v>350122026</v>
      </c>
      <c r="E75" s="45">
        <f t="shared" si="13"/>
        <v>350</v>
      </c>
      <c r="F75" s="45">
        <f t="shared" si="1"/>
        <v>240</v>
      </c>
      <c r="G75" s="45">
        <f t="shared" si="2"/>
        <v>434.5</v>
      </c>
      <c r="H75" s="45">
        <f t="shared" si="3"/>
        <v>310</v>
      </c>
      <c r="I75" s="45">
        <f t="shared" si="4"/>
        <v>154</v>
      </c>
      <c r="J75" s="45">
        <f t="shared" si="5"/>
        <v>208</v>
      </c>
      <c r="K75" s="45">
        <f t="shared" si="6"/>
        <v>14</v>
      </c>
      <c r="L75" s="45">
        <f t="shared" si="7"/>
        <v>27.5</v>
      </c>
      <c r="M75" s="45">
        <f t="shared" si="8"/>
        <v>136.5</v>
      </c>
      <c r="N75" s="45">
        <f t="shared" si="9"/>
        <v>439.8</v>
      </c>
      <c r="O75" s="45">
        <f t="shared" si="10"/>
        <v>534.5</v>
      </c>
      <c r="P75" s="45">
        <f t="shared" si="11"/>
        <v>180.7</v>
      </c>
      <c r="Q75" s="45">
        <f t="shared" si="14"/>
        <v>3029.5</v>
      </c>
      <c r="R75" s="48"/>
    </row>
    <row r="76" spans="3:18" x14ac:dyDescent="0.2">
      <c r="C76" s="43" t="str">
        <f>VLOOKUP(D76,[4]DBASE!$B$3:$P$923,2,FALSE)</f>
        <v>Ngraho</v>
      </c>
      <c r="D76" s="47">
        <f>[4]jan!C80</f>
        <v>350122025</v>
      </c>
      <c r="E76" s="45">
        <f t="shared" si="13"/>
        <v>178</v>
      </c>
      <c r="F76" s="45">
        <f t="shared" si="1"/>
        <v>214</v>
      </c>
      <c r="G76" s="45">
        <f t="shared" si="2"/>
        <v>203</v>
      </c>
      <c r="H76" s="45">
        <f t="shared" si="3"/>
        <v>239</v>
      </c>
      <c r="I76" s="45">
        <f t="shared" si="4"/>
        <v>181</v>
      </c>
      <c r="J76" s="45">
        <f t="shared" si="5"/>
        <v>150</v>
      </c>
      <c r="K76" s="45">
        <f t="shared" si="6"/>
        <v>66</v>
      </c>
      <c r="L76" s="45">
        <f t="shared" si="7"/>
        <v>86</v>
      </c>
      <c r="M76" s="45">
        <f t="shared" si="8"/>
        <v>67</v>
      </c>
      <c r="N76" s="45">
        <f t="shared" si="9"/>
        <v>509</v>
      </c>
      <c r="O76" s="45">
        <f t="shared" si="10"/>
        <v>400</v>
      </c>
      <c r="P76" s="45">
        <f t="shared" si="11"/>
        <v>286</v>
      </c>
      <c r="Q76" s="45">
        <f t="shared" si="14"/>
        <v>2579</v>
      </c>
      <c r="R76" s="48"/>
    </row>
    <row r="77" spans="3:18" x14ac:dyDescent="0.2">
      <c r="C77" s="43" t="str">
        <f>VLOOKUP(D77,[4]DBASE!$B$3:$P$923,2,FALSE)</f>
        <v>Wonocolo</v>
      </c>
      <c r="D77" s="47">
        <f>[4]jan!C81</f>
        <v>350122024</v>
      </c>
      <c r="E77" s="45">
        <f t="shared" si="13"/>
        <v>147</v>
      </c>
      <c r="F77" s="45">
        <f t="shared" si="1"/>
        <v>293</v>
      </c>
      <c r="G77" s="45">
        <f t="shared" si="2"/>
        <v>341</v>
      </c>
      <c r="H77" s="45">
        <f t="shared" si="3"/>
        <v>257</v>
      </c>
      <c r="I77" s="45">
        <f t="shared" si="4"/>
        <v>128</v>
      </c>
      <c r="J77" s="45">
        <f t="shared" si="5"/>
        <v>138</v>
      </c>
      <c r="K77" s="45">
        <f t="shared" si="6"/>
        <v>51</v>
      </c>
      <c r="L77" s="45">
        <f t="shared" si="7"/>
        <v>133</v>
      </c>
      <c r="M77" s="45">
        <f t="shared" si="8"/>
        <v>76</v>
      </c>
      <c r="N77" s="45">
        <f t="shared" si="9"/>
        <v>432</v>
      </c>
      <c r="O77" s="45">
        <f t="shared" si="10"/>
        <v>495</v>
      </c>
      <c r="P77" s="45">
        <f t="shared" si="11"/>
        <v>212</v>
      </c>
      <c r="Q77" s="45">
        <f t="shared" si="14"/>
        <v>2703</v>
      </c>
      <c r="R77" s="48"/>
    </row>
    <row r="78" spans="3:18" x14ac:dyDescent="0.2">
      <c r="C78" s="43" t="str">
        <f>VLOOKUP(D78,[4]DBASE!$B$3:$P$923,2,FALSE)</f>
        <v>Tretes/pacal</v>
      </c>
      <c r="D78" s="47">
        <f>[4]jan!C82</f>
        <v>350122023</v>
      </c>
      <c r="E78" s="45">
        <f t="shared" si="13"/>
        <v>276.40000000000003</v>
      </c>
      <c r="F78" s="45">
        <f t="shared" si="1"/>
        <v>222.20000000000002</v>
      </c>
      <c r="G78" s="45">
        <f t="shared" si="2"/>
        <v>396.2</v>
      </c>
      <c r="H78" s="45">
        <f t="shared" si="3"/>
        <v>269.7</v>
      </c>
      <c r="I78" s="45">
        <f t="shared" si="4"/>
        <v>198.5</v>
      </c>
      <c r="J78" s="45">
        <f t="shared" si="5"/>
        <v>138.4</v>
      </c>
      <c r="K78" s="45">
        <f t="shared" si="6"/>
        <v>73</v>
      </c>
      <c r="L78" s="45">
        <f t="shared" si="7"/>
        <v>15.6</v>
      </c>
      <c r="M78" s="45">
        <f t="shared" si="8"/>
        <v>40.599999999999994</v>
      </c>
      <c r="N78" s="45">
        <f t="shared" si="9"/>
        <v>299.29999999999995</v>
      </c>
      <c r="O78" s="45">
        <f t="shared" si="10"/>
        <v>497.7</v>
      </c>
      <c r="P78" s="45">
        <f t="shared" si="11"/>
        <v>101.00000000000003</v>
      </c>
      <c r="Q78" s="45">
        <f t="shared" si="14"/>
        <v>2528.6</v>
      </c>
      <c r="R78" s="48"/>
    </row>
    <row r="79" spans="3:18" x14ac:dyDescent="0.2">
      <c r="C79" s="43" t="str">
        <f>VLOOKUP(D79,[4]DBASE!$B$3:$P$923,2,FALSE)</f>
        <v>Sumberejo</v>
      </c>
      <c r="D79" s="47">
        <f>[4]jan!C83</f>
        <v>350122022</v>
      </c>
      <c r="E79" s="45">
        <f t="shared" si="13"/>
        <v>238</v>
      </c>
      <c r="F79" s="45">
        <f t="shared" si="1"/>
        <v>276</v>
      </c>
      <c r="G79" s="45">
        <f t="shared" si="2"/>
        <v>332.5</v>
      </c>
      <c r="H79" s="45">
        <f t="shared" si="3"/>
        <v>135.10000000000002</v>
      </c>
      <c r="I79" s="45">
        <f t="shared" si="4"/>
        <v>117.8</v>
      </c>
      <c r="J79" s="45">
        <f t="shared" si="5"/>
        <v>143.1</v>
      </c>
      <c r="K79" s="45">
        <f t="shared" si="6"/>
        <v>37.5</v>
      </c>
      <c r="L79" s="45">
        <f t="shared" si="7"/>
        <v>86</v>
      </c>
      <c r="M79" s="45">
        <f t="shared" si="8"/>
        <v>83</v>
      </c>
      <c r="N79" s="45">
        <f t="shared" si="9"/>
        <v>227.4</v>
      </c>
      <c r="O79" s="45">
        <f t="shared" si="10"/>
        <v>263</v>
      </c>
      <c r="P79" s="45">
        <f t="shared" si="11"/>
        <v>94.5</v>
      </c>
      <c r="Q79" s="45">
        <f t="shared" si="14"/>
        <v>2033.9</v>
      </c>
      <c r="R79" s="48"/>
    </row>
    <row r="80" spans="3:18" x14ac:dyDescent="0.2">
      <c r="C80" s="43" t="str">
        <f>VLOOKUP(D80,[4]DBASE!$B$3:$P$923,2,FALSE)</f>
        <v>Sukun</v>
      </c>
      <c r="D80" s="47">
        <f>[4]jan!C84</f>
        <v>350122021</v>
      </c>
      <c r="E80" s="45">
        <f t="shared" si="13"/>
        <v>260.5</v>
      </c>
      <c r="F80" s="45">
        <f t="shared" si="1"/>
        <v>314</v>
      </c>
      <c r="G80" s="45">
        <f t="shared" si="2"/>
        <v>430</v>
      </c>
      <c r="H80" s="45">
        <f t="shared" si="3"/>
        <v>156</v>
      </c>
      <c r="I80" s="45">
        <f t="shared" si="4"/>
        <v>163</v>
      </c>
      <c r="J80" s="45">
        <f t="shared" si="5"/>
        <v>136</v>
      </c>
      <c r="K80" s="45">
        <f t="shared" si="6"/>
        <v>27.5</v>
      </c>
      <c r="L80" s="45">
        <f t="shared" si="7"/>
        <v>83.5</v>
      </c>
      <c r="M80" s="45">
        <f t="shared" si="8"/>
        <v>62.5</v>
      </c>
      <c r="N80" s="45">
        <f t="shared" si="9"/>
        <v>309</v>
      </c>
      <c r="O80" s="45">
        <f t="shared" si="10"/>
        <v>544</v>
      </c>
      <c r="P80" s="45">
        <f t="shared" si="11"/>
        <v>235</v>
      </c>
      <c r="Q80" s="45">
        <f t="shared" si="14"/>
        <v>2721</v>
      </c>
      <c r="R80" s="48"/>
    </row>
    <row r="81" spans="3:18" x14ac:dyDescent="0.2">
      <c r="C81" s="43" t="str">
        <f>VLOOKUP(D81,[4]DBASE!$B$3:$P$923,2,FALSE)</f>
        <v>Sugihan</v>
      </c>
      <c r="D81" s="47">
        <f>[4]jan!C85</f>
        <v>350122020</v>
      </c>
      <c r="E81" s="45">
        <f t="shared" si="13"/>
        <v>347</v>
      </c>
      <c r="F81" s="45">
        <f t="shared" si="1"/>
        <v>304</v>
      </c>
      <c r="G81" s="45">
        <f t="shared" si="2"/>
        <v>329</v>
      </c>
      <c r="H81" s="45">
        <f t="shared" si="3"/>
        <v>118</v>
      </c>
      <c r="I81" s="45">
        <f t="shared" si="4"/>
        <v>184</v>
      </c>
      <c r="J81" s="45">
        <f t="shared" si="5"/>
        <v>111</v>
      </c>
      <c r="K81" s="45">
        <f t="shared" si="6"/>
        <v>46</v>
      </c>
      <c r="L81" s="45">
        <f t="shared" si="7"/>
        <v>42</v>
      </c>
      <c r="M81" s="45">
        <f t="shared" si="8"/>
        <v>79</v>
      </c>
      <c r="N81" s="45">
        <f t="shared" si="9"/>
        <v>271</v>
      </c>
      <c r="O81" s="45">
        <f t="shared" si="10"/>
        <v>396</v>
      </c>
      <c r="P81" s="45">
        <f t="shared" si="11"/>
        <v>91</v>
      </c>
      <c r="Q81" s="45">
        <f t="shared" si="14"/>
        <v>2318</v>
      </c>
      <c r="R81" s="48"/>
    </row>
    <row r="82" spans="3:18" x14ac:dyDescent="0.2">
      <c r="C82" s="43" t="str">
        <f>VLOOKUP(D82,[4]DBASE!$B$3:$P$923,2,FALSE)</f>
        <v>Setren</v>
      </c>
      <c r="D82" s="47">
        <f>[4]jan!C86</f>
        <v>350122019</v>
      </c>
      <c r="E82" s="45">
        <f t="shared" si="13"/>
        <v>219.5</v>
      </c>
      <c r="F82" s="45">
        <f t="shared" si="1"/>
        <v>312</v>
      </c>
      <c r="G82" s="45">
        <f t="shared" si="2"/>
        <v>350.5</v>
      </c>
      <c r="H82" s="45">
        <f t="shared" si="3"/>
        <v>187</v>
      </c>
      <c r="I82" s="45">
        <f t="shared" si="4"/>
        <v>134</v>
      </c>
      <c r="J82" s="45">
        <f t="shared" si="5"/>
        <v>186.5</v>
      </c>
      <c r="K82" s="45">
        <f t="shared" si="6"/>
        <v>29</v>
      </c>
      <c r="L82" s="45">
        <f t="shared" si="7"/>
        <v>115</v>
      </c>
      <c r="M82" s="45">
        <f t="shared" si="8"/>
        <v>34.5</v>
      </c>
      <c r="N82" s="45">
        <f t="shared" si="9"/>
        <v>311</v>
      </c>
      <c r="O82" s="45">
        <f t="shared" si="10"/>
        <v>451</v>
      </c>
      <c r="P82" s="45">
        <f t="shared" si="11"/>
        <v>283.5</v>
      </c>
      <c r="Q82" s="45">
        <f t="shared" si="14"/>
        <v>2613.5</v>
      </c>
      <c r="R82" s="48"/>
    </row>
    <row r="83" spans="3:18" x14ac:dyDescent="0.2">
      <c r="C83" s="43" t="str">
        <f>VLOOKUP(D83,[4]DBASE!$B$3:$P$923,2,FALSE)</f>
        <v>Panjang</v>
      </c>
      <c r="D83" s="47">
        <f>[4]jan!C87</f>
        <v>350122018</v>
      </c>
      <c r="E83" s="45">
        <f t="shared" si="13"/>
        <v>364</v>
      </c>
      <c r="F83" s="45">
        <f t="shared" si="1"/>
        <v>259</v>
      </c>
      <c r="G83" s="45">
        <f t="shared" si="2"/>
        <v>395</v>
      </c>
      <c r="H83" s="45">
        <f t="shared" si="3"/>
        <v>239</v>
      </c>
      <c r="I83" s="45">
        <f t="shared" si="4"/>
        <v>177</v>
      </c>
      <c r="J83" s="45">
        <f t="shared" si="5"/>
        <v>187</v>
      </c>
      <c r="K83" s="45">
        <f t="shared" si="6"/>
        <v>14</v>
      </c>
      <c r="L83" s="45">
        <f t="shared" si="7"/>
        <v>94</v>
      </c>
      <c r="M83" s="45">
        <f t="shared" si="8"/>
        <v>74</v>
      </c>
      <c r="N83" s="45">
        <f t="shared" si="9"/>
        <v>327</v>
      </c>
      <c r="O83" s="45">
        <f t="shared" si="10"/>
        <v>373</v>
      </c>
      <c r="P83" s="45">
        <f t="shared" si="11"/>
        <v>159</v>
      </c>
      <c r="Q83" s="45">
        <f t="shared" si="14"/>
        <v>2662</v>
      </c>
      <c r="R83" s="48"/>
    </row>
    <row r="84" spans="3:18" x14ac:dyDescent="0.2">
      <c r="C84" s="43" t="str">
        <f>VLOOKUP(D84,[4]DBASE!$B$3:$P$923,2,FALSE)</f>
        <v>Deling</v>
      </c>
      <c r="D84" s="47">
        <f>[4]jan!C88</f>
        <v>350122017</v>
      </c>
      <c r="E84" s="45">
        <f t="shared" si="13"/>
        <v>585</v>
      </c>
      <c r="F84" s="45">
        <f t="shared" si="1"/>
        <v>429</v>
      </c>
      <c r="G84" s="45">
        <f t="shared" si="2"/>
        <v>757</v>
      </c>
      <c r="H84" s="45">
        <f t="shared" si="3"/>
        <v>222</v>
      </c>
      <c r="I84" s="45">
        <f t="shared" si="4"/>
        <v>307</v>
      </c>
      <c r="J84" s="45">
        <f t="shared" si="5"/>
        <v>162</v>
      </c>
      <c r="K84" s="45">
        <f t="shared" si="6"/>
        <v>120</v>
      </c>
      <c r="L84" s="45">
        <f t="shared" si="7"/>
        <v>70</v>
      </c>
      <c r="M84" s="45">
        <f t="shared" si="8"/>
        <v>74</v>
      </c>
      <c r="N84" s="45">
        <f t="shared" si="9"/>
        <v>469</v>
      </c>
      <c r="O84" s="45">
        <f t="shared" si="10"/>
        <v>1003</v>
      </c>
      <c r="P84" s="45">
        <f t="shared" si="11"/>
        <v>389</v>
      </c>
      <c r="Q84" s="45">
        <f t="shared" si="14"/>
        <v>4587</v>
      </c>
      <c r="R84" s="48"/>
    </row>
    <row r="85" spans="3:18" x14ac:dyDescent="0.2">
      <c r="C85" s="43" t="str">
        <f>VLOOKUP(D85,[4]DBASE!$B$3:$P$923,2,FALSE)</f>
        <v>Mekuris</v>
      </c>
      <c r="D85" s="47">
        <f>[4]jan!C89</f>
        <v>350122016</v>
      </c>
      <c r="E85" s="45">
        <f t="shared" si="13"/>
        <v>200.5</v>
      </c>
      <c r="F85" s="45">
        <f t="shared" si="1"/>
        <v>299</v>
      </c>
      <c r="G85" s="45">
        <f t="shared" si="2"/>
        <v>506.5</v>
      </c>
      <c r="H85" s="45">
        <f t="shared" si="3"/>
        <v>223</v>
      </c>
      <c r="I85" s="45">
        <f t="shared" si="4"/>
        <v>103.5</v>
      </c>
      <c r="J85" s="45">
        <f t="shared" si="5"/>
        <v>154</v>
      </c>
      <c r="K85" s="45">
        <f t="shared" si="6"/>
        <v>51</v>
      </c>
      <c r="L85" s="45">
        <f t="shared" si="7"/>
        <v>97</v>
      </c>
      <c r="M85" s="45">
        <f t="shared" si="8"/>
        <v>102</v>
      </c>
      <c r="N85" s="45">
        <f t="shared" si="9"/>
        <v>493</v>
      </c>
      <c r="O85" s="45">
        <f t="shared" si="10"/>
        <v>278</v>
      </c>
      <c r="P85" s="45">
        <f t="shared" si="11"/>
        <v>138</v>
      </c>
      <c r="Q85" s="45">
        <f t="shared" si="14"/>
        <v>2645.5</v>
      </c>
      <c r="R85" s="48"/>
    </row>
    <row r="86" spans="3:18" x14ac:dyDescent="0.2">
      <c r="C86" s="43" t="str">
        <f>VLOOKUP(D86,[4]DBASE!$B$3:$P$923,2,FALSE)</f>
        <v>Leran</v>
      </c>
      <c r="D86" s="47">
        <f>[4]jan!C90</f>
        <v>350122015</v>
      </c>
      <c r="E86" s="45">
        <f t="shared" si="13"/>
        <v>126</v>
      </c>
      <c r="F86" s="45">
        <f t="shared" si="1"/>
        <v>409</v>
      </c>
      <c r="G86" s="45">
        <f t="shared" si="2"/>
        <v>326</v>
      </c>
      <c r="H86" s="45">
        <f t="shared" si="3"/>
        <v>212</v>
      </c>
      <c r="I86" s="45">
        <f t="shared" si="4"/>
        <v>354</v>
      </c>
      <c r="J86" s="45">
        <f t="shared" si="5"/>
        <v>119</v>
      </c>
      <c r="K86" s="45">
        <f t="shared" si="6"/>
        <v>33</v>
      </c>
      <c r="L86" s="45">
        <f t="shared" si="7"/>
        <v>104</v>
      </c>
      <c r="M86" s="45">
        <f t="shared" si="8"/>
        <v>48</v>
      </c>
      <c r="N86" s="45">
        <f t="shared" si="9"/>
        <v>349</v>
      </c>
      <c r="O86" s="45">
        <f t="shared" si="10"/>
        <v>519</v>
      </c>
      <c r="P86" s="45">
        <f t="shared" si="11"/>
        <v>248</v>
      </c>
      <c r="Q86" s="45">
        <f t="shared" si="14"/>
        <v>2847</v>
      </c>
      <c r="R86" s="48"/>
    </row>
    <row r="87" spans="3:18" x14ac:dyDescent="0.2">
      <c r="C87" s="43" t="str">
        <f>VLOOKUP(D87,[4]DBASE!$B$3:$P$923,2,FALSE)</f>
        <v>Klepek</v>
      </c>
      <c r="D87" s="47">
        <f>[4]jan!C91</f>
        <v>350122014</v>
      </c>
      <c r="E87" s="45">
        <f t="shared" si="13"/>
        <v>313</v>
      </c>
      <c r="F87" s="45">
        <f t="shared" si="1"/>
        <v>355</v>
      </c>
      <c r="G87" s="45">
        <f t="shared" si="2"/>
        <v>457</v>
      </c>
      <c r="H87" s="45">
        <f t="shared" si="3"/>
        <v>322</v>
      </c>
      <c r="I87" s="45">
        <f t="shared" si="4"/>
        <v>169</v>
      </c>
      <c r="J87" s="45">
        <f t="shared" si="5"/>
        <v>129</v>
      </c>
      <c r="K87" s="45">
        <f t="shared" si="6"/>
        <v>32</v>
      </c>
      <c r="L87" s="45">
        <f t="shared" si="7"/>
        <v>67</v>
      </c>
      <c r="M87" s="45">
        <f t="shared" si="8"/>
        <v>104</v>
      </c>
      <c r="N87" s="45">
        <f t="shared" si="9"/>
        <v>353</v>
      </c>
      <c r="O87" s="45">
        <f t="shared" si="10"/>
        <v>375</v>
      </c>
      <c r="P87" s="45">
        <f t="shared" si="11"/>
        <v>154</v>
      </c>
      <c r="Q87" s="45">
        <f t="shared" si="14"/>
        <v>2830</v>
      </c>
      <c r="R87" s="48"/>
    </row>
    <row r="88" spans="3:18" x14ac:dyDescent="0.2">
      <c r="C88" s="43" t="str">
        <f>VLOOKUP(D88,[4]DBASE!$B$3:$P$923,2,FALSE)</f>
        <v>Kerjo</v>
      </c>
      <c r="D88" s="47">
        <f>[4]jan!C92</f>
        <v>350122013</v>
      </c>
      <c r="E88" s="45">
        <f t="shared" si="13"/>
        <v>258</v>
      </c>
      <c r="F88" s="45">
        <f t="shared" si="1"/>
        <v>212</v>
      </c>
      <c r="G88" s="45">
        <f t="shared" si="2"/>
        <v>443</v>
      </c>
      <c r="H88" s="45">
        <f t="shared" si="3"/>
        <v>260</v>
      </c>
      <c r="I88" s="45">
        <f t="shared" si="4"/>
        <v>230</v>
      </c>
      <c r="J88" s="45">
        <f t="shared" si="5"/>
        <v>81</v>
      </c>
      <c r="K88" s="45">
        <f t="shared" si="6"/>
        <v>73</v>
      </c>
      <c r="L88" s="45">
        <f t="shared" si="7"/>
        <v>110</v>
      </c>
      <c r="M88" s="45">
        <f t="shared" si="8"/>
        <v>92</v>
      </c>
      <c r="N88" s="45">
        <f t="shared" si="9"/>
        <v>363</v>
      </c>
      <c r="O88" s="45">
        <f t="shared" si="10"/>
        <v>316</v>
      </c>
      <c r="P88" s="45">
        <f t="shared" si="11"/>
        <v>194</v>
      </c>
      <c r="Q88" s="45">
        <f t="shared" si="14"/>
        <v>2632</v>
      </c>
      <c r="R88" s="48"/>
    </row>
    <row r="89" spans="3:18" x14ac:dyDescent="0.2">
      <c r="C89" s="43" t="str">
        <f>VLOOKUP(D89,[4]DBASE!$B$3:$P$923,2,FALSE)</f>
        <v>Kendung</v>
      </c>
      <c r="D89" s="47">
        <f>[4]jan!C93</f>
        <v>350122012</v>
      </c>
      <c r="E89" s="45">
        <f t="shared" si="13"/>
        <v>386</v>
      </c>
      <c r="F89" s="45">
        <f t="shared" si="1"/>
        <v>130</v>
      </c>
      <c r="G89" s="45">
        <f t="shared" si="2"/>
        <v>439</v>
      </c>
      <c r="H89" s="45">
        <f t="shared" si="3"/>
        <v>346</v>
      </c>
      <c r="I89" s="45">
        <f t="shared" si="4"/>
        <v>257</v>
      </c>
      <c r="J89" s="45">
        <f t="shared" si="5"/>
        <v>144</v>
      </c>
      <c r="K89" s="45">
        <f t="shared" si="6"/>
        <v>102</v>
      </c>
      <c r="L89" s="45">
        <f t="shared" si="7"/>
        <v>134</v>
      </c>
      <c r="M89" s="45">
        <f t="shared" si="8"/>
        <v>76</v>
      </c>
      <c r="N89" s="45">
        <f t="shared" si="9"/>
        <v>409.75</v>
      </c>
      <c r="O89" s="45">
        <f t="shared" si="10"/>
        <v>447</v>
      </c>
      <c r="P89" s="45">
        <f t="shared" si="11"/>
        <v>303</v>
      </c>
      <c r="Q89" s="45">
        <f t="shared" si="14"/>
        <v>3173.75</v>
      </c>
      <c r="R89" s="48"/>
    </row>
    <row r="90" spans="3:18" x14ac:dyDescent="0.2">
      <c r="C90" s="43" t="str">
        <f>VLOOKUP(D90,[4]DBASE!$B$3:$P$923,2,FALSE)</f>
        <v>Karangnongko</v>
      </c>
      <c r="D90" s="47">
        <f>[4]jan!C94</f>
        <v>350122011</v>
      </c>
      <c r="E90" s="45">
        <f t="shared" si="13"/>
        <v>366.5</v>
      </c>
      <c r="F90" s="45">
        <f t="shared" si="1"/>
        <v>106.5</v>
      </c>
      <c r="G90" s="45">
        <f t="shared" si="2"/>
        <v>221.5</v>
      </c>
      <c r="H90" s="45">
        <f t="shared" si="3"/>
        <v>304.5</v>
      </c>
      <c r="I90" s="45">
        <f t="shared" si="4"/>
        <v>112.5</v>
      </c>
      <c r="J90" s="45">
        <f t="shared" si="5"/>
        <v>247</v>
      </c>
      <c r="K90" s="45">
        <f t="shared" si="6"/>
        <v>76</v>
      </c>
      <c r="L90" s="45">
        <f t="shared" si="7"/>
        <v>94</v>
      </c>
      <c r="M90" s="45">
        <f t="shared" si="8"/>
        <v>75</v>
      </c>
      <c r="N90" s="45">
        <f t="shared" si="9"/>
        <v>759</v>
      </c>
      <c r="O90" s="45">
        <f t="shared" si="10"/>
        <v>410</v>
      </c>
      <c r="P90" s="45">
        <f t="shared" si="11"/>
        <v>364</v>
      </c>
      <c r="Q90" s="45">
        <f t="shared" si="14"/>
        <v>3136.5</v>
      </c>
      <c r="R90" s="48"/>
    </row>
    <row r="91" spans="3:18" x14ac:dyDescent="0.2">
      <c r="C91" s="43" t="str">
        <f>VLOOKUP(D91,[4]DBASE!$B$3:$P$923,2,FALSE)</f>
        <v>Kapas</v>
      </c>
      <c r="D91" s="47">
        <f>[4]jan!C95</f>
        <v>350122010</v>
      </c>
      <c r="E91" s="45">
        <f t="shared" si="13"/>
        <v>230</v>
      </c>
      <c r="F91" s="45">
        <f t="shared" si="1"/>
        <v>312</v>
      </c>
      <c r="G91" s="45">
        <f t="shared" si="2"/>
        <v>320.5</v>
      </c>
      <c r="H91" s="45">
        <f t="shared" si="3"/>
        <v>238</v>
      </c>
      <c r="I91" s="45">
        <f t="shared" si="4"/>
        <v>179</v>
      </c>
      <c r="J91" s="45">
        <f t="shared" si="5"/>
        <v>161</v>
      </c>
      <c r="K91" s="45">
        <f t="shared" si="6"/>
        <v>30</v>
      </c>
      <c r="L91" s="45">
        <f t="shared" si="7"/>
        <v>128</v>
      </c>
      <c r="M91" s="45">
        <f t="shared" si="8"/>
        <v>85</v>
      </c>
      <c r="N91" s="45">
        <f t="shared" si="9"/>
        <v>423</v>
      </c>
      <c r="O91" s="45">
        <f t="shared" si="10"/>
        <v>400</v>
      </c>
      <c r="P91" s="45">
        <f t="shared" si="11"/>
        <v>132</v>
      </c>
      <c r="Q91" s="45">
        <f t="shared" si="14"/>
        <v>2638.5</v>
      </c>
      <c r="R91" s="48"/>
    </row>
    <row r="92" spans="3:18" x14ac:dyDescent="0.2">
      <c r="C92" s="43" t="str">
        <f>VLOOKUP(D92,[4]DBASE!$B$3:$P$923,2,FALSE)</f>
        <v>Kanor</v>
      </c>
      <c r="D92" s="47">
        <f>[4]jan!C96</f>
        <v>350122009</v>
      </c>
      <c r="E92" s="45">
        <f t="shared" si="13"/>
        <v>288</v>
      </c>
      <c r="F92" s="45">
        <f t="shared" si="1"/>
        <v>171</v>
      </c>
      <c r="G92" s="45">
        <f t="shared" si="2"/>
        <v>260</v>
      </c>
      <c r="H92" s="45">
        <f t="shared" si="3"/>
        <v>200</v>
      </c>
      <c r="I92" s="45">
        <f t="shared" si="4"/>
        <v>85</v>
      </c>
      <c r="J92" s="45">
        <f t="shared" si="5"/>
        <v>131</v>
      </c>
      <c r="K92" s="45">
        <f t="shared" si="6"/>
        <v>87</v>
      </c>
      <c r="L92" s="45">
        <f t="shared" si="7"/>
        <v>90</v>
      </c>
      <c r="M92" s="45">
        <f t="shared" si="8"/>
        <v>105</v>
      </c>
      <c r="N92" s="45">
        <f t="shared" si="9"/>
        <v>376.5</v>
      </c>
      <c r="O92" s="45">
        <f t="shared" si="10"/>
        <v>219</v>
      </c>
      <c r="P92" s="45">
        <f t="shared" si="11"/>
        <v>150</v>
      </c>
      <c r="Q92" s="45">
        <f t="shared" si="14"/>
        <v>2162.5</v>
      </c>
      <c r="R92" s="48"/>
    </row>
    <row r="93" spans="3:18" x14ac:dyDescent="0.2">
      <c r="C93" s="43" t="str">
        <f>VLOOKUP(D93,[4]DBASE!$B$3:$P$923,2,FALSE)</f>
        <v>Jatiblimbing</v>
      </c>
      <c r="D93" s="47">
        <f>[4]jan!C97</f>
        <v>350122008</v>
      </c>
      <c r="E93" s="45">
        <f t="shared" si="13"/>
        <v>426</v>
      </c>
      <c r="F93" s="45">
        <f t="shared" si="1"/>
        <v>324</v>
      </c>
      <c r="G93" s="45">
        <f t="shared" si="2"/>
        <v>283</v>
      </c>
      <c r="H93" s="45">
        <f t="shared" si="3"/>
        <v>173</v>
      </c>
      <c r="I93" s="45">
        <f t="shared" si="4"/>
        <v>162.5</v>
      </c>
      <c r="J93" s="45">
        <f t="shared" si="5"/>
        <v>69</v>
      </c>
      <c r="K93" s="45">
        <f t="shared" si="6"/>
        <v>49</v>
      </c>
      <c r="L93" s="45">
        <f t="shared" si="7"/>
        <v>29</v>
      </c>
      <c r="M93" s="45">
        <f t="shared" si="8"/>
        <v>97.5</v>
      </c>
      <c r="N93" s="45">
        <f t="shared" si="9"/>
        <v>355</v>
      </c>
      <c r="O93" s="45">
        <f t="shared" si="10"/>
        <v>420</v>
      </c>
      <c r="P93" s="45">
        <f t="shared" si="11"/>
        <v>100</v>
      </c>
      <c r="Q93" s="45">
        <f t="shared" si="14"/>
        <v>2488</v>
      </c>
      <c r="R93" s="48"/>
    </row>
    <row r="94" spans="3:18" x14ac:dyDescent="0.2">
      <c r="C94" s="43" t="str">
        <f>VLOOKUP(D94,[4]DBASE!$B$3:$P$923,2,FALSE)</f>
        <v>Gondang BJNG</v>
      </c>
      <c r="D94" s="47">
        <f>[4]jan!C98</f>
        <v>350122007</v>
      </c>
      <c r="E94" s="45">
        <f t="shared" si="13"/>
        <v>194</v>
      </c>
      <c r="F94" s="45">
        <f t="shared" si="1"/>
        <v>250</v>
      </c>
      <c r="G94" s="45">
        <f t="shared" si="2"/>
        <v>381</v>
      </c>
      <c r="H94" s="45">
        <f t="shared" si="3"/>
        <v>214</v>
      </c>
      <c r="I94" s="45">
        <f t="shared" si="4"/>
        <v>175</v>
      </c>
      <c r="J94" s="45">
        <f t="shared" si="5"/>
        <v>142</v>
      </c>
      <c r="K94" s="45">
        <f t="shared" si="6"/>
        <v>36</v>
      </c>
      <c r="L94" s="45">
        <f t="shared" si="7"/>
        <v>26</v>
      </c>
      <c r="M94" s="45">
        <f t="shared" si="8"/>
        <v>85</v>
      </c>
      <c r="N94" s="45">
        <f t="shared" si="9"/>
        <v>353</v>
      </c>
      <c r="O94" s="45">
        <f t="shared" si="10"/>
        <v>542</v>
      </c>
      <c r="P94" s="45">
        <f t="shared" si="11"/>
        <v>170</v>
      </c>
      <c r="Q94" s="45">
        <f t="shared" si="14"/>
        <v>2568</v>
      </c>
      <c r="R94" s="48"/>
    </row>
    <row r="95" spans="3:18" x14ac:dyDescent="0.2">
      <c r="C95" s="43" t="str">
        <f>VLOOKUP(D95,[4]DBASE!$B$3:$P$923,2,FALSE)</f>
        <v>Gangseng</v>
      </c>
      <c r="D95" s="47">
        <f>[4]jan!C99</f>
        <v>350122006</v>
      </c>
      <c r="E95" s="45">
        <f t="shared" si="13"/>
        <v>397</v>
      </c>
      <c r="F95" s="45">
        <f t="shared" si="1"/>
        <v>201</v>
      </c>
      <c r="G95" s="45">
        <f t="shared" si="2"/>
        <v>356</v>
      </c>
      <c r="H95" s="45">
        <f t="shared" si="3"/>
        <v>275</v>
      </c>
      <c r="I95" s="45">
        <f t="shared" si="4"/>
        <v>186</v>
      </c>
      <c r="J95" s="45">
        <f t="shared" si="5"/>
        <v>119</v>
      </c>
      <c r="K95" s="45">
        <f t="shared" si="6"/>
        <v>150</v>
      </c>
      <c r="L95" s="45">
        <f t="shared" si="7"/>
        <v>51</v>
      </c>
      <c r="M95" s="45">
        <f t="shared" si="8"/>
        <v>62</v>
      </c>
      <c r="N95" s="45">
        <f t="shared" si="9"/>
        <v>476</v>
      </c>
      <c r="O95" s="45">
        <f t="shared" si="10"/>
        <v>577</v>
      </c>
      <c r="P95" s="45">
        <f t="shared" si="11"/>
        <v>184</v>
      </c>
      <c r="Q95" s="45">
        <f t="shared" si="14"/>
        <v>3034</v>
      </c>
      <c r="R95" s="48"/>
    </row>
    <row r="96" spans="3:18" x14ac:dyDescent="0.2">
      <c r="C96" s="43" t="str">
        <f>VLOOKUP(D96,[4]DBASE!$B$3:$P$923,2,FALSE)</f>
        <v>Dander</v>
      </c>
      <c r="D96" s="47">
        <f>[4]jan!C100</f>
        <v>350122005</v>
      </c>
      <c r="E96" s="45">
        <f t="shared" si="13"/>
        <v>174</v>
      </c>
      <c r="F96" s="45">
        <f t="shared" si="1"/>
        <v>444</v>
      </c>
      <c r="G96" s="45">
        <f t="shared" si="2"/>
        <v>369</v>
      </c>
      <c r="H96" s="45">
        <f t="shared" si="3"/>
        <v>247</v>
      </c>
      <c r="I96" s="45">
        <f t="shared" si="4"/>
        <v>214</v>
      </c>
      <c r="J96" s="45">
        <f t="shared" si="5"/>
        <v>118</v>
      </c>
      <c r="K96" s="45">
        <f t="shared" si="6"/>
        <v>62</v>
      </c>
      <c r="L96" s="45">
        <f t="shared" si="7"/>
        <v>29</v>
      </c>
      <c r="M96" s="45">
        <f t="shared" si="8"/>
        <v>71</v>
      </c>
      <c r="N96" s="45">
        <f t="shared" si="9"/>
        <v>420</v>
      </c>
      <c r="O96" s="45">
        <f t="shared" si="10"/>
        <v>455</v>
      </c>
      <c r="P96" s="45">
        <f t="shared" si="11"/>
        <v>158</v>
      </c>
      <c r="Q96" s="45">
        <f t="shared" si="14"/>
        <v>2761</v>
      </c>
      <c r="R96" s="48"/>
    </row>
    <row r="97" spans="3:18" x14ac:dyDescent="0.2">
      <c r="C97" s="43" t="str">
        <f>VLOOKUP(D97,[4]DBASE!$B$3:$P$923,2,FALSE)</f>
        <v>Cawak / Simorejo</v>
      </c>
      <c r="D97" s="47">
        <f>[4]jan!C101</f>
        <v>350122004</v>
      </c>
      <c r="E97" s="45">
        <f t="shared" si="13"/>
        <v>266</v>
      </c>
      <c r="F97" s="45">
        <f t="shared" si="1"/>
        <v>212</v>
      </c>
      <c r="G97" s="45">
        <f t="shared" si="2"/>
        <v>392</v>
      </c>
      <c r="H97" s="45">
        <f t="shared" si="3"/>
        <v>219</v>
      </c>
      <c r="I97" s="45">
        <f t="shared" si="4"/>
        <v>210</v>
      </c>
      <c r="J97" s="45">
        <f t="shared" si="5"/>
        <v>143</v>
      </c>
      <c r="K97" s="45">
        <f t="shared" si="6"/>
        <v>66</v>
      </c>
      <c r="L97" s="45">
        <f t="shared" si="7"/>
        <v>125</v>
      </c>
      <c r="M97" s="45">
        <f t="shared" si="8"/>
        <v>56</v>
      </c>
      <c r="N97" s="45">
        <f t="shared" si="9"/>
        <v>360</v>
      </c>
      <c r="O97" s="45">
        <f t="shared" si="10"/>
        <v>318</v>
      </c>
      <c r="P97" s="45">
        <f t="shared" si="11"/>
        <v>145</v>
      </c>
      <c r="Q97" s="45">
        <f t="shared" si="14"/>
        <v>2512</v>
      </c>
      <c r="R97" s="48"/>
    </row>
    <row r="98" spans="3:18" x14ac:dyDescent="0.2">
      <c r="C98" s="43" t="str">
        <f>VLOOKUP(D98,[4]DBASE!$B$3:$P$923,2,FALSE)</f>
        <v>Bojonegoro</v>
      </c>
      <c r="D98" s="47">
        <f>[4]jan!C102</f>
        <v>350122003</v>
      </c>
      <c r="E98" s="45">
        <f t="shared" si="13"/>
        <v>116</v>
      </c>
      <c r="F98" s="45">
        <f t="shared" si="1"/>
        <v>228</v>
      </c>
      <c r="G98" s="45">
        <f t="shared" si="2"/>
        <v>233</v>
      </c>
      <c r="H98" s="45">
        <f t="shared" si="3"/>
        <v>110</v>
      </c>
      <c r="I98" s="45">
        <f t="shared" si="4"/>
        <v>276</v>
      </c>
      <c r="J98" s="45">
        <f t="shared" si="5"/>
        <v>112</v>
      </c>
      <c r="K98" s="45">
        <f t="shared" si="6"/>
        <v>31</v>
      </c>
      <c r="L98" s="45">
        <f t="shared" si="7"/>
        <v>18</v>
      </c>
      <c r="M98" s="45">
        <f t="shared" si="8"/>
        <v>12</v>
      </c>
      <c r="N98" s="45">
        <f t="shared" si="9"/>
        <v>343</v>
      </c>
      <c r="O98" s="45">
        <f t="shared" si="10"/>
        <v>484</v>
      </c>
      <c r="P98" s="45">
        <f t="shared" si="11"/>
        <v>294</v>
      </c>
      <c r="Q98" s="45">
        <f t="shared" si="14"/>
        <v>2257</v>
      </c>
      <c r="R98" s="48"/>
    </row>
    <row r="99" spans="3:18" x14ac:dyDescent="0.2">
      <c r="C99" s="43" t="str">
        <f>VLOOKUP(D99,[4]DBASE!$B$3:$P$923,2,FALSE)</f>
        <v>Baureno</v>
      </c>
      <c r="D99" s="47">
        <f>[4]jan!C103</f>
        <v>350122002</v>
      </c>
      <c r="E99" s="45">
        <f t="shared" si="13"/>
        <v>326</v>
      </c>
      <c r="F99" s="45">
        <f t="shared" si="1"/>
        <v>237</v>
      </c>
      <c r="G99" s="45">
        <f t="shared" si="2"/>
        <v>345</v>
      </c>
      <c r="H99" s="45">
        <f t="shared" si="3"/>
        <v>210</v>
      </c>
      <c r="I99" s="45">
        <f t="shared" si="4"/>
        <v>165</v>
      </c>
      <c r="J99" s="45">
        <f t="shared" si="5"/>
        <v>115</v>
      </c>
      <c r="K99" s="45">
        <f t="shared" si="6"/>
        <v>86</v>
      </c>
      <c r="L99" s="45">
        <f t="shared" si="7"/>
        <v>81</v>
      </c>
      <c r="M99" s="45">
        <f t="shared" si="8"/>
        <v>100</v>
      </c>
      <c r="N99" s="45">
        <f t="shared" si="9"/>
        <v>262</v>
      </c>
      <c r="O99" s="45">
        <f t="shared" si="10"/>
        <v>274</v>
      </c>
      <c r="P99" s="45">
        <f t="shared" si="11"/>
        <v>140</v>
      </c>
      <c r="Q99" s="45">
        <f t="shared" si="14"/>
        <v>2341</v>
      </c>
      <c r="R99" s="48"/>
    </row>
    <row r="100" spans="3:18" x14ac:dyDescent="0.2">
      <c r="C100" s="43" t="str">
        <f>VLOOKUP(D100,[4]DBASE!$B$3:$P$923,2,FALSE)</f>
        <v>Balen</v>
      </c>
      <c r="D100" s="47">
        <f>[4]jan!C104</f>
        <v>350122001</v>
      </c>
      <c r="E100" s="45">
        <f t="shared" si="13"/>
        <v>246</v>
      </c>
      <c r="F100" s="45">
        <f t="shared" si="1"/>
        <v>319</v>
      </c>
      <c r="G100" s="45">
        <f t="shared" si="2"/>
        <v>327</v>
      </c>
      <c r="H100" s="45">
        <f t="shared" si="3"/>
        <v>150</v>
      </c>
      <c r="I100" s="45">
        <f t="shared" si="4"/>
        <v>170</v>
      </c>
      <c r="J100" s="45">
        <f t="shared" si="5"/>
        <v>186</v>
      </c>
      <c r="K100" s="45">
        <f t="shared" si="6"/>
        <v>50</v>
      </c>
      <c r="L100" s="45">
        <f t="shared" si="7"/>
        <v>81</v>
      </c>
      <c r="M100" s="45">
        <f t="shared" si="8"/>
        <v>66</v>
      </c>
      <c r="N100" s="45">
        <f t="shared" si="9"/>
        <v>428</v>
      </c>
      <c r="O100" s="45">
        <f t="shared" si="10"/>
        <v>318</v>
      </c>
      <c r="P100" s="45">
        <f t="shared" si="11"/>
        <v>167</v>
      </c>
      <c r="Q100" s="45">
        <f t="shared" si="14"/>
        <v>2508</v>
      </c>
      <c r="R100" s="48"/>
    </row>
    <row r="101" spans="3:18" x14ac:dyDescent="0.2">
      <c r="C101" s="43" t="str">
        <f>VLOOKUP(D101,[4]DBASE!$B$3:$P$923,2,FALSE)</f>
        <v>Kantor Madiun</v>
      </c>
      <c r="D101" s="47">
        <f>[4]jan!C105</f>
        <v>350619001</v>
      </c>
      <c r="E101" s="45">
        <f t="shared" si="13"/>
        <v>285.5</v>
      </c>
      <c r="F101" s="45">
        <f t="shared" si="1"/>
        <v>108</v>
      </c>
      <c r="G101" s="45">
        <f t="shared" si="2"/>
        <v>383.5</v>
      </c>
      <c r="H101" s="45">
        <f t="shared" si="3"/>
        <v>127.5</v>
      </c>
      <c r="I101" s="45">
        <f t="shared" si="4"/>
        <v>73</v>
      </c>
      <c r="J101" s="45">
        <f t="shared" si="5"/>
        <v>72.3</v>
      </c>
      <c r="K101" s="45">
        <f t="shared" si="6"/>
        <v>22.5</v>
      </c>
      <c r="L101" s="45">
        <f t="shared" si="7"/>
        <v>14</v>
      </c>
      <c r="M101" s="45">
        <f t="shared" si="8"/>
        <v>41</v>
      </c>
      <c r="N101" s="45">
        <f t="shared" si="9"/>
        <v>95</v>
      </c>
      <c r="O101" s="45">
        <f t="shared" si="10"/>
        <v>391.5</v>
      </c>
      <c r="P101" s="45">
        <f t="shared" si="11"/>
        <v>317</v>
      </c>
      <c r="Q101" s="45">
        <f t="shared" si="14"/>
        <v>1930.8</v>
      </c>
      <c r="R101" s="48"/>
    </row>
    <row r="102" spans="3:18" x14ac:dyDescent="0.2">
      <c r="C102" s="43" t="str">
        <f>VLOOKUP(D102,[4]DBASE!$B$3:$P$923,2,FALSE)</f>
        <v>Pilang Kenceng</v>
      </c>
      <c r="D102" s="47">
        <f>[4]jan!C106</f>
        <v>350619002</v>
      </c>
      <c r="E102" s="45">
        <f t="shared" si="13"/>
        <v>297</v>
      </c>
      <c r="F102" s="45">
        <f t="shared" si="1"/>
        <v>314</v>
      </c>
      <c r="G102" s="45">
        <f t="shared" si="2"/>
        <v>541</v>
      </c>
      <c r="H102" s="45">
        <f t="shared" si="3"/>
        <v>147</v>
      </c>
      <c r="I102" s="45">
        <f t="shared" si="4"/>
        <v>257</v>
      </c>
      <c r="J102" s="45">
        <f t="shared" si="5"/>
        <v>164</v>
      </c>
      <c r="K102" s="45">
        <f t="shared" si="6"/>
        <v>4</v>
      </c>
      <c r="L102" s="45">
        <f t="shared" si="7"/>
        <v>49</v>
      </c>
      <c r="M102" s="45">
        <f t="shared" si="8"/>
        <v>86</v>
      </c>
      <c r="N102" s="45">
        <f t="shared" si="9"/>
        <v>258</v>
      </c>
      <c r="O102" s="45">
        <f t="shared" si="10"/>
        <v>415</v>
      </c>
      <c r="P102" s="45">
        <f t="shared" si="11"/>
        <v>171</v>
      </c>
      <c r="Q102" s="45">
        <f t="shared" si="14"/>
        <v>2703</v>
      </c>
      <c r="R102" s="48"/>
    </row>
    <row r="103" spans="3:18" x14ac:dyDescent="0.2">
      <c r="C103" s="43" t="str">
        <f>VLOOKUP(D103,[4]DBASE!$B$3:$P$923,2,FALSE)</f>
        <v>Tulung</v>
      </c>
      <c r="D103" s="47">
        <f>[4]jan!C107</f>
        <v>350619003</v>
      </c>
      <c r="E103" s="45">
        <f t="shared" si="13"/>
        <v>440</v>
      </c>
      <c r="F103" s="45">
        <f t="shared" si="1"/>
        <v>168</v>
      </c>
      <c r="G103" s="45">
        <f t="shared" si="2"/>
        <v>486</v>
      </c>
      <c r="H103" s="45">
        <f t="shared" si="3"/>
        <v>159</v>
      </c>
      <c r="I103" s="45">
        <f t="shared" si="4"/>
        <v>92</v>
      </c>
      <c r="J103" s="45">
        <f t="shared" si="5"/>
        <v>194</v>
      </c>
      <c r="K103" s="45">
        <f t="shared" si="6"/>
        <v>0</v>
      </c>
      <c r="L103" s="45">
        <f t="shared" si="7"/>
        <v>41</v>
      </c>
      <c r="M103" s="45">
        <f t="shared" si="8"/>
        <v>52</v>
      </c>
      <c r="N103" s="45">
        <f t="shared" si="9"/>
        <v>210</v>
      </c>
      <c r="O103" s="45">
        <f t="shared" si="10"/>
        <v>510</v>
      </c>
      <c r="P103" s="45">
        <f t="shared" si="11"/>
        <v>196</v>
      </c>
      <c r="Q103" s="45">
        <f t="shared" si="14"/>
        <v>2548</v>
      </c>
      <c r="R103" s="48"/>
    </row>
    <row r="104" spans="3:18" x14ac:dyDescent="0.2">
      <c r="C104" s="43" t="str">
        <f>VLOOKUP(D104,[4]DBASE!$B$3:$P$923,2,FALSE)</f>
        <v>Saradan</v>
      </c>
      <c r="D104" s="47">
        <f>[4]jan!C108</f>
        <v>350619004</v>
      </c>
      <c r="E104" s="45">
        <f t="shared" si="13"/>
        <v>351</v>
      </c>
      <c r="F104" s="45">
        <f t="shared" si="1"/>
        <v>131</v>
      </c>
      <c r="G104" s="45">
        <f t="shared" si="2"/>
        <v>382</v>
      </c>
      <c r="H104" s="45">
        <f t="shared" si="3"/>
        <v>152</v>
      </c>
      <c r="I104" s="45">
        <f t="shared" si="4"/>
        <v>68</v>
      </c>
      <c r="J104" s="45">
        <f t="shared" si="5"/>
        <v>115</v>
      </c>
      <c r="K104" s="45">
        <f t="shared" si="6"/>
        <v>0</v>
      </c>
      <c r="L104" s="45">
        <f t="shared" si="7"/>
        <v>16</v>
      </c>
      <c r="M104" s="45">
        <f t="shared" si="8"/>
        <v>45</v>
      </c>
      <c r="N104" s="45">
        <f t="shared" si="9"/>
        <v>283</v>
      </c>
      <c r="O104" s="45">
        <f t="shared" si="10"/>
        <v>359</v>
      </c>
      <c r="P104" s="45">
        <f t="shared" si="11"/>
        <v>409</v>
      </c>
      <c r="Q104" s="45">
        <f t="shared" si="14"/>
        <v>2311</v>
      </c>
      <c r="R104" s="48"/>
    </row>
    <row r="105" spans="3:18" x14ac:dyDescent="0.2">
      <c r="C105" s="43" t="str">
        <f>VLOOKUP(D105,[4]DBASE!$B$3:$P$923,2,FALSE)</f>
        <v>Kedung Banteng</v>
      </c>
      <c r="D105" s="47">
        <f>[4]jan!C109</f>
        <v>350619005</v>
      </c>
      <c r="E105" s="45">
        <f t="shared" si="13"/>
        <v>305</v>
      </c>
      <c r="F105" s="45">
        <f t="shared" si="1"/>
        <v>490</v>
      </c>
      <c r="G105" s="45">
        <f t="shared" si="2"/>
        <v>496</v>
      </c>
      <c r="H105" s="45">
        <f t="shared" si="3"/>
        <v>145</v>
      </c>
      <c r="I105" s="45">
        <f t="shared" si="4"/>
        <v>177</v>
      </c>
      <c r="J105" s="45">
        <f t="shared" si="5"/>
        <v>95</v>
      </c>
      <c r="K105" s="45">
        <f t="shared" si="6"/>
        <v>6</v>
      </c>
      <c r="L105" s="45">
        <f t="shared" si="7"/>
        <v>55</v>
      </c>
      <c r="M105" s="45">
        <f t="shared" si="8"/>
        <v>109</v>
      </c>
      <c r="N105" s="45">
        <f t="shared" si="9"/>
        <v>221</v>
      </c>
      <c r="O105" s="45">
        <f t="shared" si="10"/>
        <v>668</v>
      </c>
      <c r="P105" s="45">
        <f t="shared" si="11"/>
        <v>160</v>
      </c>
      <c r="Q105" s="45">
        <f t="shared" si="14"/>
        <v>2927</v>
      </c>
      <c r="R105" s="48"/>
    </row>
    <row r="106" spans="3:18" x14ac:dyDescent="0.2">
      <c r="C106" s="43" t="str">
        <f>VLOOKUP(D106,[4]DBASE!$B$3:$P$923,2,FALSE)</f>
        <v>Notopuro</v>
      </c>
      <c r="D106" s="47">
        <f>[4]jan!C110</f>
        <v>350619006</v>
      </c>
      <c r="E106" s="45">
        <f t="shared" si="13"/>
        <v>376</v>
      </c>
      <c r="F106" s="45">
        <f t="shared" si="1"/>
        <v>324</v>
      </c>
      <c r="G106" s="45">
        <f t="shared" si="2"/>
        <v>624</v>
      </c>
      <c r="H106" s="45">
        <f t="shared" si="3"/>
        <v>122</v>
      </c>
      <c r="I106" s="45">
        <f t="shared" si="4"/>
        <v>164</v>
      </c>
      <c r="J106" s="45">
        <f t="shared" si="5"/>
        <v>328</v>
      </c>
      <c r="K106" s="45">
        <f t="shared" si="6"/>
        <v>16</v>
      </c>
      <c r="L106" s="45">
        <f t="shared" si="7"/>
        <v>45</v>
      </c>
      <c r="M106" s="45">
        <f t="shared" si="8"/>
        <v>58</v>
      </c>
      <c r="N106" s="45">
        <f t="shared" si="9"/>
        <v>269</v>
      </c>
      <c r="O106" s="45">
        <f t="shared" si="10"/>
        <v>790</v>
      </c>
      <c r="P106" s="45">
        <f t="shared" si="11"/>
        <v>206</v>
      </c>
      <c r="Q106" s="45">
        <f t="shared" si="14"/>
        <v>3322</v>
      </c>
      <c r="R106" s="48"/>
    </row>
    <row r="107" spans="3:18" x14ac:dyDescent="0.2">
      <c r="C107" s="43" t="str">
        <f>VLOOKUP(D107,[4]DBASE!$B$3:$P$923,2,FALSE)</f>
        <v>Sumbersari</v>
      </c>
      <c r="D107" s="47">
        <f>[4]jan!C111</f>
        <v>350619007</v>
      </c>
      <c r="E107" s="45">
        <f t="shared" si="13"/>
        <v>460</v>
      </c>
      <c r="F107" s="45">
        <f t="shared" si="1"/>
        <v>230</v>
      </c>
      <c r="G107" s="45">
        <f t="shared" si="2"/>
        <v>433</v>
      </c>
      <c r="H107" s="45">
        <f t="shared" si="3"/>
        <v>93</v>
      </c>
      <c r="I107" s="45">
        <f t="shared" si="4"/>
        <v>139</v>
      </c>
      <c r="J107" s="45">
        <f t="shared" si="5"/>
        <v>215</v>
      </c>
      <c r="K107" s="45">
        <f t="shared" si="6"/>
        <v>3</v>
      </c>
      <c r="L107" s="45">
        <f t="shared" si="7"/>
        <v>31</v>
      </c>
      <c r="M107" s="45">
        <f t="shared" si="8"/>
        <v>58</v>
      </c>
      <c r="N107" s="45">
        <f t="shared" si="9"/>
        <v>255</v>
      </c>
      <c r="O107" s="45">
        <f t="shared" si="10"/>
        <v>468</v>
      </c>
      <c r="P107" s="45">
        <f t="shared" si="11"/>
        <v>204</v>
      </c>
      <c r="Q107" s="45">
        <f t="shared" si="14"/>
        <v>2589</v>
      </c>
      <c r="R107" s="48"/>
    </row>
    <row r="108" spans="3:18" x14ac:dyDescent="0.2">
      <c r="C108" s="43" t="str">
        <f>VLOOKUP(D108,[4]DBASE!$B$3:$P$923,2,FALSE)</f>
        <v>Kuwu</v>
      </c>
      <c r="D108" s="47">
        <f>[4]jan!C112</f>
        <v>350619008</v>
      </c>
      <c r="E108" s="45">
        <f t="shared" si="13"/>
        <v>326</v>
      </c>
      <c r="F108" s="45">
        <f t="shared" si="1"/>
        <v>434</v>
      </c>
      <c r="G108" s="45">
        <f t="shared" si="2"/>
        <v>464</v>
      </c>
      <c r="H108" s="45">
        <f t="shared" si="3"/>
        <v>125</v>
      </c>
      <c r="I108" s="45">
        <f t="shared" si="4"/>
        <v>197</v>
      </c>
      <c r="J108" s="45">
        <f t="shared" si="5"/>
        <v>165</v>
      </c>
      <c r="K108" s="45">
        <f t="shared" si="6"/>
        <v>6</v>
      </c>
      <c r="L108" s="45">
        <f t="shared" si="7"/>
        <v>48</v>
      </c>
      <c r="M108" s="45">
        <f t="shared" si="8"/>
        <v>126</v>
      </c>
      <c r="N108" s="45">
        <f t="shared" si="9"/>
        <v>102</v>
      </c>
      <c r="O108" s="45">
        <f t="shared" si="10"/>
        <v>485</v>
      </c>
      <c r="P108" s="45">
        <f t="shared" si="11"/>
        <v>178</v>
      </c>
      <c r="Q108" s="45">
        <f t="shared" si="14"/>
        <v>2656</v>
      </c>
      <c r="R108" s="48"/>
    </row>
    <row r="109" spans="3:18" x14ac:dyDescent="0.2">
      <c r="C109" s="43" t="str">
        <f>VLOOKUP(D109,[4]DBASE!$B$3:$P$923,2,FALSE)</f>
        <v>Muneng Madiun</v>
      </c>
      <c r="D109" s="47">
        <f>[4]jan!C113</f>
        <v>350619009</v>
      </c>
      <c r="E109" s="45">
        <f t="shared" si="13"/>
        <v>203</v>
      </c>
      <c r="F109" s="45">
        <f t="shared" si="1"/>
        <v>311</v>
      </c>
      <c r="G109" s="45">
        <f t="shared" si="2"/>
        <v>411</v>
      </c>
      <c r="H109" s="45">
        <f t="shared" si="3"/>
        <v>83</v>
      </c>
      <c r="I109" s="45">
        <f t="shared" si="4"/>
        <v>187</v>
      </c>
      <c r="J109" s="45">
        <f t="shared" si="5"/>
        <v>114</v>
      </c>
      <c r="K109" s="45">
        <f t="shared" si="6"/>
        <v>5</v>
      </c>
      <c r="L109" s="45">
        <f t="shared" si="7"/>
        <v>28</v>
      </c>
      <c r="M109" s="45">
        <f t="shared" si="8"/>
        <v>109</v>
      </c>
      <c r="N109" s="45">
        <f t="shared" si="9"/>
        <v>142</v>
      </c>
      <c r="O109" s="45">
        <f t="shared" si="10"/>
        <v>605</v>
      </c>
      <c r="P109" s="45">
        <f t="shared" si="11"/>
        <v>138</v>
      </c>
      <c r="Q109" s="45">
        <f t="shared" si="14"/>
        <v>2336</v>
      </c>
      <c r="R109" s="48"/>
    </row>
    <row r="110" spans="3:18" x14ac:dyDescent="0.2">
      <c r="C110" s="43" t="str">
        <f>VLOOKUP(D110,[4]DBASE!$B$3:$P$923,2,FALSE)</f>
        <v>Sogo</v>
      </c>
      <c r="D110" s="47">
        <f>[4]jan!C114</f>
        <v>350619010</v>
      </c>
      <c r="E110" s="45">
        <f t="shared" si="13"/>
        <v>296</v>
      </c>
      <c r="F110" s="45">
        <f t="shared" si="1"/>
        <v>379</v>
      </c>
      <c r="G110" s="45">
        <f t="shared" si="2"/>
        <v>503</v>
      </c>
      <c r="H110" s="45">
        <f t="shared" si="3"/>
        <v>149</v>
      </c>
      <c r="I110" s="45">
        <f t="shared" si="4"/>
        <v>202</v>
      </c>
      <c r="J110" s="45">
        <f t="shared" si="5"/>
        <v>151</v>
      </c>
      <c r="K110" s="45">
        <f t="shared" si="6"/>
        <v>0</v>
      </c>
      <c r="L110" s="45">
        <f t="shared" si="7"/>
        <v>20</v>
      </c>
      <c r="M110" s="45">
        <f t="shared" si="8"/>
        <v>84</v>
      </c>
      <c r="N110" s="45">
        <f t="shared" si="9"/>
        <v>106.5</v>
      </c>
      <c r="O110" s="45">
        <f t="shared" si="10"/>
        <v>616</v>
      </c>
      <c r="P110" s="45">
        <f t="shared" si="11"/>
        <v>172</v>
      </c>
      <c r="Q110" s="45">
        <f t="shared" si="14"/>
        <v>2678.5</v>
      </c>
      <c r="R110" s="48"/>
    </row>
    <row r="111" spans="3:18" x14ac:dyDescent="0.2">
      <c r="C111" s="43" t="str">
        <f>VLOOKUP(D111,[4]DBASE!$B$3:$P$923,2,FALSE)</f>
        <v>Sumber Bendo</v>
      </c>
      <c r="D111" s="47">
        <f>[4]jan!C115</f>
        <v>350619011</v>
      </c>
      <c r="E111" s="45">
        <f t="shared" si="13"/>
        <v>342</v>
      </c>
      <c r="F111" s="45">
        <f t="shared" si="1"/>
        <v>185</v>
      </c>
      <c r="G111" s="45">
        <f t="shared" si="2"/>
        <v>498</v>
      </c>
      <c r="H111" s="45">
        <f t="shared" si="3"/>
        <v>89</v>
      </c>
      <c r="I111" s="45">
        <f t="shared" si="4"/>
        <v>112</v>
      </c>
      <c r="J111" s="45">
        <f t="shared" si="5"/>
        <v>134</v>
      </c>
      <c r="K111" s="45">
        <f t="shared" si="6"/>
        <v>18</v>
      </c>
      <c r="L111" s="45">
        <f t="shared" si="7"/>
        <v>43</v>
      </c>
      <c r="M111" s="45">
        <f t="shared" si="8"/>
        <v>34</v>
      </c>
      <c r="N111" s="45">
        <f t="shared" si="9"/>
        <v>328</v>
      </c>
      <c r="O111" s="45">
        <f t="shared" si="10"/>
        <v>539</v>
      </c>
      <c r="P111" s="45">
        <f t="shared" si="11"/>
        <v>279</v>
      </c>
      <c r="Q111" s="45">
        <f t="shared" si="14"/>
        <v>2601</v>
      </c>
      <c r="R111" s="48"/>
    </row>
    <row r="112" spans="3:18" x14ac:dyDescent="0.2">
      <c r="C112" s="43" t="str">
        <f>VLOOKUP(D112,[4]DBASE!$B$3:$P$923,2,FALSE)</f>
        <v>Kedung Rejo</v>
      </c>
      <c r="D112" s="47">
        <f>[4]jan!C116</f>
        <v>350619012</v>
      </c>
      <c r="E112" s="45">
        <f t="shared" si="13"/>
        <v>410</v>
      </c>
      <c r="F112" s="45">
        <f t="shared" si="1"/>
        <v>335</v>
      </c>
      <c r="G112" s="45">
        <f t="shared" si="2"/>
        <v>500</v>
      </c>
      <c r="H112" s="45">
        <f t="shared" si="3"/>
        <v>146</v>
      </c>
      <c r="I112" s="45">
        <f t="shared" si="4"/>
        <v>146</v>
      </c>
      <c r="J112" s="45">
        <f t="shared" si="5"/>
        <v>186</v>
      </c>
      <c r="K112" s="45">
        <f t="shared" si="6"/>
        <v>12</v>
      </c>
      <c r="L112" s="45">
        <f t="shared" si="7"/>
        <v>46</v>
      </c>
      <c r="M112" s="45">
        <f t="shared" si="8"/>
        <v>90</v>
      </c>
      <c r="N112" s="45">
        <f t="shared" si="9"/>
        <v>178</v>
      </c>
      <c r="O112" s="45">
        <f t="shared" si="10"/>
        <v>599</v>
      </c>
      <c r="P112" s="45">
        <f t="shared" si="11"/>
        <v>271</v>
      </c>
      <c r="Q112" s="45">
        <f t="shared" si="14"/>
        <v>2919</v>
      </c>
      <c r="R112" s="48"/>
    </row>
    <row r="113" spans="3:18" x14ac:dyDescent="0.2">
      <c r="C113" s="43" t="str">
        <f>VLOOKUP(D113,[4]DBASE!$B$3:$P$923,2,FALSE)</f>
        <v>Gemarang</v>
      </c>
      <c r="D113" s="47">
        <f>[4]jan!C117</f>
        <v>350619013</v>
      </c>
      <c r="E113" s="45">
        <f t="shared" si="13"/>
        <v>251</v>
      </c>
      <c r="F113" s="45">
        <f t="shared" si="1"/>
        <v>179</v>
      </c>
      <c r="G113" s="45">
        <f t="shared" si="2"/>
        <v>325</v>
      </c>
      <c r="H113" s="45">
        <f t="shared" si="3"/>
        <v>170</v>
      </c>
      <c r="I113" s="45">
        <f t="shared" si="4"/>
        <v>107</v>
      </c>
      <c r="J113" s="45">
        <f t="shared" si="5"/>
        <v>154</v>
      </c>
      <c r="K113" s="45">
        <f t="shared" si="6"/>
        <v>16</v>
      </c>
      <c r="L113" s="45">
        <f t="shared" si="7"/>
        <v>7</v>
      </c>
      <c r="M113" s="45">
        <f t="shared" si="8"/>
        <v>5</v>
      </c>
      <c r="N113" s="45">
        <f t="shared" si="9"/>
        <v>229</v>
      </c>
      <c r="O113" s="45">
        <f t="shared" si="10"/>
        <v>477</v>
      </c>
      <c r="P113" s="45">
        <f t="shared" si="11"/>
        <v>169</v>
      </c>
      <c r="Q113" s="45">
        <f t="shared" si="14"/>
        <v>2089</v>
      </c>
      <c r="R113" s="48"/>
    </row>
    <row r="114" spans="3:18" x14ac:dyDescent="0.2">
      <c r="C114" s="43" t="str">
        <f>VLOOKUP(D114,[4]DBASE!$B$3:$P$923,2,FALSE)</f>
        <v>Sarangan</v>
      </c>
      <c r="D114" s="47">
        <f>[4]jan!C118</f>
        <v>350619014</v>
      </c>
      <c r="E114" s="45">
        <f t="shared" si="13"/>
        <v>191.26</v>
      </c>
      <c r="F114" s="45">
        <f t="shared" si="1"/>
        <v>227</v>
      </c>
      <c r="G114" s="45">
        <f t="shared" si="2"/>
        <v>268</v>
      </c>
      <c r="H114" s="45">
        <f t="shared" si="3"/>
        <v>79</v>
      </c>
      <c r="I114" s="45">
        <f t="shared" si="4"/>
        <v>39</v>
      </c>
      <c r="J114" s="45">
        <f t="shared" si="5"/>
        <v>53</v>
      </c>
      <c r="K114" s="45">
        <f t="shared" si="6"/>
        <v>0</v>
      </c>
      <c r="L114" s="45">
        <f t="shared" si="7"/>
        <v>11</v>
      </c>
      <c r="M114" s="45">
        <f t="shared" si="8"/>
        <v>56</v>
      </c>
      <c r="N114" s="45">
        <f t="shared" si="9"/>
        <v>53</v>
      </c>
      <c r="O114" s="45">
        <f t="shared" si="10"/>
        <v>308</v>
      </c>
      <c r="P114" s="45">
        <f t="shared" si="11"/>
        <v>182</v>
      </c>
      <c r="Q114" s="45">
        <f t="shared" si="14"/>
        <v>1467.26</v>
      </c>
      <c r="R114" s="48"/>
    </row>
    <row r="115" spans="3:18" x14ac:dyDescent="0.2">
      <c r="C115" s="43" t="str">
        <f>VLOOKUP(D115,[4]DBASE!$B$3:$P$923,2,FALSE)</f>
        <v>Caruban</v>
      </c>
      <c r="D115" s="47">
        <f>[4]jan!C119</f>
        <v>350619015</v>
      </c>
      <c r="E115" s="45">
        <f t="shared" si="13"/>
        <v>375</v>
      </c>
      <c r="F115" s="45">
        <f t="shared" si="1"/>
        <v>279</v>
      </c>
      <c r="G115" s="45">
        <f t="shared" si="2"/>
        <v>344</v>
      </c>
      <c r="H115" s="45">
        <f t="shared" si="3"/>
        <v>141</v>
      </c>
      <c r="I115" s="45">
        <f t="shared" si="4"/>
        <v>98</v>
      </c>
      <c r="J115" s="45">
        <f t="shared" si="5"/>
        <v>122.5</v>
      </c>
      <c r="K115" s="45">
        <f t="shared" si="6"/>
        <v>3</v>
      </c>
      <c r="L115" s="45">
        <f t="shared" si="7"/>
        <v>11</v>
      </c>
      <c r="M115" s="45">
        <f t="shared" si="8"/>
        <v>91</v>
      </c>
      <c r="N115" s="45">
        <f t="shared" si="9"/>
        <v>112</v>
      </c>
      <c r="O115" s="45">
        <f t="shared" si="10"/>
        <v>456</v>
      </c>
      <c r="P115" s="45">
        <f t="shared" si="11"/>
        <v>236</v>
      </c>
      <c r="Q115" s="45">
        <f t="shared" si="14"/>
        <v>2268.5</v>
      </c>
      <c r="R115" s="48"/>
    </row>
    <row r="116" spans="3:18" x14ac:dyDescent="0.2">
      <c r="C116" s="43" t="str">
        <f>VLOOKUP(D116,[4]DBASE!$B$3:$P$923,2,FALSE)</f>
        <v>Wates_MDN</v>
      </c>
      <c r="D116" s="47">
        <f>[4]jan!C120</f>
        <v>350619016</v>
      </c>
      <c r="E116" s="45">
        <f t="shared" si="13"/>
        <v>221</v>
      </c>
      <c r="F116" s="45">
        <f t="shared" si="1"/>
        <v>83</v>
      </c>
      <c r="G116" s="45">
        <f t="shared" si="2"/>
        <v>311</v>
      </c>
      <c r="H116" s="45">
        <f t="shared" si="3"/>
        <v>57</v>
      </c>
      <c r="I116" s="45">
        <f t="shared" si="4"/>
        <v>57</v>
      </c>
      <c r="J116" s="45">
        <f t="shared" si="5"/>
        <v>130</v>
      </c>
      <c r="K116" s="45">
        <f t="shared" si="6"/>
        <v>0</v>
      </c>
      <c r="L116" s="45">
        <f t="shared" si="7"/>
        <v>2</v>
      </c>
      <c r="M116" s="45">
        <f t="shared" si="8"/>
        <v>31</v>
      </c>
      <c r="N116" s="45">
        <f t="shared" si="9"/>
        <v>88</v>
      </c>
      <c r="O116" s="45">
        <f t="shared" si="10"/>
        <v>283</v>
      </c>
      <c r="P116" s="45">
        <f t="shared" si="11"/>
        <v>311</v>
      </c>
      <c r="Q116" s="45">
        <f t="shared" si="14"/>
        <v>1574</v>
      </c>
      <c r="R116" s="48"/>
    </row>
    <row r="117" spans="3:18" x14ac:dyDescent="0.2">
      <c r="C117" s="43" t="str">
        <f>VLOOKUP(D117,[4]DBASE!$B$3:$P$923,2,FALSE)</f>
        <v>Balerejo</v>
      </c>
      <c r="D117" s="47">
        <f>[4]jan!C121</f>
        <v>350619017</v>
      </c>
      <c r="E117" s="45">
        <f t="shared" si="13"/>
        <v>227</v>
      </c>
      <c r="F117" s="45">
        <f t="shared" si="1"/>
        <v>235</v>
      </c>
      <c r="G117" s="45">
        <f t="shared" si="2"/>
        <v>301</v>
      </c>
      <c r="H117" s="45">
        <f t="shared" si="3"/>
        <v>82</v>
      </c>
      <c r="I117" s="45">
        <f t="shared" si="4"/>
        <v>41</v>
      </c>
      <c r="J117" s="45">
        <f t="shared" si="5"/>
        <v>81</v>
      </c>
      <c r="K117" s="45">
        <f t="shared" si="6"/>
        <v>0</v>
      </c>
      <c r="L117" s="45">
        <f t="shared" si="7"/>
        <v>5</v>
      </c>
      <c r="M117" s="45">
        <f t="shared" si="8"/>
        <v>47</v>
      </c>
      <c r="N117" s="45">
        <f t="shared" si="9"/>
        <v>121</v>
      </c>
      <c r="O117" s="45">
        <f t="shared" si="10"/>
        <v>363</v>
      </c>
      <c r="P117" s="45">
        <f t="shared" si="11"/>
        <v>137</v>
      </c>
      <c r="Q117" s="45">
        <f t="shared" si="14"/>
        <v>1640</v>
      </c>
      <c r="R117" s="48"/>
    </row>
    <row r="118" spans="3:18" x14ac:dyDescent="0.2">
      <c r="C118" s="43" t="str">
        <f>VLOOKUP(D118,[4]DBASE!$B$3:$P$923,2,FALSE)</f>
        <v>Cermo</v>
      </c>
      <c r="D118" s="47">
        <f>[4]jan!C122</f>
        <v>350619018</v>
      </c>
      <c r="E118" s="45">
        <f t="shared" si="13"/>
        <v>396</v>
      </c>
      <c r="F118" s="45">
        <f t="shared" si="1"/>
        <v>144</v>
      </c>
      <c r="G118" s="45">
        <f t="shared" si="2"/>
        <v>339</v>
      </c>
      <c r="H118" s="45">
        <f t="shared" si="3"/>
        <v>271</v>
      </c>
      <c r="I118" s="45">
        <f t="shared" si="4"/>
        <v>65</v>
      </c>
      <c r="J118" s="45">
        <f t="shared" si="5"/>
        <v>106</v>
      </c>
      <c r="K118" s="45">
        <f t="shared" si="6"/>
        <v>10</v>
      </c>
      <c r="L118" s="45">
        <f t="shared" si="7"/>
        <v>18</v>
      </c>
      <c r="M118" s="45">
        <f t="shared" si="8"/>
        <v>11</v>
      </c>
      <c r="N118" s="45">
        <f t="shared" si="9"/>
        <v>103</v>
      </c>
      <c r="O118" s="45">
        <f t="shared" si="10"/>
        <v>164</v>
      </c>
      <c r="P118" s="45">
        <f t="shared" si="11"/>
        <v>199</v>
      </c>
      <c r="Q118" s="45">
        <f t="shared" si="14"/>
        <v>1826</v>
      </c>
      <c r="R118" s="48"/>
    </row>
    <row r="119" spans="3:18" x14ac:dyDescent="0.2">
      <c r="C119" s="43" t="str">
        <f>VLOOKUP(D119,[4]DBASE!$B$3:$P$923,2,FALSE)</f>
        <v>Dawuhan</v>
      </c>
      <c r="D119" s="47">
        <f>[4]jan!C123</f>
        <v>350619019</v>
      </c>
      <c r="E119" s="45">
        <f t="shared" si="13"/>
        <v>225</v>
      </c>
      <c r="F119" s="45">
        <f t="shared" si="1"/>
        <v>226</v>
      </c>
      <c r="G119" s="45">
        <f t="shared" si="2"/>
        <v>309</v>
      </c>
      <c r="H119" s="45">
        <f t="shared" si="3"/>
        <v>137</v>
      </c>
      <c r="I119" s="45">
        <f t="shared" si="4"/>
        <v>52.5</v>
      </c>
      <c r="J119" s="45">
        <f t="shared" si="5"/>
        <v>52</v>
      </c>
      <c r="K119" s="45">
        <f t="shared" si="6"/>
        <v>3</v>
      </c>
      <c r="L119" s="45">
        <f t="shared" si="7"/>
        <v>11</v>
      </c>
      <c r="M119" s="45">
        <f t="shared" si="8"/>
        <v>56</v>
      </c>
      <c r="N119" s="45">
        <f t="shared" si="9"/>
        <v>43</v>
      </c>
      <c r="O119" s="45">
        <f t="shared" si="10"/>
        <v>257</v>
      </c>
      <c r="P119" s="45">
        <f t="shared" si="11"/>
        <v>177</v>
      </c>
      <c r="Q119" s="45">
        <f t="shared" si="14"/>
        <v>1548.5</v>
      </c>
      <c r="R119" s="48"/>
    </row>
    <row r="120" spans="3:18" x14ac:dyDescent="0.2">
      <c r="C120" s="43" t="str">
        <f>VLOOKUP(D120,[4]DBASE!$B$3:$P$923,2,FALSE)</f>
        <v>Babadan MDN</v>
      </c>
      <c r="D120" s="47">
        <f>[4]jan!C124</f>
        <v>350619020</v>
      </c>
      <c r="E120" s="45">
        <f t="shared" si="13"/>
        <v>330</v>
      </c>
      <c r="F120" s="45">
        <f t="shared" si="1"/>
        <v>220</v>
      </c>
      <c r="G120" s="45">
        <f t="shared" si="2"/>
        <v>393</v>
      </c>
      <c r="H120" s="45">
        <f t="shared" si="3"/>
        <v>69</v>
      </c>
      <c r="I120" s="45">
        <f t="shared" si="4"/>
        <v>53</v>
      </c>
      <c r="J120" s="45">
        <f t="shared" si="5"/>
        <v>91</v>
      </c>
      <c r="K120" s="45">
        <f t="shared" si="6"/>
        <v>0</v>
      </c>
      <c r="L120" s="45">
        <f t="shared" si="7"/>
        <v>0</v>
      </c>
      <c r="M120" s="45">
        <f t="shared" si="8"/>
        <v>87</v>
      </c>
      <c r="N120" s="45">
        <f t="shared" si="9"/>
        <v>58</v>
      </c>
      <c r="O120" s="45">
        <f t="shared" si="10"/>
        <v>613</v>
      </c>
      <c r="P120" s="45">
        <f t="shared" si="11"/>
        <v>267</v>
      </c>
      <c r="Q120" s="45">
        <f t="shared" si="14"/>
        <v>2181</v>
      </c>
      <c r="R120" s="48"/>
    </row>
    <row r="121" spans="3:18" x14ac:dyDescent="0.2">
      <c r="C121" s="43" t="str">
        <f>VLOOKUP(D121,[4]DBASE!$B$3:$P$923,2,FALSE)</f>
        <v>Cau</v>
      </c>
      <c r="D121" s="47">
        <f>[4]jan!C125</f>
        <v>350619021</v>
      </c>
      <c r="E121" s="45">
        <f t="shared" si="13"/>
        <v>539</v>
      </c>
      <c r="F121" s="45">
        <f t="shared" si="1"/>
        <v>238</v>
      </c>
      <c r="G121" s="45">
        <f t="shared" si="2"/>
        <v>454</v>
      </c>
      <c r="H121" s="45">
        <f t="shared" si="3"/>
        <v>201</v>
      </c>
      <c r="I121" s="45">
        <f t="shared" si="4"/>
        <v>107</v>
      </c>
      <c r="J121" s="45">
        <f t="shared" si="5"/>
        <v>167</v>
      </c>
      <c r="K121" s="45">
        <f t="shared" si="6"/>
        <v>23</v>
      </c>
      <c r="L121" s="45">
        <f t="shared" si="7"/>
        <v>48</v>
      </c>
      <c r="M121" s="45">
        <f t="shared" si="8"/>
        <v>22</v>
      </c>
      <c r="N121" s="45">
        <f t="shared" si="9"/>
        <v>330</v>
      </c>
      <c r="O121" s="45">
        <f t="shared" si="10"/>
        <v>351</v>
      </c>
      <c r="P121" s="45">
        <f t="shared" si="11"/>
        <v>213</v>
      </c>
      <c r="Q121" s="45">
        <f t="shared" si="14"/>
        <v>2693</v>
      </c>
      <c r="R121" s="48"/>
    </row>
    <row r="122" spans="3:18" x14ac:dyDescent="0.2">
      <c r="C122" s="43" t="str">
        <f>VLOOKUP(D122,[4]DBASE!$B$3:$P$923,2,FALSE)</f>
        <v>Kandangan</v>
      </c>
      <c r="D122" s="47">
        <f>[4]jan!C126</f>
        <v>350619022</v>
      </c>
      <c r="E122" s="45">
        <f t="shared" si="13"/>
        <v>407</v>
      </c>
      <c r="F122" s="45">
        <f t="shared" si="1"/>
        <v>420</v>
      </c>
      <c r="G122" s="45">
        <f t="shared" si="2"/>
        <v>598</v>
      </c>
      <c r="H122" s="45">
        <f t="shared" si="3"/>
        <v>583</v>
      </c>
      <c r="I122" s="45">
        <f t="shared" si="4"/>
        <v>456</v>
      </c>
      <c r="J122" s="45">
        <f t="shared" si="5"/>
        <v>365</v>
      </c>
      <c r="K122" s="45">
        <f t="shared" si="6"/>
        <v>34</v>
      </c>
      <c r="L122" s="45">
        <f t="shared" si="7"/>
        <v>109</v>
      </c>
      <c r="M122" s="45">
        <f t="shared" si="8"/>
        <v>72</v>
      </c>
      <c r="N122" s="45">
        <f t="shared" si="9"/>
        <v>515</v>
      </c>
      <c r="O122" s="45">
        <f t="shared" si="10"/>
        <v>647</v>
      </c>
      <c r="P122" s="45">
        <f t="shared" si="11"/>
        <v>290</v>
      </c>
      <c r="Q122" s="45">
        <f t="shared" si="14"/>
        <v>4496</v>
      </c>
      <c r="R122" s="48"/>
    </row>
    <row r="123" spans="3:18" x14ac:dyDescent="0.2">
      <c r="C123" s="43" t="str">
        <f>VLOOKUP(D123,[4]DBASE!$B$3:$P$923,2,FALSE)</f>
        <v>Catur</v>
      </c>
      <c r="D123" s="47">
        <f>[4]jan!C127</f>
        <v>350619023</v>
      </c>
      <c r="E123" s="45">
        <f t="shared" si="13"/>
        <v>416</v>
      </c>
      <c r="F123" s="45">
        <f t="shared" si="1"/>
        <v>330</v>
      </c>
      <c r="G123" s="45">
        <f t="shared" si="2"/>
        <v>413</v>
      </c>
      <c r="H123" s="45">
        <f t="shared" si="3"/>
        <v>217</v>
      </c>
      <c r="I123" s="45">
        <f t="shared" si="4"/>
        <v>246</v>
      </c>
      <c r="J123" s="45">
        <f t="shared" si="5"/>
        <v>257</v>
      </c>
      <c r="K123" s="45">
        <f t="shared" si="6"/>
        <v>10</v>
      </c>
      <c r="L123" s="45">
        <f t="shared" si="7"/>
        <v>21</v>
      </c>
      <c r="M123" s="45">
        <f t="shared" si="8"/>
        <v>27</v>
      </c>
      <c r="N123" s="45">
        <f t="shared" si="9"/>
        <v>312</v>
      </c>
      <c r="O123" s="45">
        <f t="shared" si="10"/>
        <v>482</v>
      </c>
      <c r="P123" s="45">
        <f t="shared" si="11"/>
        <v>240</v>
      </c>
      <c r="Q123" s="45">
        <f t="shared" si="14"/>
        <v>2971</v>
      </c>
      <c r="R123" s="48"/>
    </row>
    <row r="124" spans="3:18" x14ac:dyDescent="0.2">
      <c r="C124" s="43" t="str">
        <f>VLOOKUP(D124,[4]DBASE!$B$3:$P$923,2,FALSE)</f>
        <v>Giringan</v>
      </c>
      <c r="D124" s="47">
        <f>[4]jan!C128</f>
        <v>350619024</v>
      </c>
      <c r="E124" s="45">
        <f t="shared" si="13"/>
        <v>502</v>
      </c>
      <c r="F124" s="45">
        <f t="shared" si="1"/>
        <v>260</v>
      </c>
      <c r="G124" s="45">
        <f t="shared" si="2"/>
        <v>486</v>
      </c>
      <c r="H124" s="45">
        <f t="shared" si="3"/>
        <v>296</v>
      </c>
      <c r="I124" s="45">
        <f t="shared" si="4"/>
        <v>150</v>
      </c>
      <c r="J124" s="45">
        <f t="shared" si="5"/>
        <v>210</v>
      </c>
      <c r="K124" s="45">
        <f t="shared" si="6"/>
        <v>24</v>
      </c>
      <c r="L124" s="45">
        <f t="shared" si="7"/>
        <v>59</v>
      </c>
      <c r="M124" s="45">
        <f t="shared" si="8"/>
        <v>23</v>
      </c>
      <c r="N124" s="45">
        <f t="shared" si="9"/>
        <v>380</v>
      </c>
      <c r="O124" s="45">
        <f t="shared" si="10"/>
        <v>497</v>
      </c>
      <c r="P124" s="45">
        <f t="shared" si="11"/>
        <v>260</v>
      </c>
      <c r="Q124" s="45">
        <f t="shared" si="14"/>
        <v>3147</v>
      </c>
      <c r="R124" s="48"/>
    </row>
    <row r="125" spans="3:18" x14ac:dyDescent="0.2">
      <c r="C125" s="43" t="str">
        <f>VLOOKUP(D125,[4]DBASE!$B$3:$P$923,2,FALSE)</f>
        <v>Dungus</v>
      </c>
      <c r="D125" s="47">
        <f>[4]jan!C129</f>
        <v>350619025</v>
      </c>
      <c r="E125" s="45">
        <f t="shared" si="13"/>
        <v>673</v>
      </c>
      <c r="F125" s="45">
        <f t="shared" si="1"/>
        <v>204</v>
      </c>
      <c r="G125" s="45">
        <f t="shared" si="2"/>
        <v>460</v>
      </c>
      <c r="H125" s="45">
        <f t="shared" si="3"/>
        <v>162</v>
      </c>
      <c r="I125" s="45">
        <f t="shared" si="4"/>
        <v>80</v>
      </c>
      <c r="J125" s="45">
        <f t="shared" si="5"/>
        <v>260</v>
      </c>
      <c r="K125" s="45">
        <f t="shared" si="6"/>
        <v>17</v>
      </c>
      <c r="L125" s="45">
        <f t="shared" si="7"/>
        <v>26</v>
      </c>
      <c r="M125" s="45">
        <f t="shared" si="8"/>
        <v>35</v>
      </c>
      <c r="N125" s="45">
        <f t="shared" si="9"/>
        <v>853</v>
      </c>
      <c r="O125" s="45">
        <f t="shared" si="10"/>
        <v>1301</v>
      </c>
      <c r="P125" s="45">
        <f t="shared" si="11"/>
        <v>523</v>
      </c>
      <c r="Q125" s="45">
        <f t="shared" si="14"/>
        <v>4594</v>
      </c>
      <c r="R125" s="48"/>
    </row>
    <row r="126" spans="3:18" x14ac:dyDescent="0.2">
      <c r="C126" s="43" t="str">
        <f>VLOOKUP(D126,[4]DBASE!$B$3:$P$923,2,FALSE)</f>
        <v>Kare</v>
      </c>
      <c r="D126" s="47">
        <f>[4]jan!C130</f>
        <v>350619026</v>
      </c>
      <c r="E126" s="45">
        <f t="shared" si="13"/>
        <v>731</v>
      </c>
      <c r="F126" s="45">
        <f t="shared" si="1"/>
        <v>396</v>
      </c>
      <c r="G126" s="45">
        <f t="shared" si="2"/>
        <v>698</v>
      </c>
      <c r="H126" s="45">
        <f t="shared" si="3"/>
        <v>319</v>
      </c>
      <c r="I126" s="45">
        <f t="shared" si="4"/>
        <v>235</v>
      </c>
      <c r="J126" s="45">
        <f t="shared" si="5"/>
        <v>321</v>
      </c>
      <c r="K126" s="45">
        <f t="shared" si="6"/>
        <v>0</v>
      </c>
      <c r="L126" s="45">
        <f t="shared" si="7"/>
        <v>75</v>
      </c>
      <c r="M126" s="45">
        <f t="shared" si="8"/>
        <v>65</v>
      </c>
      <c r="N126" s="45">
        <f t="shared" si="9"/>
        <v>637</v>
      </c>
      <c r="O126" s="45">
        <f t="shared" si="10"/>
        <v>678</v>
      </c>
      <c r="P126" s="45">
        <f t="shared" si="11"/>
        <v>316</v>
      </c>
      <c r="Q126" s="45">
        <f t="shared" si="14"/>
        <v>4471</v>
      </c>
      <c r="R126" s="48"/>
    </row>
    <row r="127" spans="3:18" x14ac:dyDescent="0.2">
      <c r="C127" s="43" t="str">
        <f>VLOOKUP(D127,[4]DBASE!$B$3:$P$923,2,FALSE)</f>
        <v>Pg. Rejoagung</v>
      </c>
      <c r="D127" s="47">
        <f>[4]jan!C131</f>
        <v>350619027</v>
      </c>
      <c r="E127" s="45">
        <f t="shared" si="13"/>
        <v>207</v>
      </c>
      <c r="F127" s="45">
        <f t="shared" si="1"/>
        <v>160</v>
      </c>
      <c r="G127" s="45">
        <f t="shared" si="2"/>
        <v>315</v>
      </c>
      <c r="H127" s="45">
        <f t="shared" si="3"/>
        <v>86</v>
      </c>
      <c r="I127" s="45">
        <f t="shared" si="4"/>
        <v>90</v>
      </c>
      <c r="J127" s="45">
        <f t="shared" si="5"/>
        <v>71</v>
      </c>
      <c r="K127" s="45">
        <f t="shared" si="6"/>
        <v>21</v>
      </c>
      <c r="L127" s="45">
        <f t="shared" si="7"/>
        <v>12</v>
      </c>
      <c r="M127" s="45">
        <f t="shared" si="8"/>
        <v>45</v>
      </c>
      <c r="N127" s="45">
        <f t="shared" si="9"/>
        <v>87</v>
      </c>
      <c r="O127" s="45">
        <f t="shared" si="10"/>
        <v>405</v>
      </c>
      <c r="P127" s="45">
        <f t="shared" si="11"/>
        <v>296</v>
      </c>
      <c r="Q127" s="45">
        <f t="shared" si="14"/>
        <v>1795</v>
      </c>
      <c r="R127" s="48"/>
    </row>
    <row r="128" spans="3:18" x14ac:dyDescent="0.2">
      <c r="C128" s="43" t="str">
        <f>VLOOKUP(D128,[4]DBASE!$B$3:$P$923,2,FALSE)</f>
        <v>Pg.Kanigoro</v>
      </c>
      <c r="D128" s="47">
        <f>[4]jan!C132</f>
        <v>350619028</v>
      </c>
      <c r="E128" s="45">
        <f t="shared" si="13"/>
        <v>248</v>
      </c>
      <c r="F128" s="45">
        <f t="shared" si="1"/>
        <v>184</v>
      </c>
      <c r="G128" s="45">
        <f t="shared" si="2"/>
        <v>375</v>
      </c>
      <c r="H128" s="45">
        <f t="shared" si="3"/>
        <v>146</v>
      </c>
      <c r="I128" s="45">
        <f t="shared" si="4"/>
        <v>89</v>
      </c>
      <c r="J128" s="45">
        <f t="shared" si="5"/>
        <v>136</v>
      </c>
      <c r="K128" s="45">
        <f t="shared" si="6"/>
        <v>6</v>
      </c>
      <c r="L128" s="45">
        <f t="shared" si="7"/>
        <v>12</v>
      </c>
      <c r="M128" s="45">
        <f t="shared" si="8"/>
        <v>73</v>
      </c>
      <c r="N128" s="45">
        <f t="shared" si="9"/>
        <v>138</v>
      </c>
      <c r="O128" s="45">
        <f t="shared" si="10"/>
        <v>313</v>
      </c>
      <c r="P128" s="45">
        <f t="shared" si="11"/>
        <v>231</v>
      </c>
      <c r="Q128" s="45">
        <f t="shared" si="14"/>
        <v>1951</v>
      </c>
      <c r="R128" s="48"/>
    </row>
    <row r="129" spans="3:18" x14ac:dyDescent="0.2">
      <c r="C129" s="43" t="str">
        <f>VLOOKUP(D129,[4]DBASE!$B$3:$P$923,2,FALSE)</f>
        <v>Kertobanyon</v>
      </c>
      <c r="D129" s="47">
        <f>[4]jan!C133</f>
        <v>350619029</v>
      </c>
      <c r="E129" s="45">
        <f t="shared" si="13"/>
        <v>262</v>
      </c>
      <c r="F129" s="45">
        <f t="shared" si="1"/>
        <v>127</v>
      </c>
      <c r="G129" s="45">
        <f t="shared" si="2"/>
        <v>372</v>
      </c>
      <c r="H129" s="45">
        <f t="shared" si="3"/>
        <v>137</v>
      </c>
      <c r="I129" s="45">
        <f t="shared" si="4"/>
        <v>69</v>
      </c>
      <c r="J129" s="45">
        <f t="shared" si="5"/>
        <v>97</v>
      </c>
      <c r="K129" s="45">
        <f t="shared" si="6"/>
        <v>9</v>
      </c>
      <c r="L129" s="45">
        <f t="shared" si="7"/>
        <v>8</v>
      </c>
      <c r="M129" s="45">
        <f t="shared" si="8"/>
        <v>46</v>
      </c>
      <c r="N129" s="45">
        <f t="shared" si="9"/>
        <v>112</v>
      </c>
      <c r="O129" s="45">
        <f t="shared" si="10"/>
        <v>383</v>
      </c>
      <c r="P129" s="45">
        <f t="shared" si="11"/>
        <v>271</v>
      </c>
      <c r="Q129" s="45">
        <f t="shared" si="14"/>
        <v>1893</v>
      </c>
      <c r="R129" s="48"/>
    </row>
    <row r="130" spans="3:18" x14ac:dyDescent="0.2">
      <c r="C130" s="43" t="str">
        <f>VLOOKUP(D130,[4]DBASE!$B$3:$P$923,2,FALSE)</f>
        <v>Klegen</v>
      </c>
      <c r="D130" s="47">
        <f>[4]jan!C134</f>
        <v>350619030</v>
      </c>
      <c r="E130" s="45">
        <f t="shared" si="13"/>
        <v>215</v>
      </c>
      <c r="F130" s="45">
        <f t="shared" si="1"/>
        <v>79</v>
      </c>
      <c r="G130" s="45">
        <f t="shared" si="2"/>
        <v>254</v>
      </c>
      <c r="H130" s="45">
        <f t="shared" si="3"/>
        <v>75</v>
      </c>
      <c r="I130" s="45">
        <f t="shared" si="4"/>
        <v>79</v>
      </c>
      <c r="J130" s="45">
        <f t="shared" si="5"/>
        <v>65</v>
      </c>
      <c r="K130" s="45">
        <f t="shared" si="6"/>
        <v>10</v>
      </c>
      <c r="L130" s="45">
        <f t="shared" si="7"/>
        <v>18</v>
      </c>
      <c r="M130" s="45">
        <f t="shared" si="8"/>
        <v>37</v>
      </c>
      <c r="N130" s="45">
        <f t="shared" si="9"/>
        <v>75</v>
      </c>
      <c r="O130" s="45">
        <f t="shared" si="10"/>
        <v>352</v>
      </c>
      <c r="P130" s="45">
        <f t="shared" si="11"/>
        <v>209</v>
      </c>
      <c r="Q130" s="45">
        <f t="shared" si="14"/>
        <v>1468</v>
      </c>
      <c r="R130" s="48"/>
    </row>
    <row r="131" spans="3:18" x14ac:dyDescent="0.2">
      <c r="C131" s="43" t="str">
        <f>VLOOKUP(D131,[4]DBASE!$B$3:$P$923,2,FALSE)</f>
        <v>Pg.Pagotan</v>
      </c>
      <c r="D131" s="47">
        <f>[4]jan!C135</f>
        <v>350619031</v>
      </c>
      <c r="E131" s="45">
        <f t="shared" si="13"/>
        <v>310</v>
      </c>
      <c r="F131" s="45">
        <f t="shared" si="1"/>
        <v>142</v>
      </c>
      <c r="G131" s="45">
        <f t="shared" si="2"/>
        <v>404</v>
      </c>
      <c r="H131" s="45">
        <f t="shared" si="3"/>
        <v>115</v>
      </c>
      <c r="I131" s="45">
        <f t="shared" si="4"/>
        <v>51</v>
      </c>
      <c r="J131" s="45">
        <f t="shared" si="5"/>
        <v>124</v>
      </c>
      <c r="K131" s="45">
        <f t="shared" si="6"/>
        <v>15</v>
      </c>
      <c r="L131" s="45">
        <f t="shared" si="7"/>
        <v>7</v>
      </c>
      <c r="M131" s="45">
        <f t="shared" si="8"/>
        <v>69</v>
      </c>
      <c r="N131" s="45">
        <f t="shared" si="9"/>
        <v>165</v>
      </c>
      <c r="O131" s="45">
        <f t="shared" si="10"/>
        <v>391</v>
      </c>
      <c r="P131" s="45">
        <f t="shared" si="11"/>
        <v>274</v>
      </c>
      <c r="Q131" s="45">
        <f t="shared" si="14"/>
        <v>2067</v>
      </c>
      <c r="R131" s="48"/>
    </row>
    <row r="132" spans="3:18" x14ac:dyDescent="0.2">
      <c r="C132" s="43" t="str">
        <f>VLOOKUP(D132,[4]DBASE!$B$3:$P$923,2,FALSE)</f>
        <v>Gombal</v>
      </c>
      <c r="D132" s="47">
        <f>[4]jan!C136</f>
        <v>350619032</v>
      </c>
      <c r="E132" s="45">
        <f t="shared" ref="E132:E195" si="15">VLOOKUP($D132,jan,33,FALSE)</f>
        <v>371</v>
      </c>
      <c r="F132" s="45">
        <f t="shared" si="1"/>
        <v>104</v>
      </c>
      <c r="G132" s="45">
        <f t="shared" si="2"/>
        <v>404</v>
      </c>
      <c r="H132" s="45">
        <f t="shared" si="3"/>
        <v>170</v>
      </c>
      <c r="I132" s="45">
        <f t="shared" si="4"/>
        <v>179</v>
      </c>
      <c r="J132" s="45">
        <f t="shared" si="5"/>
        <v>106</v>
      </c>
      <c r="K132" s="45">
        <f t="shared" si="6"/>
        <v>16</v>
      </c>
      <c r="L132" s="45">
        <f t="shared" si="7"/>
        <v>7</v>
      </c>
      <c r="M132" s="45">
        <f t="shared" si="8"/>
        <v>64</v>
      </c>
      <c r="N132" s="45">
        <f t="shared" si="9"/>
        <v>283</v>
      </c>
      <c r="O132" s="45">
        <f t="shared" si="10"/>
        <v>430</v>
      </c>
      <c r="P132" s="45">
        <f t="shared" si="11"/>
        <v>172</v>
      </c>
      <c r="Q132" s="45">
        <f t="shared" si="14"/>
        <v>2306</v>
      </c>
      <c r="R132" s="48"/>
    </row>
    <row r="133" spans="3:18" x14ac:dyDescent="0.2">
      <c r="C133" s="43" t="str">
        <f>VLOOKUP(D133,[4]DBASE!$B$3:$P$923,2,FALSE)</f>
        <v>Sareng</v>
      </c>
      <c r="D133" s="47">
        <f>[4]jan!C137</f>
        <v>350619033</v>
      </c>
      <c r="E133" s="45">
        <f t="shared" si="15"/>
        <v>386</v>
      </c>
      <c r="F133" s="45">
        <f t="shared" si="1"/>
        <v>198</v>
      </c>
      <c r="G133" s="45">
        <f t="shared" si="2"/>
        <v>456</v>
      </c>
      <c r="H133" s="45">
        <f t="shared" si="3"/>
        <v>218</v>
      </c>
      <c r="I133" s="45">
        <f t="shared" si="4"/>
        <v>112</v>
      </c>
      <c r="J133" s="45">
        <f t="shared" si="5"/>
        <v>182</v>
      </c>
      <c r="K133" s="45">
        <f t="shared" si="6"/>
        <v>18</v>
      </c>
      <c r="L133" s="45">
        <f t="shared" si="7"/>
        <v>11</v>
      </c>
      <c r="M133" s="45">
        <f t="shared" si="8"/>
        <v>41</v>
      </c>
      <c r="N133" s="45">
        <f t="shared" si="9"/>
        <v>240</v>
      </c>
      <c r="O133" s="45">
        <f t="shared" si="10"/>
        <v>376</v>
      </c>
      <c r="P133" s="45">
        <f t="shared" si="11"/>
        <v>239</v>
      </c>
      <c r="Q133" s="45">
        <f t="shared" ref="Q133:Q196" si="16">SUM(E133:P133)</f>
        <v>2477</v>
      </c>
      <c r="R133" s="48"/>
    </row>
    <row r="134" spans="3:18" x14ac:dyDescent="0.2">
      <c r="C134" s="43" t="str">
        <f>VLOOKUP(D134,[4]DBASE!$B$3:$P$923,2,FALSE)</f>
        <v>Dolopo</v>
      </c>
      <c r="D134" s="47">
        <f>[4]jan!C138</f>
        <v>350619034</v>
      </c>
      <c r="E134" s="45">
        <f t="shared" si="15"/>
        <v>288</v>
      </c>
      <c r="F134" s="45">
        <f t="shared" si="1"/>
        <v>200</v>
      </c>
      <c r="G134" s="45">
        <f t="shared" si="2"/>
        <v>367</v>
      </c>
      <c r="H134" s="45">
        <f t="shared" si="3"/>
        <v>172</v>
      </c>
      <c r="I134" s="45">
        <f t="shared" si="4"/>
        <v>108</v>
      </c>
      <c r="J134" s="45">
        <f t="shared" si="5"/>
        <v>137</v>
      </c>
      <c r="K134" s="45">
        <f t="shared" si="6"/>
        <v>10</v>
      </c>
      <c r="L134" s="45">
        <f t="shared" si="7"/>
        <v>6</v>
      </c>
      <c r="M134" s="45">
        <f t="shared" si="8"/>
        <v>66</v>
      </c>
      <c r="N134" s="45">
        <f t="shared" si="9"/>
        <v>177</v>
      </c>
      <c r="O134" s="45">
        <f t="shared" si="10"/>
        <v>351</v>
      </c>
      <c r="P134" s="45">
        <f t="shared" si="11"/>
        <v>254</v>
      </c>
      <c r="Q134" s="45">
        <f t="shared" si="16"/>
        <v>2136</v>
      </c>
      <c r="R134" s="48"/>
    </row>
    <row r="135" spans="3:18" x14ac:dyDescent="0.2">
      <c r="C135" s="43" t="str">
        <f>VLOOKUP(D135,[4]DBASE!$B$3:$P$923,2,FALSE)</f>
        <v>Karanganyar</v>
      </c>
      <c r="D135" s="47">
        <f>[4]jan!C139</f>
        <v>350619035</v>
      </c>
      <c r="E135" s="45">
        <f t="shared" si="15"/>
        <v>226</v>
      </c>
      <c r="F135" s="45">
        <f t="shared" si="1"/>
        <v>199</v>
      </c>
      <c r="G135" s="45">
        <f t="shared" si="2"/>
        <v>318</v>
      </c>
      <c r="H135" s="45">
        <f t="shared" si="3"/>
        <v>145</v>
      </c>
      <c r="I135" s="45">
        <f t="shared" si="4"/>
        <v>165</v>
      </c>
      <c r="J135" s="45">
        <f t="shared" si="5"/>
        <v>146</v>
      </c>
      <c r="K135" s="45">
        <f t="shared" si="6"/>
        <v>38</v>
      </c>
      <c r="L135" s="45">
        <f t="shared" si="7"/>
        <v>21</v>
      </c>
      <c r="M135" s="45">
        <f t="shared" si="8"/>
        <v>44</v>
      </c>
      <c r="N135" s="45">
        <f t="shared" si="9"/>
        <v>122</v>
      </c>
      <c r="O135" s="45">
        <f t="shared" si="10"/>
        <v>310</v>
      </c>
      <c r="P135" s="45">
        <f t="shared" si="11"/>
        <v>220</v>
      </c>
      <c r="Q135" s="45">
        <f t="shared" si="16"/>
        <v>1954</v>
      </c>
      <c r="R135" s="48"/>
    </row>
    <row r="136" spans="3:18" x14ac:dyDescent="0.2">
      <c r="C136" s="43" t="str">
        <f>VLOOKUP(D136,[4]DBASE!$B$3:$P$923,2,FALSE)</f>
        <v>Krangkeng</v>
      </c>
      <c r="D136" s="47">
        <f>[4]jan!C140</f>
        <v>350619036</v>
      </c>
      <c r="E136" s="45">
        <f t="shared" si="15"/>
        <v>292</v>
      </c>
      <c r="F136" s="45">
        <f t="shared" si="1"/>
        <v>147</v>
      </c>
      <c r="G136" s="45">
        <f t="shared" si="2"/>
        <v>379</v>
      </c>
      <c r="H136" s="45">
        <f t="shared" si="3"/>
        <v>125</v>
      </c>
      <c r="I136" s="45">
        <f t="shared" si="4"/>
        <v>88</v>
      </c>
      <c r="J136" s="45">
        <f t="shared" si="5"/>
        <v>160</v>
      </c>
      <c r="K136" s="45">
        <f t="shared" si="6"/>
        <v>10</v>
      </c>
      <c r="L136" s="45">
        <f t="shared" si="7"/>
        <v>14</v>
      </c>
      <c r="M136" s="45">
        <f t="shared" si="8"/>
        <v>89</v>
      </c>
      <c r="N136" s="45">
        <f t="shared" si="9"/>
        <v>209</v>
      </c>
      <c r="O136" s="45">
        <f t="shared" si="10"/>
        <v>305</v>
      </c>
      <c r="P136" s="45">
        <f t="shared" si="11"/>
        <v>209</v>
      </c>
      <c r="Q136" s="45">
        <f t="shared" si="16"/>
        <v>2027</v>
      </c>
      <c r="R136" s="48"/>
    </row>
    <row r="137" spans="3:18" x14ac:dyDescent="0.2">
      <c r="C137" s="43" t="str">
        <f>VLOOKUP(D137,[4]DBASE!$B$3:$P$923,2,FALSE)</f>
        <v>Kantor Barat</v>
      </c>
      <c r="D137" s="47">
        <f>[4]jan!C141</f>
        <v>350620001</v>
      </c>
      <c r="E137" s="45">
        <f t="shared" si="15"/>
        <v>190</v>
      </c>
      <c r="F137" s="45">
        <f t="shared" si="1"/>
        <v>112</v>
      </c>
      <c r="G137" s="45">
        <f t="shared" si="2"/>
        <v>326</v>
      </c>
      <c r="H137" s="45">
        <f t="shared" si="3"/>
        <v>269</v>
      </c>
      <c r="I137" s="45">
        <f t="shared" si="4"/>
        <v>100</v>
      </c>
      <c r="J137" s="45">
        <f t="shared" si="5"/>
        <v>138</v>
      </c>
      <c r="K137" s="45">
        <f t="shared" si="6"/>
        <v>36</v>
      </c>
      <c r="L137" s="45">
        <f t="shared" si="7"/>
        <v>75</v>
      </c>
      <c r="M137" s="45">
        <f t="shared" si="8"/>
        <v>83</v>
      </c>
      <c r="N137" s="45">
        <f t="shared" si="9"/>
        <v>106</v>
      </c>
      <c r="O137" s="45">
        <f t="shared" si="10"/>
        <v>355</v>
      </c>
      <c r="P137" s="45">
        <f t="shared" si="11"/>
        <v>346</v>
      </c>
      <c r="Q137" s="45">
        <f t="shared" si="16"/>
        <v>2136</v>
      </c>
      <c r="R137" s="48"/>
    </row>
    <row r="138" spans="3:18" x14ac:dyDescent="0.2">
      <c r="C138" s="43" t="str">
        <f>VLOOKUP(D138,[4]DBASE!$B$3:$P$923,2,FALSE)</f>
        <v>Karangmojo</v>
      </c>
      <c r="D138" s="47">
        <f>[4]jan!C142</f>
        <v>350620002</v>
      </c>
      <c r="E138" s="45">
        <f t="shared" si="15"/>
        <v>183</v>
      </c>
      <c r="F138" s="45">
        <f t="shared" si="1"/>
        <v>216</v>
      </c>
      <c r="G138" s="45">
        <f t="shared" si="2"/>
        <v>324</v>
      </c>
      <c r="H138" s="45">
        <f t="shared" si="3"/>
        <v>300</v>
      </c>
      <c r="I138" s="45">
        <f t="shared" si="4"/>
        <v>123</v>
      </c>
      <c r="J138" s="45">
        <f t="shared" si="5"/>
        <v>123</v>
      </c>
      <c r="K138" s="45">
        <f t="shared" si="6"/>
        <v>64</v>
      </c>
      <c r="L138" s="45">
        <f t="shared" si="7"/>
        <v>83</v>
      </c>
      <c r="M138" s="45">
        <f t="shared" si="8"/>
        <v>29</v>
      </c>
      <c r="N138" s="45">
        <f t="shared" si="9"/>
        <v>106</v>
      </c>
      <c r="O138" s="45">
        <f t="shared" si="10"/>
        <v>323</v>
      </c>
      <c r="P138" s="45">
        <f t="shared" si="11"/>
        <v>215</v>
      </c>
      <c r="Q138" s="45">
        <f t="shared" si="16"/>
        <v>2089</v>
      </c>
      <c r="R138" s="48"/>
    </row>
    <row r="139" spans="3:18" x14ac:dyDescent="0.2">
      <c r="C139" s="43" t="str">
        <f>VLOOKUP(D139,[4]DBASE!$B$3:$P$923,2,FALSE)</f>
        <v>Taji</v>
      </c>
      <c r="D139" s="47">
        <f>[4]jan!C143</f>
        <v>350620003</v>
      </c>
      <c r="E139" s="45">
        <f t="shared" si="15"/>
        <v>367</v>
      </c>
      <c r="F139" s="45">
        <f t="shared" si="1"/>
        <v>198</v>
      </c>
      <c r="G139" s="45">
        <f t="shared" si="2"/>
        <v>421</v>
      </c>
      <c r="H139" s="45">
        <f t="shared" si="3"/>
        <v>298</v>
      </c>
      <c r="I139" s="45">
        <f t="shared" si="4"/>
        <v>249</v>
      </c>
      <c r="J139" s="45">
        <f t="shared" si="5"/>
        <v>127</v>
      </c>
      <c r="K139" s="45">
        <f t="shared" si="6"/>
        <v>35</v>
      </c>
      <c r="L139" s="45">
        <f t="shared" si="7"/>
        <v>79</v>
      </c>
      <c r="M139" s="45">
        <f t="shared" si="8"/>
        <v>92</v>
      </c>
      <c r="N139" s="45">
        <f t="shared" si="9"/>
        <v>113</v>
      </c>
      <c r="O139" s="45">
        <f t="shared" si="10"/>
        <v>421</v>
      </c>
      <c r="P139" s="45">
        <f t="shared" si="11"/>
        <v>302</v>
      </c>
      <c r="Q139" s="45">
        <f t="shared" si="16"/>
        <v>2702</v>
      </c>
      <c r="R139" s="48"/>
    </row>
    <row r="140" spans="3:18" x14ac:dyDescent="0.2">
      <c r="C140" s="43" t="str">
        <f>VLOOKUP(D140,[4]DBASE!$B$3:$P$923,2,FALSE)</f>
        <v>Purwodadi</v>
      </c>
      <c r="D140" s="47">
        <f>[4]jan!C144</f>
        <v>350620004</v>
      </c>
      <c r="E140" s="45">
        <f t="shared" si="15"/>
        <v>249</v>
      </c>
      <c r="F140" s="45">
        <f t="shared" si="1"/>
        <v>219</v>
      </c>
      <c r="G140" s="45">
        <f t="shared" si="2"/>
        <v>279</v>
      </c>
      <c r="H140" s="45">
        <f t="shared" si="3"/>
        <v>260</v>
      </c>
      <c r="I140" s="45">
        <f t="shared" si="4"/>
        <v>121</v>
      </c>
      <c r="J140" s="45">
        <f t="shared" si="5"/>
        <v>148</v>
      </c>
      <c r="K140" s="45">
        <f t="shared" si="6"/>
        <v>55</v>
      </c>
      <c r="L140" s="45">
        <f t="shared" si="7"/>
        <v>107</v>
      </c>
      <c r="M140" s="45">
        <f t="shared" si="8"/>
        <v>79</v>
      </c>
      <c r="N140" s="45">
        <f t="shared" si="9"/>
        <v>119</v>
      </c>
      <c r="O140" s="45">
        <f t="shared" si="10"/>
        <v>322</v>
      </c>
      <c r="P140" s="45">
        <f t="shared" si="11"/>
        <v>275</v>
      </c>
      <c r="Q140" s="45">
        <f t="shared" si="16"/>
        <v>2233</v>
      </c>
      <c r="R140" s="48"/>
    </row>
    <row r="141" spans="3:18" x14ac:dyDescent="0.2">
      <c r="C141" s="43" t="str">
        <f>VLOOKUP(D141,[4]DBASE!$B$3:$P$923,2,FALSE)</f>
        <v>Jungke</v>
      </c>
      <c r="D141" s="47">
        <f>[4]jan!C145</f>
        <v>350620005</v>
      </c>
      <c r="E141" s="45">
        <f t="shared" si="15"/>
        <v>330</v>
      </c>
      <c r="F141" s="45">
        <f t="shared" si="1"/>
        <v>252</v>
      </c>
      <c r="G141" s="45">
        <f t="shared" si="2"/>
        <v>342</v>
      </c>
      <c r="H141" s="45">
        <f t="shared" si="3"/>
        <v>349</v>
      </c>
      <c r="I141" s="45">
        <f t="shared" si="4"/>
        <v>156</v>
      </c>
      <c r="J141" s="45">
        <f t="shared" si="5"/>
        <v>148</v>
      </c>
      <c r="K141" s="45">
        <f t="shared" si="6"/>
        <v>49</v>
      </c>
      <c r="L141" s="45">
        <f t="shared" si="7"/>
        <v>101</v>
      </c>
      <c r="M141" s="45">
        <f t="shared" si="8"/>
        <v>66</v>
      </c>
      <c r="N141" s="45">
        <f t="shared" si="9"/>
        <v>150</v>
      </c>
      <c r="O141" s="45">
        <f t="shared" si="10"/>
        <v>367</v>
      </c>
      <c r="P141" s="45">
        <f t="shared" si="11"/>
        <v>248</v>
      </c>
      <c r="Q141" s="45">
        <f t="shared" si="16"/>
        <v>2558</v>
      </c>
      <c r="R141" s="48"/>
    </row>
    <row r="142" spans="3:18" x14ac:dyDescent="0.2">
      <c r="C142" s="43" t="str">
        <f>VLOOKUP(D142,[4]DBASE!$B$3:$P$923,2,FALSE)</f>
        <v>Tinap</v>
      </c>
      <c r="D142" s="47">
        <f>[4]jan!C146</f>
        <v>350620006</v>
      </c>
      <c r="E142" s="45">
        <f t="shared" si="15"/>
        <v>247</v>
      </c>
      <c r="F142" s="45">
        <f t="shared" si="1"/>
        <v>96</v>
      </c>
      <c r="G142" s="45">
        <f t="shared" si="2"/>
        <v>316</v>
      </c>
      <c r="H142" s="45">
        <f t="shared" si="3"/>
        <v>350</v>
      </c>
      <c r="I142" s="45">
        <f t="shared" si="4"/>
        <v>205</v>
      </c>
      <c r="J142" s="45">
        <f t="shared" si="5"/>
        <v>108</v>
      </c>
      <c r="K142" s="45">
        <f t="shared" si="6"/>
        <v>63</v>
      </c>
      <c r="L142" s="45">
        <f t="shared" si="7"/>
        <v>12</v>
      </c>
      <c r="M142" s="45">
        <f t="shared" si="8"/>
        <v>36</v>
      </c>
      <c r="N142" s="45">
        <f t="shared" si="9"/>
        <v>164</v>
      </c>
      <c r="O142" s="45">
        <f t="shared" si="10"/>
        <v>350</v>
      </c>
      <c r="P142" s="45">
        <f t="shared" si="11"/>
        <v>270</v>
      </c>
      <c r="Q142" s="45">
        <f t="shared" si="16"/>
        <v>2217</v>
      </c>
      <c r="R142" s="48"/>
    </row>
    <row r="143" spans="3:18" x14ac:dyDescent="0.2">
      <c r="C143" s="43" t="str">
        <f>VLOOKUP(D143,[4]DBASE!$B$3:$P$923,2,FALSE)</f>
        <v>Bendo MGT</v>
      </c>
      <c r="D143" s="47">
        <f>[4]jan!C147</f>
        <v>350620007</v>
      </c>
      <c r="E143" s="45">
        <f t="shared" si="15"/>
        <v>222</v>
      </c>
      <c r="F143" s="45">
        <f t="shared" si="1"/>
        <v>77</v>
      </c>
      <c r="G143" s="45">
        <f t="shared" si="2"/>
        <v>181</v>
      </c>
      <c r="H143" s="45">
        <f t="shared" si="3"/>
        <v>147</v>
      </c>
      <c r="I143" s="45">
        <f t="shared" si="4"/>
        <v>155</v>
      </c>
      <c r="J143" s="45">
        <f t="shared" si="5"/>
        <v>118</v>
      </c>
      <c r="K143" s="45">
        <f t="shared" si="6"/>
        <v>47</v>
      </c>
      <c r="L143" s="45">
        <f t="shared" si="7"/>
        <v>40</v>
      </c>
      <c r="M143" s="45">
        <f t="shared" si="8"/>
        <v>30</v>
      </c>
      <c r="N143" s="45">
        <f t="shared" si="9"/>
        <v>159</v>
      </c>
      <c r="O143" s="45">
        <f t="shared" si="10"/>
        <v>229</v>
      </c>
      <c r="P143" s="45">
        <f t="shared" si="11"/>
        <v>243</v>
      </c>
      <c r="Q143" s="45">
        <f t="shared" si="16"/>
        <v>1648</v>
      </c>
      <c r="R143" s="48"/>
    </row>
    <row r="144" spans="3:18" x14ac:dyDescent="0.2">
      <c r="C144" s="43" t="str">
        <f>VLOOKUP(D144,[4]DBASE!$B$3:$P$923,2,FALSE)</f>
        <v>Gandongkerik</v>
      </c>
      <c r="D144" s="47">
        <f>[4]jan!C148</f>
        <v>350620008</v>
      </c>
      <c r="E144" s="45">
        <f t="shared" si="15"/>
        <v>217</v>
      </c>
      <c r="F144" s="45">
        <f t="shared" si="1"/>
        <v>146</v>
      </c>
      <c r="G144" s="45">
        <f t="shared" si="2"/>
        <v>325</v>
      </c>
      <c r="H144" s="45">
        <f t="shared" si="3"/>
        <v>123</v>
      </c>
      <c r="I144" s="45">
        <f t="shared" si="4"/>
        <v>249</v>
      </c>
      <c r="J144" s="45">
        <f t="shared" si="5"/>
        <v>140</v>
      </c>
      <c r="K144" s="45">
        <f t="shared" si="6"/>
        <v>15</v>
      </c>
      <c r="L144" s="45">
        <f t="shared" si="7"/>
        <v>48</v>
      </c>
      <c r="M144" s="45">
        <f t="shared" si="8"/>
        <v>51</v>
      </c>
      <c r="N144" s="45">
        <f t="shared" si="9"/>
        <v>83</v>
      </c>
      <c r="O144" s="45">
        <f t="shared" si="10"/>
        <v>486</v>
      </c>
      <c r="P144" s="45">
        <f t="shared" si="11"/>
        <v>314</v>
      </c>
      <c r="Q144" s="45">
        <f t="shared" si="16"/>
        <v>2197</v>
      </c>
      <c r="R144" s="48"/>
    </row>
    <row r="145" spans="3:18" x14ac:dyDescent="0.2">
      <c r="C145" s="43" t="str">
        <f>VLOOKUP(D145,[4]DBASE!$B$3:$P$923,2,FALSE)</f>
        <v>Jejeruk</v>
      </c>
      <c r="D145" s="47">
        <f>[4]jan!C149</f>
        <v>350620009</v>
      </c>
      <c r="E145" s="45">
        <f t="shared" si="15"/>
        <v>355</v>
      </c>
      <c r="F145" s="45">
        <f t="shared" si="1"/>
        <v>249</v>
      </c>
      <c r="G145" s="45">
        <f t="shared" si="2"/>
        <v>449</v>
      </c>
      <c r="H145" s="45">
        <f t="shared" si="3"/>
        <v>208</v>
      </c>
      <c r="I145" s="45">
        <f t="shared" si="4"/>
        <v>250</v>
      </c>
      <c r="J145" s="45">
        <f t="shared" si="5"/>
        <v>172</v>
      </c>
      <c r="K145" s="45">
        <f t="shared" si="6"/>
        <v>75</v>
      </c>
      <c r="L145" s="45">
        <f t="shared" si="7"/>
        <v>59</v>
      </c>
      <c r="M145" s="45">
        <f t="shared" si="8"/>
        <v>75</v>
      </c>
      <c r="N145" s="45">
        <f t="shared" si="9"/>
        <v>189</v>
      </c>
      <c r="O145" s="45">
        <f t="shared" si="10"/>
        <v>367</v>
      </c>
      <c r="P145" s="45">
        <f t="shared" si="11"/>
        <v>268</v>
      </c>
      <c r="Q145" s="45">
        <f t="shared" si="16"/>
        <v>2716</v>
      </c>
      <c r="R145" s="48"/>
    </row>
    <row r="146" spans="3:18" x14ac:dyDescent="0.2">
      <c r="C146" s="43" t="str">
        <f>VLOOKUP(D146,[4]DBASE!$B$3:$P$923,2,FALSE)</f>
        <v>Sumberdodol</v>
      </c>
      <c r="D146" s="47">
        <f>[4]jan!C150</f>
        <v>350620010</v>
      </c>
      <c r="E146" s="45">
        <f t="shared" si="15"/>
        <v>378</v>
      </c>
      <c r="F146" s="45">
        <f t="shared" si="1"/>
        <v>248</v>
      </c>
      <c r="G146" s="45">
        <f t="shared" si="2"/>
        <v>281</v>
      </c>
      <c r="H146" s="45">
        <f t="shared" si="3"/>
        <v>224</v>
      </c>
      <c r="I146" s="45">
        <f t="shared" si="4"/>
        <v>216</v>
      </c>
      <c r="J146" s="45">
        <f t="shared" si="5"/>
        <v>195</v>
      </c>
      <c r="K146" s="45">
        <f t="shared" si="6"/>
        <v>55</v>
      </c>
      <c r="L146" s="45">
        <f t="shared" si="7"/>
        <v>44</v>
      </c>
      <c r="M146" s="45">
        <f t="shared" si="8"/>
        <v>93</v>
      </c>
      <c r="N146" s="45">
        <f t="shared" si="9"/>
        <v>160</v>
      </c>
      <c r="O146" s="45">
        <f t="shared" si="10"/>
        <v>411</v>
      </c>
      <c r="P146" s="45">
        <f t="shared" si="11"/>
        <v>269</v>
      </c>
      <c r="Q146" s="45">
        <f t="shared" si="16"/>
        <v>2574</v>
      </c>
      <c r="R146" s="48"/>
    </row>
    <row r="147" spans="3:18" x14ac:dyDescent="0.2">
      <c r="C147" s="43" t="str">
        <f>VLOOKUP(D147,[4]DBASE!$B$3:$P$923,2,FALSE)</f>
        <v>Sarangan_MGT</v>
      </c>
      <c r="D147" s="47">
        <f>[4]jan!C151</f>
        <v>350620011</v>
      </c>
      <c r="E147" s="45">
        <f t="shared" si="15"/>
        <v>227</v>
      </c>
      <c r="F147" s="45">
        <f t="shared" si="1"/>
        <v>278</v>
      </c>
      <c r="G147" s="45">
        <f t="shared" si="2"/>
        <v>273</v>
      </c>
      <c r="H147" s="45">
        <f t="shared" si="3"/>
        <v>197</v>
      </c>
      <c r="I147" s="45">
        <f t="shared" si="4"/>
        <v>279</v>
      </c>
      <c r="J147" s="45">
        <f t="shared" si="5"/>
        <v>154</v>
      </c>
      <c r="K147" s="45">
        <f t="shared" si="6"/>
        <v>97</v>
      </c>
      <c r="L147" s="45">
        <f t="shared" si="7"/>
        <v>88</v>
      </c>
      <c r="M147" s="45">
        <f t="shared" si="8"/>
        <v>76</v>
      </c>
      <c r="N147" s="45">
        <f t="shared" si="9"/>
        <v>382</v>
      </c>
      <c r="O147" s="45">
        <f t="shared" si="10"/>
        <v>514</v>
      </c>
      <c r="P147" s="45">
        <f t="shared" si="11"/>
        <v>346</v>
      </c>
      <c r="Q147" s="45">
        <f t="shared" si="16"/>
        <v>2911</v>
      </c>
      <c r="R147" s="48"/>
    </row>
    <row r="148" spans="3:18" x14ac:dyDescent="0.2">
      <c r="C148" s="43" t="str">
        <f>VLOOKUP(D148,[4]DBASE!$B$3:$P$923,2,FALSE)</f>
        <v>Nitikan</v>
      </c>
      <c r="D148" s="47">
        <f>[4]jan!C152</f>
        <v>350620012</v>
      </c>
      <c r="E148" s="45">
        <f t="shared" si="15"/>
        <v>316</v>
      </c>
      <c r="F148" s="45">
        <f t="shared" si="1"/>
        <v>128</v>
      </c>
      <c r="G148" s="45">
        <f t="shared" si="2"/>
        <v>315</v>
      </c>
      <c r="H148" s="45">
        <f t="shared" si="3"/>
        <v>251</v>
      </c>
      <c r="I148" s="45">
        <f t="shared" si="4"/>
        <v>225</v>
      </c>
      <c r="J148" s="45">
        <f t="shared" si="5"/>
        <v>116</v>
      </c>
      <c r="K148" s="45">
        <f t="shared" si="6"/>
        <v>50</v>
      </c>
      <c r="L148" s="45">
        <f t="shared" si="7"/>
        <v>56</v>
      </c>
      <c r="M148" s="45">
        <f t="shared" si="8"/>
        <v>69</v>
      </c>
      <c r="N148" s="45">
        <f t="shared" si="9"/>
        <v>143</v>
      </c>
      <c r="O148" s="45">
        <f t="shared" si="10"/>
        <v>416</v>
      </c>
      <c r="P148" s="45">
        <f t="shared" si="11"/>
        <v>278</v>
      </c>
      <c r="Q148" s="45">
        <f t="shared" si="16"/>
        <v>2363</v>
      </c>
      <c r="R148" s="48"/>
    </row>
    <row r="149" spans="3:18" x14ac:dyDescent="0.2">
      <c r="C149" s="43" t="str">
        <f>VLOOKUP(D149,[4]DBASE!$B$3:$P$923,2,FALSE)</f>
        <v>Slagreng</v>
      </c>
      <c r="D149" s="47">
        <f>[4]jan!C153</f>
        <v>350620013</v>
      </c>
      <c r="E149" s="45">
        <f t="shared" si="15"/>
        <v>444</v>
      </c>
      <c r="F149" s="45">
        <f t="shared" si="1"/>
        <v>249</v>
      </c>
      <c r="G149" s="45">
        <f t="shared" si="2"/>
        <v>365</v>
      </c>
      <c r="H149" s="45">
        <f t="shared" si="3"/>
        <v>306</v>
      </c>
      <c r="I149" s="45">
        <f t="shared" si="4"/>
        <v>306</v>
      </c>
      <c r="J149" s="45">
        <f t="shared" si="5"/>
        <v>172</v>
      </c>
      <c r="K149" s="45">
        <f t="shared" si="6"/>
        <v>52</v>
      </c>
      <c r="L149" s="45">
        <f t="shared" si="7"/>
        <v>44</v>
      </c>
      <c r="M149" s="45">
        <f t="shared" si="8"/>
        <v>118</v>
      </c>
      <c r="N149" s="45">
        <f t="shared" si="9"/>
        <v>164</v>
      </c>
      <c r="O149" s="45">
        <f t="shared" si="10"/>
        <v>520</v>
      </c>
      <c r="P149" s="45">
        <f t="shared" si="11"/>
        <v>275</v>
      </c>
      <c r="Q149" s="45">
        <f t="shared" si="16"/>
        <v>3015</v>
      </c>
      <c r="R149" s="48"/>
    </row>
    <row r="150" spans="3:18" x14ac:dyDescent="0.2">
      <c r="C150" s="43" t="str">
        <f>VLOOKUP(D150,[4]DBASE!$B$3:$P$923,2,FALSE)</f>
        <v>Jati</v>
      </c>
      <c r="D150" s="47">
        <f>[4]jan!C154</f>
        <v>350620014</v>
      </c>
      <c r="E150" s="45">
        <f t="shared" si="15"/>
        <v>282</v>
      </c>
      <c r="F150" s="45">
        <f t="shared" si="1"/>
        <v>146</v>
      </c>
      <c r="G150" s="45">
        <f t="shared" si="2"/>
        <v>268</v>
      </c>
      <c r="H150" s="45">
        <f t="shared" si="3"/>
        <v>65</v>
      </c>
      <c r="I150" s="45">
        <f t="shared" si="4"/>
        <v>136</v>
      </c>
      <c r="J150" s="45">
        <f t="shared" si="5"/>
        <v>65</v>
      </c>
      <c r="K150" s="45">
        <f t="shared" si="6"/>
        <v>4</v>
      </c>
      <c r="L150" s="45">
        <f t="shared" si="7"/>
        <v>6</v>
      </c>
      <c r="M150" s="45">
        <f t="shared" si="8"/>
        <v>42</v>
      </c>
      <c r="N150" s="45">
        <f t="shared" si="9"/>
        <v>163</v>
      </c>
      <c r="O150" s="45">
        <f t="shared" si="10"/>
        <v>259</v>
      </c>
      <c r="P150" s="45">
        <f t="shared" si="11"/>
        <v>167</v>
      </c>
      <c r="Q150" s="45">
        <f t="shared" si="16"/>
        <v>1603</v>
      </c>
      <c r="R150" s="48"/>
    </row>
    <row r="151" spans="3:18" x14ac:dyDescent="0.2">
      <c r="C151" s="43" t="str">
        <f>VLOOKUP(D151,[4]DBASE!$B$3:$P$923,2,FALSE)</f>
        <v>Kawedanan</v>
      </c>
      <c r="D151" s="47">
        <f>[4]jan!C155</f>
        <v>350620015</v>
      </c>
      <c r="E151" s="45">
        <f t="shared" si="15"/>
        <v>310</v>
      </c>
      <c r="F151" s="45">
        <f t="shared" si="1"/>
        <v>205</v>
      </c>
      <c r="G151" s="45">
        <f t="shared" si="2"/>
        <v>229</v>
      </c>
      <c r="H151" s="45">
        <f t="shared" si="3"/>
        <v>79</v>
      </c>
      <c r="I151" s="45">
        <f t="shared" si="4"/>
        <v>161</v>
      </c>
      <c r="J151" s="45">
        <f t="shared" si="5"/>
        <v>63</v>
      </c>
      <c r="K151" s="45">
        <f t="shared" si="6"/>
        <v>41</v>
      </c>
      <c r="L151" s="45">
        <f t="shared" si="7"/>
        <v>7</v>
      </c>
      <c r="M151" s="45">
        <f t="shared" si="8"/>
        <v>8</v>
      </c>
      <c r="N151" s="45">
        <f t="shared" si="9"/>
        <v>116</v>
      </c>
      <c r="O151" s="45">
        <f t="shared" si="10"/>
        <v>358</v>
      </c>
      <c r="P151" s="45">
        <f t="shared" si="11"/>
        <v>219</v>
      </c>
      <c r="Q151" s="45">
        <f t="shared" si="16"/>
        <v>1796</v>
      </c>
      <c r="R151" s="48"/>
    </row>
    <row r="152" spans="3:18" x14ac:dyDescent="0.2">
      <c r="C152" s="43" t="str">
        <f>VLOOKUP(D152,[4]DBASE!$B$3:$P$923,2,FALSE)</f>
        <v>Bogem Rejosari</v>
      </c>
      <c r="D152" s="47">
        <f>[4]jan!C156</f>
        <v>350620016</v>
      </c>
      <c r="E152" s="45">
        <f t="shared" si="15"/>
        <v>256</v>
      </c>
      <c r="F152" s="45">
        <f t="shared" si="1"/>
        <v>157</v>
      </c>
      <c r="G152" s="45">
        <f t="shared" si="2"/>
        <v>246.6</v>
      </c>
      <c r="H152" s="45">
        <f t="shared" si="3"/>
        <v>67</v>
      </c>
      <c r="I152" s="45">
        <f t="shared" si="4"/>
        <v>151</v>
      </c>
      <c r="J152" s="45">
        <f t="shared" si="5"/>
        <v>80</v>
      </c>
      <c r="K152" s="45">
        <f t="shared" si="6"/>
        <v>75</v>
      </c>
      <c r="L152" s="45">
        <f t="shared" si="7"/>
        <v>17</v>
      </c>
      <c r="M152" s="45">
        <f t="shared" si="8"/>
        <v>18</v>
      </c>
      <c r="N152" s="45">
        <f t="shared" si="9"/>
        <v>137</v>
      </c>
      <c r="O152" s="45">
        <f t="shared" si="10"/>
        <v>337</v>
      </c>
      <c r="P152" s="45">
        <f t="shared" si="11"/>
        <v>186</v>
      </c>
      <c r="Q152" s="45">
        <f t="shared" si="16"/>
        <v>1727.6</v>
      </c>
      <c r="R152" s="48"/>
    </row>
    <row r="153" spans="3:18" x14ac:dyDescent="0.2">
      <c r="C153" s="43" t="str">
        <f>VLOOKUP(D153,[4]DBASE!$B$3:$P$923,2,FALSE)</f>
        <v>Lembeyan</v>
      </c>
      <c r="D153" s="47">
        <f>[4]jan!C157</f>
        <v>350620017</v>
      </c>
      <c r="E153" s="45">
        <f t="shared" si="15"/>
        <v>361</v>
      </c>
      <c r="F153" s="45">
        <f t="shared" si="1"/>
        <v>236</v>
      </c>
      <c r="G153" s="45">
        <f t="shared" si="2"/>
        <v>329</v>
      </c>
      <c r="H153" s="45">
        <f t="shared" si="3"/>
        <v>82</v>
      </c>
      <c r="I153" s="45">
        <f t="shared" si="4"/>
        <v>96</v>
      </c>
      <c r="J153" s="45">
        <f t="shared" si="5"/>
        <v>104</v>
      </c>
      <c r="K153" s="45">
        <f t="shared" si="6"/>
        <v>10</v>
      </c>
      <c r="L153" s="45">
        <f t="shared" si="7"/>
        <v>40</v>
      </c>
      <c r="M153" s="45">
        <f t="shared" si="8"/>
        <v>57</v>
      </c>
      <c r="N153" s="45">
        <f t="shared" si="9"/>
        <v>253</v>
      </c>
      <c r="O153" s="45">
        <f t="shared" si="10"/>
        <v>295</v>
      </c>
      <c r="P153" s="45">
        <f t="shared" si="11"/>
        <v>300</v>
      </c>
      <c r="Q153" s="45">
        <f t="shared" si="16"/>
        <v>2163</v>
      </c>
      <c r="R153" s="48"/>
    </row>
    <row r="154" spans="3:18" x14ac:dyDescent="0.2">
      <c r="C154" s="43" t="str">
        <f>VLOOKUP(D154,[4]DBASE!$B$3:$P$923,2,FALSE)</f>
        <v>Parang</v>
      </c>
      <c r="D154" s="47">
        <f>[4]jan!C158</f>
        <v>350620018</v>
      </c>
      <c r="E154" s="45">
        <f t="shared" si="15"/>
        <v>288</v>
      </c>
      <c r="F154" s="45">
        <f t="shared" si="1"/>
        <v>393</v>
      </c>
      <c r="G154" s="45">
        <f t="shared" si="2"/>
        <v>262</v>
      </c>
      <c r="H154" s="45">
        <f t="shared" si="3"/>
        <v>94</v>
      </c>
      <c r="I154" s="45">
        <f t="shared" si="4"/>
        <v>160</v>
      </c>
      <c r="J154" s="45">
        <f t="shared" si="5"/>
        <v>54</v>
      </c>
      <c r="K154" s="45">
        <f t="shared" si="6"/>
        <v>6</v>
      </c>
      <c r="L154" s="45">
        <f t="shared" si="7"/>
        <v>29</v>
      </c>
      <c r="M154" s="45">
        <f t="shared" si="8"/>
        <v>12</v>
      </c>
      <c r="N154" s="45">
        <f t="shared" si="9"/>
        <v>281</v>
      </c>
      <c r="O154" s="45">
        <f t="shared" si="10"/>
        <v>315</v>
      </c>
      <c r="P154" s="45">
        <f t="shared" si="11"/>
        <v>304</v>
      </c>
      <c r="Q154" s="45">
        <f t="shared" si="16"/>
        <v>2198</v>
      </c>
      <c r="R154" s="48"/>
    </row>
    <row r="155" spans="3:18" x14ac:dyDescent="0.2">
      <c r="C155" s="43" t="str">
        <f>VLOOKUP(D155,[4]DBASE!$B$3:$P$923,2,FALSE)</f>
        <v>Poncol</v>
      </c>
      <c r="D155" s="47">
        <f>[4]jan!C159</f>
        <v>350620019</v>
      </c>
      <c r="E155" s="45">
        <f t="shared" si="15"/>
        <v>208</v>
      </c>
      <c r="F155" s="45">
        <f t="shared" si="1"/>
        <v>267</v>
      </c>
      <c r="G155" s="45">
        <f t="shared" si="2"/>
        <v>372</v>
      </c>
      <c r="H155" s="45">
        <f t="shared" si="3"/>
        <v>257</v>
      </c>
      <c r="I155" s="45">
        <f t="shared" si="4"/>
        <v>244</v>
      </c>
      <c r="J155" s="45">
        <f t="shared" si="5"/>
        <v>92</v>
      </c>
      <c r="K155" s="45">
        <f t="shared" si="6"/>
        <v>66</v>
      </c>
      <c r="L155" s="45">
        <f t="shared" si="7"/>
        <v>79</v>
      </c>
      <c r="M155" s="45">
        <f t="shared" si="8"/>
        <v>51</v>
      </c>
      <c r="N155" s="45">
        <f t="shared" si="9"/>
        <v>190</v>
      </c>
      <c r="O155" s="45">
        <f t="shared" si="10"/>
        <v>341</v>
      </c>
      <c r="P155" s="45">
        <f t="shared" si="11"/>
        <v>331</v>
      </c>
      <c r="Q155" s="45">
        <f t="shared" si="16"/>
        <v>2498</v>
      </c>
      <c r="R155" s="48"/>
    </row>
    <row r="156" spans="3:18" x14ac:dyDescent="0.2">
      <c r="C156" s="43" t="str">
        <f>VLOOKUP(D156,[4]DBASE!$B$3:$P$923,2,FALSE)</f>
        <v>Lemi</v>
      </c>
      <c r="D156" s="47">
        <f>[4]jan!C160</f>
        <v>350620020</v>
      </c>
      <c r="E156" s="45">
        <f t="shared" si="15"/>
        <v>205</v>
      </c>
      <c r="F156" s="45">
        <f t="shared" si="1"/>
        <v>137</v>
      </c>
      <c r="G156" s="45">
        <f t="shared" si="2"/>
        <v>304</v>
      </c>
      <c r="H156" s="45">
        <f t="shared" si="3"/>
        <v>179</v>
      </c>
      <c r="I156" s="45">
        <f t="shared" si="4"/>
        <v>88</v>
      </c>
      <c r="J156" s="45">
        <f t="shared" si="5"/>
        <v>85</v>
      </c>
      <c r="K156" s="45">
        <f t="shared" si="6"/>
        <v>25</v>
      </c>
      <c r="L156" s="45">
        <f t="shared" si="7"/>
        <v>64</v>
      </c>
      <c r="M156" s="45">
        <f t="shared" si="8"/>
        <v>49</v>
      </c>
      <c r="N156" s="45">
        <f t="shared" si="9"/>
        <v>96</v>
      </c>
      <c r="O156" s="45">
        <f t="shared" si="10"/>
        <v>361</v>
      </c>
      <c r="P156" s="45">
        <f t="shared" si="11"/>
        <v>239</v>
      </c>
      <c r="Q156" s="45">
        <f t="shared" si="16"/>
        <v>1832</v>
      </c>
      <c r="R156" s="48"/>
    </row>
    <row r="157" spans="3:18" x14ac:dyDescent="0.2">
      <c r="C157" s="43" t="str">
        <f>VLOOKUP(D157,[4]DBASE!$B$3:$P$923,2,FALSE)</f>
        <v>Mantingan</v>
      </c>
      <c r="D157" s="47">
        <f>[4]jan!C161</f>
        <v>350621001</v>
      </c>
      <c r="E157" s="45">
        <f t="shared" si="15"/>
        <v>313</v>
      </c>
      <c r="F157" s="45">
        <f t="shared" si="1"/>
        <v>142</v>
      </c>
      <c r="G157" s="45">
        <f t="shared" si="2"/>
        <v>380</v>
      </c>
      <c r="H157" s="45">
        <f t="shared" si="3"/>
        <v>277</v>
      </c>
      <c r="I157" s="45">
        <f t="shared" si="4"/>
        <v>88</v>
      </c>
      <c r="J157" s="45">
        <f t="shared" si="5"/>
        <v>256</v>
      </c>
      <c r="K157" s="45">
        <f t="shared" si="6"/>
        <v>18</v>
      </c>
      <c r="L157" s="45">
        <f t="shared" si="7"/>
        <v>173</v>
      </c>
      <c r="M157" s="45">
        <f t="shared" si="8"/>
        <v>53</v>
      </c>
      <c r="N157" s="45">
        <f t="shared" si="9"/>
        <v>357</v>
      </c>
      <c r="O157" s="45">
        <f t="shared" si="10"/>
        <v>267</v>
      </c>
      <c r="P157" s="45">
        <f t="shared" si="11"/>
        <v>158</v>
      </c>
      <c r="Q157" s="45">
        <f t="shared" si="16"/>
        <v>2482</v>
      </c>
      <c r="R157" s="48"/>
    </row>
    <row r="158" spans="3:18" x14ac:dyDescent="0.2">
      <c r="C158" s="43" t="str">
        <f>VLOOKUP(D158,[4]DBASE!$B$3:$P$923,2,FALSE)</f>
        <v>Kab.Ngawi</v>
      </c>
      <c r="D158" s="47">
        <f>[4]jan!C162</f>
        <v>350621002</v>
      </c>
      <c r="E158" s="45">
        <f t="shared" si="15"/>
        <v>338</v>
      </c>
      <c r="F158" s="45">
        <f t="shared" si="1"/>
        <v>151</v>
      </c>
      <c r="G158" s="45">
        <f t="shared" si="2"/>
        <v>277</v>
      </c>
      <c r="H158" s="45">
        <f t="shared" si="3"/>
        <v>262.5</v>
      </c>
      <c r="I158" s="45">
        <f t="shared" si="4"/>
        <v>230</v>
      </c>
      <c r="J158" s="45">
        <f t="shared" si="5"/>
        <v>173.5</v>
      </c>
      <c r="K158" s="45">
        <f t="shared" si="6"/>
        <v>60</v>
      </c>
      <c r="L158" s="45">
        <f t="shared" si="7"/>
        <v>37</v>
      </c>
      <c r="M158" s="45">
        <f t="shared" si="8"/>
        <v>78</v>
      </c>
      <c r="N158" s="45">
        <f t="shared" si="9"/>
        <v>236</v>
      </c>
      <c r="O158" s="45">
        <f t="shared" si="10"/>
        <v>409.5</v>
      </c>
      <c r="P158" s="45">
        <f t="shared" si="11"/>
        <v>171</v>
      </c>
      <c r="Q158" s="45">
        <f t="shared" si="16"/>
        <v>2423.5</v>
      </c>
      <c r="R158" s="48"/>
    </row>
    <row r="159" spans="3:18" x14ac:dyDescent="0.2">
      <c r="C159" s="43" t="str">
        <f>VLOOKUP(D159,[4]DBASE!$B$3:$P$923,2,FALSE)</f>
        <v>Ngrambe</v>
      </c>
      <c r="D159" s="47">
        <f>[4]jan!C163</f>
        <v>350621003</v>
      </c>
      <c r="E159" s="45">
        <f t="shared" si="15"/>
        <v>487.5</v>
      </c>
      <c r="F159" s="45">
        <f t="shared" si="1"/>
        <v>169</v>
      </c>
      <c r="G159" s="45">
        <f t="shared" si="2"/>
        <v>337.4</v>
      </c>
      <c r="H159" s="45">
        <f t="shared" si="3"/>
        <v>273</v>
      </c>
      <c r="I159" s="45">
        <f t="shared" si="4"/>
        <v>252.5</v>
      </c>
      <c r="J159" s="45">
        <f t="shared" si="5"/>
        <v>243</v>
      </c>
      <c r="K159" s="45">
        <f t="shared" si="6"/>
        <v>8.5</v>
      </c>
      <c r="L159" s="45">
        <f t="shared" si="7"/>
        <v>59</v>
      </c>
      <c r="M159" s="45">
        <f t="shared" si="8"/>
        <v>30.5</v>
      </c>
      <c r="N159" s="45">
        <f t="shared" si="9"/>
        <v>433</v>
      </c>
      <c r="O159" s="45">
        <f t="shared" si="10"/>
        <v>275.5</v>
      </c>
      <c r="P159" s="45">
        <f t="shared" si="11"/>
        <v>287.5</v>
      </c>
      <c r="Q159" s="45">
        <f t="shared" si="16"/>
        <v>2856.4</v>
      </c>
      <c r="R159" s="48"/>
    </row>
    <row r="160" spans="3:18" x14ac:dyDescent="0.2">
      <c r="C160" s="43" t="str">
        <f>VLOOKUP(D160,[4]DBASE!$B$3:$P$923,2,FALSE)</f>
        <v>Kedung Urung-urung</v>
      </c>
      <c r="D160" s="47">
        <f>[4]jan!C164</f>
        <v>350621004</v>
      </c>
      <c r="E160" s="45">
        <f t="shared" si="15"/>
        <v>382</v>
      </c>
      <c r="F160" s="45">
        <f t="shared" si="1"/>
        <v>125</v>
      </c>
      <c r="G160" s="45">
        <f t="shared" si="2"/>
        <v>424</v>
      </c>
      <c r="H160" s="45">
        <f t="shared" si="3"/>
        <v>261</v>
      </c>
      <c r="I160" s="45">
        <f t="shared" si="4"/>
        <v>148</v>
      </c>
      <c r="J160" s="45">
        <f t="shared" si="5"/>
        <v>285</v>
      </c>
      <c r="K160" s="45">
        <f t="shared" si="6"/>
        <v>1</v>
      </c>
      <c r="L160" s="45">
        <f t="shared" si="7"/>
        <v>46</v>
      </c>
      <c r="M160" s="45">
        <f t="shared" si="8"/>
        <v>28</v>
      </c>
      <c r="N160" s="45">
        <f t="shared" si="9"/>
        <v>317</v>
      </c>
      <c r="O160" s="45">
        <f t="shared" si="10"/>
        <v>317</v>
      </c>
      <c r="P160" s="45">
        <f t="shared" si="11"/>
        <v>260</v>
      </c>
      <c r="Q160" s="45">
        <f t="shared" si="16"/>
        <v>2594</v>
      </c>
      <c r="R160" s="48"/>
    </row>
    <row r="161" spans="3:18" x14ac:dyDescent="0.2">
      <c r="C161" s="43" t="str">
        <f>VLOOKUP(D161,[4]DBASE!$B$3:$P$923,2,FALSE)</f>
        <v>Tretes Ngawi</v>
      </c>
      <c r="D161" s="47">
        <f>[4]jan!C165</f>
        <v>350621005</v>
      </c>
      <c r="E161" s="45">
        <f t="shared" si="15"/>
        <v>295</v>
      </c>
      <c r="F161" s="45">
        <f t="shared" si="1"/>
        <v>167</v>
      </c>
      <c r="G161" s="45">
        <f t="shared" si="2"/>
        <v>462</v>
      </c>
      <c r="H161" s="45">
        <f t="shared" si="3"/>
        <v>364</v>
      </c>
      <c r="I161" s="45">
        <f t="shared" si="4"/>
        <v>138</v>
      </c>
      <c r="J161" s="45">
        <f t="shared" si="5"/>
        <v>180</v>
      </c>
      <c r="K161" s="45">
        <f t="shared" si="6"/>
        <v>1</v>
      </c>
      <c r="L161" s="45">
        <f t="shared" si="7"/>
        <v>60</v>
      </c>
      <c r="M161" s="45">
        <f t="shared" si="8"/>
        <v>45</v>
      </c>
      <c r="N161" s="45">
        <f t="shared" si="9"/>
        <v>334</v>
      </c>
      <c r="O161" s="45">
        <f t="shared" si="10"/>
        <v>319</v>
      </c>
      <c r="P161" s="45">
        <f t="shared" si="11"/>
        <v>239</v>
      </c>
      <c r="Q161" s="45">
        <f t="shared" si="16"/>
        <v>2604</v>
      </c>
      <c r="R161" s="48"/>
    </row>
    <row r="162" spans="3:18" x14ac:dyDescent="0.2">
      <c r="C162" s="43" t="str">
        <f>VLOOKUP(D162,[4]DBASE!$B$3:$P$923,2,FALSE)</f>
        <v>Walikukun / Widodaren</v>
      </c>
      <c r="D162" s="47">
        <f>[4]jan!C166</f>
        <v>350621006</v>
      </c>
      <c r="E162" s="45">
        <f t="shared" si="15"/>
        <v>401</v>
      </c>
      <c r="F162" s="45">
        <f t="shared" si="1"/>
        <v>234</v>
      </c>
      <c r="G162" s="45">
        <f t="shared" si="2"/>
        <v>313</v>
      </c>
      <c r="H162" s="45">
        <f t="shared" si="3"/>
        <v>300</v>
      </c>
      <c r="I162" s="45">
        <f t="shared" si="4"/>
        <v>92</v>
      </c>
      <c r="J162" s="45">
        <f t="shared" si="5"/>
        <v>238</v>
      </c>
      <c r="K162" s="45">
        <f t="shared" si="6"/>
        <v>9</v>
      </c>
      <c r="L162" s="45">
        <f t="shared" si="7"/>
        <v>21</v>
      </c>
      <c r="M162" s="45">
        <f t="shared" si="8"/>
        <v>42</v>
      </c>
      <c r="N162" s="45">
        <f t="shared" si="9"/>
        <v>155</v>
      </c>
      <c r="O162" s="45">
        <f t="shared" si="10"/>
        <v>153</v>
      </c>
      <c r="P162" s="45">
        <f t="shared" si="11"/>
        <v>142</v>
      </c>
      <c r="Q162" s="45">
        <f t="shared" si="16"/>
        <v>2100</v>
      </c>
      <c r="R162" s="48"/>
    </row>
    <row r="163" spans="3:18" x14ac:dyDescent="0.2">
      <c r="C163" s="43" t="str">
        <f>VLOOKUP(D163,[4]DBASE!$B$3:$P$923,2,FALSE)</f>
        <v>Jogorogo</v>
      </c>
      <c r="D163" s="47">
        <f>[4]jan!C167</f>
        <v>350621007</v>
      </c>
      <c r="E163" s="45">
        <f t="shared" si="15"/>
        <v>165</v>
      </c>
      <c r="F163" s="45">
        <f t="shared" si="1"/>
        <v>117</v>
      </c>
      <c r="G163" s="45">
        <f t="shared" si="2"/>
        <v>145</v>
      </c>
      <c r="H163" s="45">
        <f t="shared" si="3"/>
        <v>141.6</v>
      </c>
      <c r="I163" s="45">
        <f t="shared" si="4"/>
        <v>61.8</v>
      </c>
      <c r="J163" s="45">
        <f t="shared" si="5"/>
        <v>90</v>
      </c>
      <c r="K163" s="45">
        <f t="shared" si="6"/>
        <v>2</v>
      </c>
      <c r="L163" s="45">
        <f t="shared" si="7"/>
        <v>8</v>
      </c>
      <c r="M163" s="45">
        <f t="shared" si="8"/>
        <v>17</v>
      </c>
      <c r="N163" s="45">
        <f t="shared" si="9"/>
        <v>93</v>
      </c>
      <c r="O163" s="45">
        <f t="shared" si="10"/>
        <v>129</v>
      </c>
      <c r="P163" s="45">
        <f t="shared" si="11"/>
        <v>59</v>
      </c>
      <c r="Q163" s="45">
        <f t="shared" si="16"/>
        <v>1028.4000000000001</v>
      </c>
      <c r="R163" s="48"/>
    </row>
    <row r="164" spans="3:18" x14ac:dyDescent="0.2">
      <c r="C164" s="43" t="str">
        <f>VLOOKUP(D164,[4]DBASE!$B$3:$P$923,2,FALSE)</f>
        <v>Kendal</v>
      </c>
      <c r="D164" s="47">
        <f>[4]jan!C168</f>
        <v>350621008</v>
      </c>
      <c r="E164" s="45">
        <f t="shared" si="15"/>
        <v>516</v>
      </c>
      <c r="F164" s="45">
        <f t="shared" si="1"/>
        <v>389</v>
      </c>
      <c r="G164" s="45">
        <f t="shared" si="2"/>
        <v>295</v>
      </c>
      <c r="H164" s="45">
        <f t="shared" si="3"/>
        <v>332</v>
      </c>
      <c r="I164" s="45">
        <f t="shared" si="4"/>
        <v>209</v>
      </c>
      <c r="J164" s="45">
        <f t="shared" si="5"/>
        <v>279</v>
      </c>
      <c r="K164" s="45">
        <f t="shared" si="6"/>
        <v>21</v>
      </c>
      <c r="L164" s="45">
        <f t="shared" si="7"/>
        <v>62</v>
      </c>
      <c r="M164" s="45">
        <f t="shared" si="8"/>
        <v>42</v>
      </c>
      <c r="N164" s="45">
        <f t="shared" si="9"/>
        <v>279</v>
      </c>
      <c r="O164" s="45">
        <f t="shared" si="10"/>
        <v>458</v>
      </c>
      <c r="P164" s="45">
        <f t="shared" si="11"/>
        <v>268</v>
      </c>
      <c r="Q164" s="45">
        <f t="shared" si="16"/>
        <v>3150</v>
      </c>
      <c r="R164" s="48"/>
    </row>
    <row r="165" spans="3:18" x14ac:dyDescent="0.2">
      <c r="C165" s="43" t="str">
        <f>VLOOKUP(D165,[4]DBASE!$B$3:$P$923,2,FALSE)</f>
        <v>Kedung Galar</v>
      </c>
      <c r="D165" s="47">
        <f>[4]jan!C169</f>
        <v>350621009</v>
      </c>
      <c r="E165" s="45">
        <f t="shared" si="15"/>
        <v>258.5</v>
      </c>
      <c r="F165" s="45">
        <f t="shared" si="1"/>
        <v>185.3</v>
      </c>
      <c r="G165" s="45">
        <f t="shared" si="2"/>
        <v>284.60000000000002</v>
      </c>
      <c r="H165" s="45">
        <f t="shared" si="3"/>
        <v>182.5</v>
      </c>
      <c r="I165" s="45">
        <f t="shared" si="4"/>
        <v>153</v>
      </c>
      <c r="J165" s="45">
        <f t="shared" si="5"/>
        <v>139</v>
      </c>
      <c r="K165" s="45">
        <f t="shared" si="6"/>
        <v>18</v>
      </c>
      <c r="L165" s="45">
        <f t="shared" si="7"/>
        <v>11</v>
      </c>
      <c r="M165" s="45">
        <f t="shared" si="8"/>
        <v>57</v>
      </c>
      <c r="N165" s="45">
        <f t="shared" si="9"/>
        <v>229</v>
      </c>
      <c r="O165" s="45">
        <f t="shared" si="10"/>
        <v>311</v>
      </c>
      <c r="P165" s="45">
        <f t="shared" si="11"/>
        <v>231</v>
      </c>
      <c r="Q165" s="45">
        <f t="shared" si="16"/>
        <v>2059.9</v>
      </c>
      <c r="R165" s="48"/>
    </row>
    <row r="166" spans="3:18" x14ac:dyDescent="0.2">
      <c r="C166" s="43" t="str">
        <f>VLOOKUP(D166,[4]DBASE!$B$3:$P$923,2,FALSE)</f>
        <v>Kedung Bendo</v>
      </c>
      <c r="D166" s="47">
        <f>[4]jan!C170</f>
        <v>350621010</v>
      </c>
      <c r="E166" s="45">
        <f t="shared" si="15"/>
        <v>277</v>
      </c>
      <c r="F166" s="45">
        <f t="shared" si="1"/>
        <v>178</v>
      </c>
      <c r="G166" s="45">
        <f t="shared" si="2"/>
        <v>269</v>
      </c>
      <c r="H166" s="45">
        <f t="shared" si="3"/>
        <v>187</v>
      </c>
      <c r="I166" s="45">
        <f t="shared" si="4"/>
        <v>83</v>
      </c>
      <c r="J166" s="45">
        <f t="shared" si="5"/>
        <v>153</v>
      </c>
      <c r="K166" s="45">
        <f t="shared" si="6"/>
        <v>70</v>
      </c>
      <c r="L166" s="45">
        <f t="shared" si="7"/>
        <v>28</v>
      </c>
      <c r="M166" s="45">
        <f t="shared" si="8"/>
        <v>45</v>
      </c>
      <c r="N166" s="45">
        <f t="shared" si="9"/>
        <v>582</v>
      </c>
      <c r="O166" s="45">
        <f t="shared" si="10"/>
        <v>440</v>
      </c>
      <c r="P166" s="45">
        <f t="shared" si="11"/>
        <v>136</v>
      </c>
      <c r="Q166" s="45">
        <f t="shared" si="16"/>
        <v>2448</v>
      </c>
      <c r="R166" s="48"/>
    </row>
    <row r="167" spans="3:18" x14ac:dyDescent="0.2">
      <c r="C167" s="43" t="str">
        <f>VLOOKUP(D167,[4]DBASE!$B$3:$P$923,2,FALSE)</f>
        <v>Paron</v>
      </c>
      <c r="D167" s="47">
        <f>[4]jan!C171</f>
        <v>350621011</v>
      </c>
      <c r="E167" s="45">
        <f t="shared" si="15"/>
        <v>343</v>
      </c>
      <c r="F167" s="45">
        <f t="shared" si="1"/>
        <v>106</v>
      </c>
      <c r="G167" s="45">
        <f t="shared" si="2"/>
        <v>205</v>
      </c>
      <c r="H167" s="45">
        <f t="shared" si="3"/>
        <v>268</v>
      </c>
      <c r="I167" s="45">
        <f t="shared" si="4"/>
        <v>148</v>
      </c>
      <c r="J167" s="45">
        <f t="shared" si="5"/>
        <v>139</v>
      </c>
      <c r="K167" s="45">
        <f t="shared" si="6"/>
        <v>41</v>
      </c>
      <c r="L167" s="45">
        <f t="shared" si="7"/>
        <v>41</v>
      </c>
      <c r="M167" s="45">
        <f t="shared" si="8"/>
        <v>51</v>
      </c>
      <c r="N167" s="45">
        <f t="shared" si="9"/>
        <v>223</v>
      </c>
      <c r="O167" s="45">
        <f t="shared" si="10"/>
        <v>318</v>
      </c>
      <c r="P167" s="45">
        <f t="shared" si="11"/>
        <v>187</v>
      </c>
      <c r="Q167" s="45">
        <f t="shared" si="16"/>
        <v>2070</v>
      </c>
      <c r="R167" s="48"/>
    </row>
    <row r="168" spans="3:18" x14ac:dyDescent="0.2">
      <c r="C168" s="43" t="str">
        <f>VLOOKUP(D168,[4]DBASE!$B$3:$P$923,2,FALSE)</f>
        <v>Mardiasri</v>
      </c>
      <c r="D168" s="47">
        <f>[4]jan!C172</f>
        <v>350621012</v>
      </c>
      <c r="E168" s="45">
        <f t="shared" si="15"/>
        <v>250</v>
      </c>
      <c r="F168" s="45">
        <f t="shared" si="1"/>
        <v>115.6</v>
      </c>
      <c r="G168" s="45">
        <f t="shared" si="2"/>
        <v>204.5</v>
      </c>
      <c r="H168" s="45">
        <f t="shared" si="3"/>
        <v>287</v>
      </c>
      <c r="I168" s="45">
        <f t="shared" si="4"/>
        <v>155.5</v>
      </c>
      <c r="J168" s="45">
        <f t="shared" si="5"/>
        <v>149.5</v>
      </c>
      <c r="K168" s="45">
        <f t="shared" si="6"/>
        <v>28</v>
      </c>
      <c r="L168" s="45">
        <f t="shared" si="7"/>
        <v>39.5</v>
      </c>
      <c r="M168" s="45">
        <f t="shared" si="8"/>
        <v>54</v>
      </c>
      <c r="N168" s="45">
        <f t="shared" si="9"/>
        <v>226.5</v>
      </c>
      <c r="O168" s="45">
        <f t="shared" si="10"/>
        <v>355</v>
      </c>
      <c r="P168" s="45">
        <f t="shared" si="11"/>
        <v>213</v>
      </c>
      <c r="Q168" s="45">
        <f t="shared" si="16"/>
        <v>2078.1</v>
      </c>
      <c r="R168" s="48"/>
    </row>
    <row r="169" spans="3:18" x14ac:dyDescent="0.2">
      <c r="C169" s="43" t="str">
        <f>VLOOKUP(D169,[4]DBASE!$B$3:$P$923,2,FALSE)</f>
        <v>Ngale</v>
      </c>
      <c r="D169" s="47">
        <f>[4]jan!C173</f>
        <v>350621013</v>
      </c>
      <c r="E169" s="45">
        <f t="shared" si="15"/>
        <v>260.5</v>
      </c>
      <c r="F169" s="45">
        <f t="shared" si="1"/>
        <v>125.30000000000004</v>
      </c>
      <c r="G169" s="45">
        <f t="shared" si="2"/>
        <v>208.30000000000004</v>
      </c>
      <c r="H169" s="45">
        <f t="shared" si="3"/>
        <v>293.2</v>
      </c>
      <c r="I169" s="45">
        <f t="shared" si="4"/>
        <v>140.29999999999998</v>
      </c>
      <c r="J169" s="45">
        <f t="shared" si="5"/>
        <v>122.6</v>
      </c>
      <c r="K169" s="45">
        <f t="shared" si="6"/>
        <v>21.2</v>
      </c>
      <c r="L169" s="45">
        <f t="shared" si="7"/>
        <v>28.3</v>
      </c>
      <c r="M169" s="45">
        <f t="shared" si="8"/>
        <v>75.100000000000009</v>
      </c>
      <c r="N169" s="45">
        <f t="shared" si="9"/>
        <v>245.3</v>
      </c>
      <c r="O169" s="45">
        <f t="shared" si="10"/>
        <v>125.4</v>
      </c>
      <c r="P169" s="45">
        <f t="shared" si="11"/>
        <v>251.2</v>
      </c>
      <c r="Q169" s="45">
        <f t="shared" si="16"/>
        <v>1896.7</v>
      </c>
      <c r="R169" s="48"/>
    </row>
    <row r="170" spans="3:18" x14ac:dyDescent="0.2">
      <c r="C170" s="43" t="str">
        <f>VLOOKUP(D170,[4]DBASE!$B$3:$P$923,2,FALSE)</f>
        <v>Padas</v>
      </c>
      <c r="D170" s="47">
        <f>[4]jan!C174</f>
        <v>350621014</v>
      </c>
      <c r="E170" s="45">
        <f t="shared" si="15"/>
        <v>374</v>
      </c>
      <c r="F170" s="45">
        <f t="shared" si="1"/>
        <v>209</v>
      </c>
      <c r="G170" s="45">
        <f t="shared" si="2"/>
        <v>217</v>
      </c>
      <c r="H170" s="45">
        <f t="shared" si="3"/>
        <v>178</v>
      </c>
      <c r="I170" s="45">
        <f t="shared" si="4"/>
        <v>154</v>
      </c>
      <c r="J170" s="45">
        <f t="shared" si="5"/>
        <v>77</v>
      </c>
      <c r="K170" s="45">
        <f t="shared" si="6"/>
        <v>0</v>
      </c>
      <c r="L170" s="45">
        <f t="shared" si="7"/>
        <v>22</v>
      </c>
      <c r="M170" s="45">
        <f t="shared" si="8"/>
        <v>46</v>
      </c>
      <c r="N170" s="45">
        <f t="shared" si="9"/>
        <v>430</v>
      </c>
      <c r="O170" s="45">
        <f t="shared" si="10"/>
        <v>350</v>
      </c>
      <c r="P170" s="45">
        <f t="shared" si="11"/>
        <v>141</v>
      </c>
      <c r="Q170" s="45">
        <f t="shared" si="16"/>
        <v>2198</v>
      </c>
      <c r="R170" s="48"/>
    </row>
    <row r="171" spans="3:18" x14ac:dyDescent="0.2">
      <c r="C171" s="43" t="str">
        <f>VLOOKUP(D171,[4]DBASE!$B$3:$P$923,2,FALSE)</f>
        <v>Karangjati</v>
      </c>
      <c r="D171" s="47">
        <f>[4]jan!C175</f>
        <v>350621015</v>
      </c>
      <c r="E171" s="45">
        <f t="shared" si="15"/>
        <v>334</v>
      </c>
      <c r="F171" s="45">
        <f t="shared" si="1"/>
        <v>236</v>
      </c>
      <c r="G171" s="45">
        <f t="shared" si="2"/>
        <v>313</v>
      </c>
      <c r="H171" s="45">
        <f t="shared" si="3"/>
        <v>244</v>
      </c>
      <c r="I171" s="45">
        <f t="shared" si="4"/>
        <v>138</v>
      </c>
      <c r="J171" s="45">
        <f t="shared" si="5"/>
        <v>121</v>
      </c>
      <c r="K171" s="45">
        <f t="shared" si="6"/>
        <v>29</v>
      </c>
      <c r="L171" s="45">
        <f t="shared" si="7"/>
        <v>24</v>
      </c>
      <c r="M171" s="45">
        <f t="shared" si="8"/>
        <v>5</v>
      </c>
      <c r="N171" s="45">
        <f t="shared" si="9"/>
        <v>133</v>
      </c>
      <c r="O171" s="45">
        <f t="shared" si="10"/>
        <v>504</v>
      </c>
      <c r="P171" s="45">
        <f t="shared" si="11"/>
        <v>179</v>
      </c>
      <c r="Q171" s="45">
        <f t="shared" si="16"/>
        <v>2260</v>
      </c>
      <c r="R171" s="48"/>
    </row>
    <row r="172" spans="3:18" x14ac:dyDescent="0.2">
      <c r="C172" s="43" t="str">
        <f>VLOOKUP(D172,[4]DBASE!$B$3:$P$923,2,FALSE)</f>
        <v>Sambiroto Ngawi</v>
      </c>
      <c r="D172" s="47">
        <f>[4]jan!C176</f>
        <v>350621016</v>
      </c>
      <c r="E172" s="45">
        <f t="shared" si="15"/>
        <v>256</v>
      </c>
      <c r="F172" s="45">
        <f t="shared" si="1"/>
        <v>387</v>
      </c>
      <c r="G172" s="45">
        <f t="shared" si="2"/>
        <v>293</v>
      </c>
      <c r="H172" s="45">
        <f t="shared" si="3"/>
        <v>177</v>
      </c>
      <c r="I172" s="45">
        <f t="shared" si="4"/>
        <v>201</v>
      </c>
      <c r="J172" s="45">
        <f t="shared" si="5"/>
        <v>149</v>
      </c>
      <c r="K172" s="45">
        <f t="shared" si="6"/>
        <v>41</v>
      </c>
      <c r="L172" s="45">
        <f t="shared" si="7"/>
        <v>25</v>
      </c>
      <c r="M172" s="45">
        <f t="shared" si="8"/>
        <v>70</v>
      </c>
      <c r="N172" s="45">
        <f t="shared" si="9"/>
        <v>398</v>
      </c>
      <c r="O172" s="45">
        <f t="shared" si="10"/>
        <v>482</v>
      </c>
      <c r="P172" s="45">
        <f t="shared" si="11"/>
        <v>213</v>
      </c>
      <c r="Q172" s="45">
        <f t="shared" si="16"/>
        <v>2692</v>
      </c>
      <c r="R172" s="48"/>
    </row>
    <row r="173" spans="3:18" x14ac:dyDescent="0.2">
      <c r="C173" s="43" t="str">
        <f>VLOOKUP(D173,[4]DBASE!$B$3:$P$923,2,FALSE)</f>
        <v>Babadan Ngawi</v>
      </c>
      <c r="D173" s="47">
        <f>[4]jan!C177</f>
        <v>350621017</v>
      </c>
      <c r="E173" s="45">
        <f t="shared" si="15"/>
        <v>364</v>
      </c>
      <c r="F173" s="45">
        <f t="shared" si="1"/>
        <v>213</v>
      </c>
      <c r="G173" s="45">
        <f t="shared" si="2"/>
        <v>280</v>
      </c>
      <c r="H173" s="45">
        <f t="shared" si="3"/>
        <v>248</v>
      </c>
      <c r="I173" s="45">
        <f t="shared" si="4"/>
        <v>150</v>
      </c>
      <c r="J173" s="45">
        <f t="shared" si="5"/>
        <v>168</v>
      </c>
      <c r="K173" s="45">
        <f t="shared" si="6"/>
        <v>19</v>
      </c>
      <c r="L173" s="45">
        <f t="shared" si="7"/>
        <v>46</v>
      </c>
      <c r="M173" s="45">
        <f t="shared" si="8"/>
        <v>39</v>
      </c>
      <c r="N173" s="45">
        <f t="shared" si="9"/>
        <v>279</v>
      </c>
      <c r="O173" s="45">
        <f t="shared" si="10"/>
        <v>251</v>
      </c>
      <c r="P173" s="45">
        <f t="shared" si="11"/>
        <v>201</v>
      </c>
      <c r="Q173" s="45">
        <f t="shared" si="16"/>
        <v>2258</v>
      </c>
      <c r="R173" s="48"/>
    </row>
    <row r="174" spans="3:18" x14ac:dyDescent="0.2">
      <c r="C174" s="43" t="str">
        <f>VLOOKUP(D174,[4]DBASE!$B$3:$P$923,2,FALSE)</f>
        <v>Begal</v>
      </c>
      <c r="D174" s="47">
        <f>[4]jan!C178</f>
        <v>350621018</v>
      </c>
      <c r="E174" s="45">
        <f t="shared" si="15"/>
        <v>247</v>
      </c>
      <c r="F174" s="45">
        <f t="shared" si="1"/>
        <v>315.89999999999998</v>
      </c>
      <c r="G174" s="45">
        <f t="shared" si="2"/>
        <v>255.99999999999997</v>
      </c>
      <c r="H174" s="45">
        <f t="shared" si="3"/>
        <v>281.39999999999998</v>
      </c>
      <c r="I174" s="45">
        <f t="shared" si="4"/>
        <v>133.89999999999998</v>
      </c>
      <c r="J174" s="45">
        <f t="shared" si="5"/>
        <v>110.00000000000001</v>
      </c>
      <c r="K174" s="45">
        <f t="shared" si="6"/>
        <v>12</v>
      </c>
      <c r="L174" s="45">
        <f t="shared" si="7"/>
        <v>57.5</v>
      </c>
      <c r="M174" s="45">
        <f t="shared" si="8"/>
        <v>27.5</v>
      </c>
      <c r="N174" s="45">
        <f t="shared" si="9"/>
        <v>123.2</v>
      </c>
      <c r="O174" s="45">
        <f t="shared" si="10"/>
        <v>279.50000000000006</v>
      </c>
      <c r="P174" s="45">
        <f t="shared" si="11"/>
        <v>158.20000000000002</v>
      </c>
      <c r="Q174" s="45">
        <f t="shared" si="16"/>
        <v>2002.1</v>
      </c>
      <c r="R174" s="48"/>
    </row>
    <row r="175" spans="3:18" x14ac:dyDescent="0.2">
      <c r="C175" s="43" t="str">
        <f>VLOOKUP(D175,[4]DBASE!$B$3:$P$923,2,FALSE)</f>
        <v>Bekoh</v>
      </c>
      <c r="D175" s="47">
        <f>[4]jan!C179</f>
        <v>350621019</v>
      </c>
      <c r="E175" s="45">
        <f t="shared" si="15"/>
        <v>198</v>
      </c>
      <c r="F175" s="45">
        <f t="shared" si="1"/>
        <v>150</v>
      </c>
      <c r="G175" s="45">
        <f t="shared" si="2"/>
        <v>250</v>
      </c>
      <c r="H175" s="45">
        <f t="shared" si="3"/>
        <v>230</v>
      </c>
      <c r="I175" s="45">
        <f t="shared" si="4"/>
        <v>143</v>
      </c>
      <c r="J175" s="45">
        <f t="shared" si="5"/>
        <v>114</v>
      </c>
      <c r="K175" s="45">
        <f t="shared" si="6"/>
        <v>40</v>
      </c>
      <c r="L175" s="45">
        <f t="shared" si="7"/>
        <v>29</v>
      </c>
      <c r="M175" s="45">
        <f t="shared" si="8"/>
        <v>14</v>
      </c>
      <c r="N175" s="45">
        <f t="shared" si="9"/>
        <v>115</v>
      </c>
      <c r="O175" s="45">
        <f t="shared" si="10"/>
        <v>200</v>
      </c>
      <c r="P175" s="45">
        <f t="shared" si="11"/>
        <v>183</v>
      </c>
      <c r="Q175" s="45">
        <f t="shared" si="16"/>
        <v>1666</v>
      </c>
      <c r="R175" s="48"/>
    </row>
    <row r="176" spans="3:18" x14ac:dyDescent="0.2">
      <c r="C176" s="43" t="str">
        <f>VLOOKUP(D176,[4]DBASE!$B$3:$P$923,2,FALSE)</f>
        <v>Papungan</v>
      </c>
      <c r="D176" s="47">
        <f>[4]jan!C180</f>
        <v>350621020</v>
      </c>
      <c r="E176" s="45">
        <f t="shared" si="15"/>
        <v>240</v>
      </c>
      <c r="F176" s="45">
        <f t="shared" si="1"/>
        <v>95</v>
      </c>
      <c r="G176" s="45">
        <f t="shared" si="2"/>
        <v>208.4</v>
      </c>
      <c r="H176" s="45">
        <f t="shared" si="3"/>
        <v>143</v>
      </c>
      <c r="I176" s="45">
        <f t="shared" si="4"/>
        <v>199</v>
      </c>
      <c r="J176" s="45">
        <f t="shared" si="5"/>
        <v>156</v>
      </c>
      <c r="K176" s="45">
        <f t="shared" si="6"/>
        <v>0</v>
      </c>
      <c r="L176" s="45">
        <f t="shared" si="7"/>
        <v>0</v>
      </c>
      <c r="M176" s="45">
        <f t="shared" si="8"/>
        <v>29</v>
      </c>
      <c r="N176" s="45">
        <f t="shared" si="9"/>
        <v>196</v>
      </c>
      <c r="O176" s="45">
        <f t="shared" si="10"/>
        <v>258</v>
      </c>
      <c r="P176" s="45">
        <f t="shared" si="11"/>
        <v>164</v>
      </c>
      <c r="Q176" s="45">
        <f t="shared" si="16"/>
        <v>1688.4</v>
      </c>
      <c r="R176" s="48"/>
    </row>
    <row r="177" spans="3:18" x14ac:dyDescent="0.2">
      <c r="C177" s="43" t="str">
        <f>VLOOKUP(D177,[4]DBASE!$B$3:$P$923,2,FALSE)</f>
        <v>Kricak</v>
      </c>
      <c r="D177" s="47">
        <f>[4]jan!C181</f>
        <v>350621021</v>
      </c>
      <c r="E177" s="45">
        <f t="shared" si="15"/>
        <v>215.5</v>
      </c>
      <c r="F177" s="45">
        <f t="shared" si="1"/>
        <v>90.8</v>
      </c>
      <c r="G177" s="45">
        <f t="shared" si="2"/>
        <v>194</v>
      </c>
      <c r="H177" s="45">
        <f t="shared" si="3"/>
        <v>135</v>
      </c>
      <c r="I177" s="45">
        <f t="shared" si="4"/>
        <v>82.4</v>
      </c>
      <c r="J177" s="45">
        <f t="shared" si="5"/>
        <v>86</v>
      </c>
      <c r="K177" s="45">
        <f t="shared" si="6"/>
        <v>6</v>
      </c>
      <c r="L177" s="45">
        <f t="shared" si="7"/>
        <v>8</v>
      </c>
      <c r="M177" s="45">
        <f t="shared" si="8"/>
        <v>26</v>
      </c>
      <c r="N177" s="45">
        <f t="shared" si="9"/>
        <v>161</v>
      </c>
      <c r="O177" s="45">
        <f t="shared" si="10"/>
        <v>267</v>
      </c>
      <c r="P177" s="45">
        <f t="shared" si="11"/>
        <v>162.19999999999999</v>
      </c>
      <c r="Q177" s="45">
        <f t="shared" si="16"/>
        <v>1433.8999999999999</v>
      </c>
      <c r="R177" s="48"/>
    </row>
    <row r="178" spans="3:18" x14ac:dyDescent="0.2">
      <c r="C178" s="43" t="str">
        <f>VLOOKUP(D178,[4]DBASE!$B$3:$P$923,2,FALSE)</f>
        <v>Guyung</v>
      </c>
      <c r="D178" s="47">
        <f>[4]jan!C182</f>
        <v>350621022</v>
      </c>
      <c r="E178" s="45">
        <f t="shared" si="15"/>
        <v>330</v>
      </c>
      <c r="F178" s="45">
        <f t="shared" si="1"/>
        <v>142</v>
      </c>
      <c r="G178" s="45">
        <f t="shared" si="2"/>
        <v>241</v>
      </c>
      <c r="H178" s="45">
        <f t="shared" si="3"/>
        <v>304</v>
      </c>
      <c r="I178" s="45">
        <f t="shared" si="4"/>
        <v>119</v>
      </c>
      <c r="J178" s="45">
        <f t="shared" si="5"/>
        <v>233</v>
      </c>
      <c r="K178" s="45">
        <f t="shared" si="6"/>
        <v>89</v>
      </c>
      <c r="L178" s="45">
        <f t="shared" si="7"/>
        <v>77</v>
      </c>
      <c r="M178" s="45">
        <f t="shared" si="8"/>
        <v>22</v>
      </c>
      <c r="N178" s="45">
        <f t="shared" si="9"/>
        <v>200</v>
      </c>
      <c r="O178" s="45">
        <f t="shared" si="10"/>
        <v>330</v>
      </c>
      <c r="P178" s="45">
        <f t="shared" si="11"/>
        <v>156</v>
      </c>
      <c r="Q178" s="45">
        <f t="shared" si="16"/>
        <v>2243</v>
      </c>
      <c r="R178" s="48"/>
    </row>
    <row r="179" spans="3:18" x14ac:dyDescent="0.2">
      <c r="C179" s="43" t="str">
        <f>VLOOKUP(D179,[4]DBASE!$B$3:$P$923,2,FALSE)</f>
        <v>Sudhono</v>
      </c>
      <c r="D179" s="47">
        <f>[4]jan!C183</f>
        <v>350621023</v>
      </c>
      <c r="E179" s="45">
        <f t="shared" si="15"/>
        <v>340.89999999999992</v>
      </c>
      <c r="F179" s="45">
        <f t="shared" si="1"/>
        <v>85.800000000000011</v>
      </c>
      <c r="G179" s="45">
        <f t="shared" si="2"/>
        <v>238.79999999999995</v>
      </c>
      <c r="H179" s="45">
        <f t="shared" si="3"/>
        <v>204.7</v>
      </c>
      <c r="I179" s="45">
        <f t="shared" si="4"/>
        <v>130.6</v>
      </c>
      <c r="J179" s="45">
        <f t="shared" si="5"/>
        <v>272</v>
      </c>
      <c r="K179" s="45">
        <f t="shared" si="6"/>
        <v>91.7</v>
      </c>
      <c r="L179" s="45">
        <f t="shared" si="7"/>
        <v>60.1</v>
      </c>
      <c r="M179" s="45">
        <f t="shared" si="8"/>
        <v>17.3</v>
      </c>
      <c r="N179" s="45">
        <f t="shared" si="9"/>
        <v>168</v>
      </c>
      <c r="O179" s="45">
        <f t="shared" si="10"/>
        <v>283.7</v>
      </c>
      <c r="P179" s="45">
        <f t="shared" si="11"/>
        <v>170.5</v>
      </c>
      <c r="Q179" s="45">
        <f t="shared" si="16"/>
        <v>2064.0999999999995</v>
      </c>
      <c r="R179" s="48"/>
    </row>
    <row r="180" spans="3:18" x14ac:dyDescent="0.2">
      <c r="C180" s="43" t="str">
        <f>VLOOKUP(D180,[4]DBASE!$B$3:$P$923,2,FALSE)</f>
        <v>Soko / Ngadirejo</v>
      </c>
      <c r="D180" s="47">
        <f>[4]jan!C184</f>
        <v>350621024</v>
      </c>
      <c r="E180" s="45">
        <f t="shared" si="15"/>
        <v>243</v>
      </c>
      <c r="F180" s="45">
        <f t="shared" si="1"/>
        <v>89</v>
      </c>
      <c r="G180" s="45">
        <f t="shared" si="2"/>
        <v>173.5</v>
      </c>
      <c r="H180" s="45">
        <f t="shared" si="3"/>
        <v>103</v>
      </c>
      <c r="I180" s="45">
        <f t="shared" si="4"/>
        <v>87.3</v>
      </c>
      <c r="J180" s="45">
        <f t="shared" si="5"/>
        <v>97</v>
      </c>
      <c r="K180" s="45">
        <f t="shared" si="6"/>
        <v>5</v>
      </c>
      <c r="L180" s="45">
        <f t="shared" si="7"/>
        <v>8</v>
      </c>
      <c r="M180" s="45">
        <f t="shared" si="8"/>
        <v>28</v>
      </c>
      <c r="N180" s="45">
        <f t="shared" si="9"/>
        <v>183</v>
      </c>
      <c r="O180" s="45">
        <f t="shared" si="10"/>
        <v>261</v>
      </c>
      <c r="P180" s="45">
        <f t="shared" si="11"/>
        <v>195</v>
      </c>
      <c r="Q180" s="45">
        <f t="shared" si="16"/>
        <v>1472.8</v>
      </c>
      <c r="R180" s="48"/>
    </row>
    <row r="181" spans="3:18" x14ac:dyDescent="0.2">
      <c r="C181" s="43" t="str">
        <f>VLOOKUP(D181,[4]DBASE!$B$3:$P$923,2,FALSE)</f>
        <v>Buduk / Kwadungan</v>
      </c>
      <c r="D181" s="47">
        <f>[4]jan!C185</f>
        <v>350621025</v>
      </c>
      <c r="E181" s="45">
        <f t="shared" si="15"/>
        <v>255</v>
      </c>
      <c r="F181" s="45">
        <f t="shared" si="1"/>
        <v>196</v>
      </c>
      <c r="G181" s="45">
        <f t="shared" si="2"/>
        <v>292</v>
      </c>
      <c r="H181" s="45">
        <f t="shared" si="3"/>
        <v>182</v>
      </c>
      <c r="I181" s="45">
        <f t="shared" si="4"/>
        <v>152</v>
      </c>
      <c r="J181" s="45">
        <f t="shared" si="5"/>
        <v>82</v>
      </c>
      <c r="K181" s="45">
        <f t="shared" si="6"/>
        <v>14</v>
      </c>
      <c r="L181" s="45">
        <f t="shared" si="7"/>
        <v>55</v>
      </c>
      <c r="M181" s="45">
        <f t="shared" si="8"/>
        <v>52</v>
      </c>
      <c r="N181" s="45">
        <f t="shared" si="9"/>
        <v>83</v>
      </c>
      <c r="O181" s="45">
        <f t="shared" si="10"/>
        <v>455</v>
      </c>
      <c r="P181" s="45">
        <f t="shared" si="11"/>
        <v>203</v>
      </c>
      <c r="Q181" s="45">
        <f t="shared" si="16"/>
        <v>2021</v>
      </c>
      <c r="R181" s="48"/>
    </row>
    <row r="182" spans="3:18" x14ac:dyDescent="0.2">
      <c r="C182" s="43" t="str">
        <f>VLOOKUP(D182,[4]DBASE!$B$3:$P$923,2,FALSE)</f>
        <v>Tejo</v>
      </c>
      <c r="D182" s="47">
        <f>[4]jan!C186</f>
        <v>350621026</v>
      </c>
      <c r="E182" s="45">
        <f t="shared" si="15"/>
        <v>163</v>
      </c>
      <c r="F182" s="45">
        <f t="shared" si="1"/>
        <v>116</v>
      </c>
      <c r="G182" s="45">
        <f t="shared" si="2"/>
        <v>303</v>
      </c>
      <c r="H182" s="45">
        <f t="shared" si="3"/>
        <v>212</v>
      </c>
      <c r="I182" s="45">
        <f t="shared" si="4"/>
        <v>124</v>
      </c>
      <c r="J182" s="45">
        <f t="shared" si="5"/>
        <v>191</v>
      </c>
      <c r="K182" s="45">
        <f t="shared" si="6"/>
        <v>36</v>
      </c>
      <c r="L182" s="45">
        <f t="shared" si="7"/>
        <v>39</v>
      </c>
      <c r="M182" s="45">
        <f t="shared" si="8"/>
        <v>9</v>
      </c>
      <c r="N182" s="45">
        <f t="shared" si="9"/>
        <v>265</v>
      </c>
      <c r="O182" s="45">
        <f t="shared" si="10"/>
        <v>440</v>
      </c>
      <c r="P182" s="45">
        <f t="shared" si="11"/>
        <v>319</v>
      </c>
      <c r="Q182" s="45">
        <f t="shared" si="16"/>
        <v>2217</v>
      </c>
      <c r="R182" s="48"/>
    </row>
    <row r="183" spans="3:18" x14ac:dyDescent="0.2">
      <c r="C183" s="43" t="str">
        <f>VLOOKUP(D183,[4]DBASE!$B$3:$P$923,2,FALSE)</f>
        <v>Ponorogo</v>
      </c>
      <c r="D183" s="47">
        <f>[4]jan!C187</f>
        <v>350602001</v>
      </c>
      <c r="E183" s="45">
        <f t="shared" si="15"/>
        <v>225.5</v>
      </c>
      <c r="F183" s="45">
        <f t="shared" si="1"/>
        <v>198.5</v>
      </c>
      <c r="G183" s="45">
        <f t="shared" si="2"/>
        <v>384.5</v>
      </c>
      <c r="H183" s="45">
        <f t="shared" si="3"/>
        <v>85.5</v>
      </c>
      <c r="I183" s="45">
        <f t="shared" si="4"/>
        <v>143.5</v>
      </c>
      <c r="J183" s="45">
        <f t="shared" si="5"/>
        <v>155.5</v>
      </c>
      <c r="K183" s="45">
        <f t="shared" si="6"/>
        <v>4.5</v>
      </c>
      <c r="L183" s="45">
        <f t="shared" si="7"/>
        <v>26.5</v>
      </c>
      <c r="M183" s="45">
        <f t="shared" si="8"/>
        <v>36</v>
      </c>
      <c r="N183" s="45">
        <f t="shared" si="9"/>
        <v>383.5</v>
      </c>
      <c r="O183" s="45">
        <f t="shared" si="10"/>
        <v>254.5</v>
      </c>
      <c r="P183" s="45">
        <f t="shared" si="11"/>
        <v>258.5</v>
      </c>
      <c r="Q183" s="45">
        <f t="shared" si="16"/>
        <v>2156.5</v>
      </c>
      <c r="R183" s="48"/>
    </row>
    <row r="184" spans="3:18" x14ac:dyDescent="0.2">
      <c r="C184" s="43" t="str">
        <f>VLOOKUP(D184,[4]DBASE!$B$3:$P$923,2,FALSE)</f>
        <v>Babadan PNG</v>
      </c>
      <c r="D184" s="47">
        <f>[4]jan!C188</f>
        <v>350602002</v>
      </c>
      <c r="E184" s="45">
        <f t="shared" si="15"/>
        <v>262</v>
      </c>
      <c r="F184" s="45">
        <f t="shared" si="1"/>
        <v>102</v>
      </c>
      <c r="G184" s="45">
        <f t="shared" si="2"/>
        <v>406</v>
      </c>
      <c r="H184" s="45">
        <f t="shared" si="3"/>
        <v>37</v>
      </c>
      <c r="I184" s="45">
        <f t="shared" si="4"/>
        <v>147</v>
      </c>
      <c r="J184" s="45">
        <f t="shared" si="5"/>
        <v>71</v>
      </c>
      <c r="K184" s="45">
        <f t="shared" si="6"/>
        <v>0</v>
      </c>
      <c r="L184" s="45">
        <f t="shared" si="7"/>
        <v>8</v>
      </c>
      <c r="M184" s="45">
        <f t="shared" si="8"/>
        <v>69</v>
      </c>
      <c r="N184" s="45">
        <f t="shared" si="9"/>
        <v>293</v>
      </c>
      <c r="O184" s="45">
        <f t="shared" si="10"/>
        <v>319</v>
      </c>
      <c r="P184" s="45">
        <f t="shared" si="11"/>
        <v>306</v>
      </c>
      <c r="Q184" s="45">
        <f t="shared" si="16"/>
        <v>2020</v>
      </c>
      <c r="R184" s="48"/>
    </row>
    <row r="185" spans="3:18" x14ac:dyDescent="0.2">
      <c r="C185" s="43" t="str">
        <f>VLOOKUP(D185,[4]DBASE!$B$3:$P$923,2,FALSE)</f>
        <v>Kesugihan</v>
      </c>
      <c r="D185" s="47">
        <f>[4]jan!C189</f>
        <v>350602003</v>
      </c>
      <c r="E185" s="45">
        <f t="shared" si="15"/>
        <v>252</v>
      </c>
      <c r="F185" s="45">
        <f t="shared" si="1"/>
        <v>269</v>
      </c>
      <c r="G185" s="45">
        <f t="shared" si="2"/>
        <v>391</v>
      </c>
      <c r="H185" s="45">
        <f t="shared" si="3"/>
        <v>192</v>
      </c>
      <c r="I185" s="45">
        <f t="shared" si="4"/>
        <v>227</v>
      </c>
      <c r="J185" s="45">
        <f t="shared" si="5"/>
        <v>351</v>
      </c>
      <c r="K185" s="45">
        <f t="shared" si="6"/>
        <v>28</v>
      </c>
      <c r="L185" s="45">
        <f t="shared" si="7"/>
        <v>74</v>
      </c>
      <c r="M185" s="45">
        <f t="shared" si="8"/>
        <v>25</v>
      </c>
      <c r="N185" s="45">
        <f t="shared" si="9"/>
        <v>554</v>
      </c>
      <c r="O185" s="45">
        <f t="shared" si="10"/>
        <v>511</v>
      </c>
      <c r="P185" s="45">
        <f t="shared" si="11"/>
        <v>242</v>
      </c>
      <c r="Q185" s="45">
        <f t="shared" si="16"/>
        <v>3116</v>
      </c>
      <c r="R185" s="48"/>
    </row>
    <row r="186" spans="3:18" x14ac:dyDescent="0.2">
      <c r="C186" s="43" t="str">
        <f>VLOOKUP(D186,[4]DBASE!$B$3:$P$923,2,FALSE)</f>
        <v>Pulung</v>
      </c>
      <c r="D186" s="47">
        <f>[4]jan!C190</f>
        <v>350602004</v>
      </c>
      <c r="E186" s="45">
        <f t="shared" si="15"/>
        <v>279</v>
      </c>
      <c r="F186" s="45">
        <f t="shared" si="1"/>
        <v>229</v>
      </c>
      <c r="G186" s="45">
        <f t="shared" si="2"/>
        <v>372</v>
      </c>
      <c r="H186" s="45">
        <f t="shared" si="3"/>
        <v>127</v>
      </c>
      <c r="I186" s="45">
        <f t="shared" si="4"/>
        <v>211</v>
      </c>
      <c r="J186" s="45">
        <f t="shared" si="5"/>
        <v>388</v>
      </c>
      <c r="K186" s="45">
        <f t="shared" si="6"/>
        <v>12</v>
      </c>
      <c r="L186" s="45">
        <f t="shared" si="7"/>
        <v>82</v>
      </c>
      <c r="M186" s="45">
        <f t="shared" si="8"/>
        <v>52</v>
      </c>
      <c r="N186" s="45">
        <f t="shared" si="9"/>
        <v>525</v>
      </c>
      <c r="O186" s="45">
        <f t="shared" si="10"/>
        <v>621</v>
      </c>
      <c r="P186" s="45">
        <f t="shared" si="11"/>
        <v>287</v>
      </c>
      <c r="Q186" s="45">
        <f t="shared" si="16"/>
        <v>3185</v>
      </c>
      <c r="R186" s="48"/>
    </row>
    <row r="187" spans="3:18" x14ac:dyDescent="0.2">
      <c r="C187" s="43" t="str">
        <f>VLOOKUP(D187,[4]DBASE!$B$3:$P$923,2,FALSE)</f>
        <v>Pudak</v>
      </c>
      <c r="D187" s="47">
        <f>[4]jan!C191</f>
        <v>350602005</v>
      </c>
      <c r="E187" s="45">
        <f t="shared" si="15"/>
        <v>323</v>
      </c>
      <c r="F187" s="45">
        <f t="shared" si="1"/>
        <v>307</v>
      </c>
      <c r="G187" s="45">
        <f t="shared" si="2"/>
        <v>331</v>
      </c>
      <c r="H187" s="45">
        <f t="shared" si="3"/>
        <v>209</v>
      </c>
      <c r="I187" s="45">
        <f t="shared" si="4"/>
        <v>226</v>
      </c>
      <c r="J187" s="45">
        <f t="shared" si="5"/>
        <v>319</v>
      </c>
      <c r="K187" s="45">
        <f t="shared" si="6"/>
        <v>20</v>
      </c>
      <c r="L187" s="45">
        <f t="shared" si="7"/>
        <v>73</v>
      </c>
      <c r="M187" s="45">
        <f t="shared" si="8"/>
        <v>152</v>
      </c>
      <c r="N187" s="45">
        <f t="shared" si="9"/>
        <v>710</v>
      </c>
      <c r="O187" s="45">
        <f t="shared" si="10"/>
        <v>541</v>
      </c>
      <c r="P187" s="45">
        <f t="shared" si="11"/>
        <v>377</v>
      </c>
      <c r="Q187" s="45">
        <f t="shared" si="16"/>
        <v>3588</v>
      </c>
      <c r="R187" s="48"/>
    </row>
    <row r="188" spans="3:18" x14ac:dyDescent="0.2">
      <c r="C188" s="43" t="str">
        <f>VLOOKUP(D188,[4]DBASE!$B$3:$P$923,2,FALSE)</f>
        <v>Sooko</v>
      </c>
      <c r="D188" s="47">
        <f>[4]jan!C192</f>
        <v>350602006</v>
      </c>
      <c r="E188" s="45">
        <f t="shared" si="15"/>
        <v>301</v>
      </c>
      <c r="F188" s="45">
        <f t="shared" si="1"/>
        <v>235</v>
      </c>
      <c r="G188" s="45">
        <f t="shared" si="2"/>
        <v>231</v>
      </c>
      <c r="H188" s="45">
        <f t="shared" si="3"/>
        <v>220</v>
      </c>
      <c r="I188" s="45">
        <f t="shared" si="4"/>
        <v>199</v>
      </c>
      <c r="J188" s="45">
        <f t="shared" si="5"/>
        <v>379</v>
      </c>
      <c r="K188" s="45">
        <f t="shared" si="6"/>
        <v>15</v>
      </c>
      <c r="L188" s="45">
        <f t="shared" si="7"/>
        <v>47</v>
      </c>
      <c r="M188" s="45">
        <f t="shared" si="8"/>
        <v>126</v>
      </c>
      <c r="N188" s="45">
        <f t="shared" si="9"/>
        <v>659</v>
      </c>
      <c r="O188" s="45">
        <f t="shared" si="10"/>
        <v>499</v>
      </c>
      <c r="P188" s="45">
        <f t="shared" si="11"/>
        <v>328</v>
      </c>
      <c r="Q188" s="45">
        <f t="shared" si="16"/>
        <v>3239</v>
      </c>
      <c r="R188" s="48"/>
    </row>
    <row r="189" spans="3:18" x14ac:dyDescent="0.2">
      <c r="C189" s="43" t="str">
        <f>VLOOKUP(D189,[4]DBASE!$B$3:$P$923,2,FALSE)</f>
        <v>Sawoo</v>
      </c>
      <c r="D189" s="47">
        <f>[4]jan!C193</f>
        <v>350602007</v>
      </c>
      <c r="E189" s="45">
        <f t="shared" si="15"/>
        <v>329</v>
      </c>
      <c r="F189" s="45">
        <f t="shared" si="1"/>
        <v>541</v>
      </c>
      <c r="G189" s="45">
        <f t="shared" si="2"/>
        <v>297</v>
      </c>
      <c r="H189" s="45">
        <f t="shared" si="3"/>
        <v>128</v>
      </c>
      <c r="I189" s="45">
        <f t="shared" si="4"/>
        <v>183</v>
      </c>
      <c r="J189" s="45">
        <f t="shared" si="5"/>
        <v>280</v>
      </c>
      <c r="K189" s="45">
        <f t="shared" si="6"/>
        <v>0</v>
      </c>
      <c r="L189" s="45">
        <f t="shared" si="7"/>
        <v>21</v>
      </c>
      <c r="M189" s="45">
        <f t="shared" si="8"/>
        <v>10</v>
      </c>
      <c r="N189" s="45">
        <f t="shared" si="9"/>
        <v>383</v>
      </c>
      <c r="O189" s="45">
        <f t="shared" si="10"/>
        <v>449</v>
      </c>
      <c r="P189" s="45">
        <f t="shared" si="11"/>
        <v>304</v>
      </c>
      <c r="Q189" s="45">
        <f t="shared" si="16"/>
        <v>2925</v>
      </c>
      <c r="R189" s="48"/>
    </row>
    <row r="190" spans="3:18" x14ac:dyDescent="0.2">
      <c r="C190" s="43" t="str">
        <f>VLOOKUP(D190,[4]DBASE!$B$3:$P$923,2,FALSE)</f>
        <v>Kori</v>
      </c>
      <c r="D190" s="47">
        <f>[4]jan!C194</f>
        <v>350602008</v>
      </c>
      <c r="E190" s="45">
        <f t="shared" si="15"/>
        <v>346</v>
      </c>
      <c r="F190" s="45">
        <f t="shared" si="1"/>
        <v>334</v>
      </c>
      <c r="G190" s="45">
        <f t="shared" si="2"/>
        <v>359</v>
      </c>
      <c r="H190" s="45">
        <f t="shared" si="3"/>
        <v>115</v>
      </c>
      <c r="I190" s="45">
        <f t="shared" si="4"/>
        <v>172</v>
      </c>
      <c r="J190" s="45">
        <f t="shared" si="5"/>
        <v>311</v>
      </c>
      <c r="K190" s="45">
        <f t="shared" si="6"/>
        <v>1</v>
      </c>
      <c r="L190" s="45">
        <f t="shared" si="7"/>
        <v>12</v>
      </c>
      <c r="M190" s="45">
        <f t="shared" si="8"/>
        <v>25</v>
      </c>
      <c r="N190" s="45">
        <f t="shared" si="9"/>
        <v>335</v>
      </c>
      <c r="O190" s="45">
        <f t="shared" si="10"/>
        <v>400</v>
      </c>
      <c r="P190" s="45">
        <f t="shared" si="11"/>
        <v>260</v>
      </c>
      <c r="Q190" s="45">
        <f t="shared" si="16"/>
        <v>2670</v>
      </c>
      <c r="R190" s="48"/>
    </row>
    <row r="191" spans="3:18" x14ac:dyDescent="0.2">
      <c r="C191" s="43" t="str">
        <f>VLOOKUP(D191,[4]DBASE!$B$3:$P$923,2,FALSE)</f>
        <v>Sewatu</v>
      </c>
      <c r="D191" s="47">
        <f>[4]jan!C195</f>
        <v>350602009</v>
      </c>
      <c r="E191" s="45">
        <f t="shared" si="15"/>
        <v>267</v>
      </c>
      <c r="F191" s="45">
        <f t="shared" si="1"/>
        <v>268</v>
      </c>
      <c r="G191" s="45">
        <f t="shared" si="2"/>
        <v>249</v>
      </c>
      <c r="H191" s="45">
        <f t="shared" si="3"/>
        <v>110</v>
      </c>
      <c r="I191" s="45">
        <f t="shared" si="4"/>
        <v>215</v>
      </c>
      <c r="J191" s="45">
        <f t="shared" si="5"/>
        <v>258</v>
      </c>
      <c r="K191" s="45">
        <f t="shared" si="6"/>
        <v>17</v>
      </c>
      <c r="L191" s="45">
        <f t="shared" si="7"/>
        <v>14</v>
      </c>
      <c r="M191" s="45">
        <f t="shared" si="8"/>
        <v>37</v>
      </c>
      <c r="N191" s="45">
        <f t="shared" si="9"/>
        <v>347</v>
      </c>
      <c r="O191" s="45">
        <f t="shared" si="10"/>
        <v>329</v>
      </c>
      <c r="P191" s="45">
        <f t="shared" si="11"/>
        <v>234</v>
      </c>
      <c r="Q191" s="45">
        <f t="shared" si="16"/>
        <v>2345</v>
      </c>
      <c r="R191" s="48"/>
    </row>
    <row r="192" spans="3:18" x14ac:dyDescent="0.2">
      <c r="C192" s="43" t="str">
        <f>VLOOKUP(D192,[4]DBASE!$B$3:$P$923,2,FALSE)</f>
        <v>Slahung</v>
      </c>
      <c r="D192" s="47">
        <f>[4]jan!C196</f>
        <v>350602010</v>
      </c>
      <c r="E192" s="45">
        <f t="shared" si="15"/>
        <v>208</v>
      </c>
      <c r="F192" s="45">
        <f t="shared" si="1"/>
        <v>260</v>
      </c>
      <c r="G192" s="45">
        <f t="shared" si="2"/>
        <v>279</v>
      </c>
      <c r="H192" s="45">
        <f t="shared" si="3"/>
        <v>124</v>
      </c>
      <c r="I192" s="45">
        <f t="shared" si="4"/>
        <v>144</v>
      </c>
      <c r="J192" s="45">
        <f t="shared" si="5"/>
        <v>106</v>
      </c>
      <c r="K192" s="45">
        <f t="shared" si="6"/>
        <v>32</v>
      </c>
      <c r="L192" s="45">
        <f t="shared" si="7"/>
        <v>46</v>
      </c>
      <c r="M192" s="45">
        <f t="shared" si="8"/>
        <v>46</v>
      </c>
      <c r="N192" s="45">
        <f t="shared" si="9"/>
        <v>313</v>
      </c>
      <c r="O192" s="45">
        <f t="shared" si="10"/>
        <v>428</v>
      </c>
      <c r="P192" s="45">
        <f t="shared" si="11"/>
        <v>262</v>
      </c>
      <c r="Q192" s="45">
        <f t="shared" si="16"/>
        <v>2248</v>
      </c>
      <c r="R192" s="48"/>
    </row>
    <row r="193" spans="3:18" x14ac:dyDescent="0.2">
      <c r="C193" s="43" t="str">
        <f>VLOOKUP(D193,[4]DBASE!$B$3:$P$923,2,FALSE)</f>
        <v>Sampung</v>
      </c>
      <c r="D193" s="47">
        <f>[4]jan!C197</f>
        <v>350602011</v>
      </c>
      <c r="E193" s="45">
        <f t="shared" si="15"/>
        <v>224</v>
      </c>
      <c r="F193" s="45">
        <f t="shared" si="1"/>
        <v>290</v>
      </c>
      <c r="G193" s="45">
        <f t="shared" si="2"/>
        <v>276</v>
      </c>
      <c r="H193" s="45">
        <f t="shared" si="3"/>
        <v>91</v>
      </c>
      <c r="I193" s="45">
        <f t="shared" si="4"/>
        <v>216</v>
      </c>
      <c r="J193" s="45">
        <f t="shared" si="5"/>
        <v>89</v>
      </c>
      <c r="K193" s="45">
        <f t="shared" si="6"/>
        <v>14</v>
      </c>
      <c r="L193" s="45">
        <f t="shared" si="7"/>
        <v>43</v>
      </c>
      <c r="M193" s="45">
        <f t="shared" si="8"/>
        <v>35</v>
      </c>
      <c r="N193" s="45">
        <f t="shared" si="9"/>
        <v>285</v>
      </c>
      <c r="O193" s="45">
        <f t="shared" si="10"/>
        <v>439</v>
      </c>
      <c r="P193" s="45">
        <f t="shared" si="11"/>
        <v>490</v>
      </c>
      <c r="Q193" s="45">
        <f t="shared" si="16"/>
        <v>2492</v>
      </c>
      <c r="R193" s="48"/>
    </row>
    <row r="194" spans="3:18" x14ac:dyDescent="0.2">
      <c r="C194" s="43" t="str">
        <f>VLOOKUP(D194,[4]DBASE!$B$3:$P$923,2,FALSE)</f>
        <v>Balong</v>
      </c>
      <c r="D194" s="47">
        <f>[4]jan!C198</f>
        <v>350602012</v>
      </c>
      <c r="E194" s="45">
        <f t="shared" si="15"/>
        <v>398</v>
      </c>
      <c r="F194" s="45">
        <f t="shared" si="1"/>
        <v>241</v>
      </c>
      <c r="G194" s="45">
        <f t="shared" si="2"/>
        <v>215</v>
      </c>
      <c r="H194" s="45">
        <f t="shared" si="3"/>
        <v>127</v>
      </c>
      <c r="I194" s="45">
        <f t="shared" si="4"/>
        <v>135</v>
      </c>
      <c r="J194" s="45">
        <f t="shared" si="5"/>
        <v>173</v>
      </c>
      <c r="K194" s="45">
        <f t="shared" si="6"/>
        <v>2</v>
      </c>
      <c r="L194" s="45">
        <f t="shared" si="7"/>
        <v>59</v>
      </c>
      <c r="M194" s="45">
        <f t="shared" si="8"/>
        <v>15</v>
      </c>
      <c r="N194" s="45">
        <f t="shared" si="9"/>
        <v>245</v>
      </c>
      <c r="O194" s="45">
        <f t="shared" si="10"/>
        <v>400</v>
      </c>
      <c r="P194" s="45">
        <f t="shared" si="11"/>
        <v>299</v>
      </c>
      <c r="Q194" s="45">
        <f t="shared" si="16"/>
        <v>2309</v>
      </c>
      <c r="R194" s="48"/>
    </row>
    <row r="195" spans="3:18" x14ac:dyDescent="0.2">
      <c r="C195" s="43" t="str">
        <f>VLOOKUP(D195,[4]DBASE!$B$3:$P$923,2,FALSE)</f>
        <v>Sungkur</v>
      </c>
      <c r="D195" s="47">
        <f>[4]jan!C199</f>
        <v>350602013</v>
      </c>
      <c r="E195" s="45">
        <f t="shared" si="15"/>
        <v>278</v>
      </c>
      <c r="F195" s="45">
        <f t="shared" si="1"/>
        <v>336</v>
      </c>
      <c r="G195" s="45">
        <f t="shared" si="2"/>
        <v>268</v>
      </c>
      <c r="H195" s="45">
        <f t="shared" si="3"/>
        <v>149</v>
      </c>
      <c r="I195" s="45">
        <f t="shared" si="4"/>
        <v>110</v>
      </c>
      <c r="J195" s="45">
        <f t="shared" si="5"/>
        <v>108</v>
      </c>
      <c r="K195" s="45">
        <f t="shared" si="6"/>
        <v>42</v>
      </c>
      <c r="L195" s="45">
        <f t="shared" si="7"/>
        <v>36</v>
      </c>
      <c r="M195" s="45">
        <f t="shared" si="8"/>
        <v>32</v>
      </c>
      <c r="N195" s="45">
        <f t="shared" si="9"/>
        <v>321</v>
      </c>
      <c r="O195" s="45">
        <f t="shared" si="10"/>
        <v>174</v>
      </c>
      <c r="P195" s="45">
        <f t="shared" si="11"/>
        <v>505</v>
      </c>
      <c r="Q195" s="45">
        <f t="shared" si="16"/>
        <v>2359</v>
      </c>
      <c r="R195" s="48"/>
    </row>
    <row r="196" spans="3:18" x14ac:dyDescent="0.2">
      <c r="C196" s="43" t="str">
        <f>VLOOKUP(D196,[4]DBASE!$B$3:$P$923,2,FALSE)</f>
        <v>Purwantoro</v>
      </c>
      <c r="D196" s="47">
        <f>[4]jan!C200</f>
        <v>350602014</v>
      </c>
      <c r="E196" s="45">
        <f t="shared" ref="E196:E231" si="17">VLOOKUP($D196,jan,33,FALSE)</f>
        <v>175</v>
      </c>
      <c r="F196" s="45">
        <f t="shared" si="1"/>
        <v>276</v>
      </c>
      <c r="G196" s="45">
        <f t="shared" si="2"/>
        <v>251</v>
      </c>
      <c r="H196" s="45">
        <f t="shared" si="3"/>
        <v>148</v>
      </c>
      <c r="I196" s="45">
        <f t="shared" si="4"/>
        <v>80</v>
      </c>
      <c r="J196" s="45">
        <f t="shared" si="5"/>
        <v>54</v>
      </c>
      <c r="K196" s="45">
        <f t="shared" si="6"/>
        <v>25</v>
      </c>
      <c r="L196" s="45">
        <f t="shared" si="7"/>
        <v>56</v>
      </c>
      <c r="M196" s="45">
        <f t="shared" si="8"/>
        <v>21</v>
      </c>
      <c r="N196" s="45">
        <f t="shared" si="9"/>
        <v>406</v>
      </c>
      <c r="O196" s="45">
        <f t="shared" si="10"/>
        <v>231</v>
      </c>
      <c r="P196" s="45">
        <f t="shared" si="11"/>
        <v>301</v>
      </c>
      <c r="Q196" s="45">
        <f t="shared" si="16"/>
        <v>2024</v>
      </c>
      <c r="R196" s="48"/>
    </row>
    <row r="197" spans="3:18" x14ac:dyDescent="0.2">
      <c r="C197" s="43" t="str">
        <f>VLOOKUP(D197,[4]DBASE!$B$3:$P$923,2,FALSE)</f>
        <v>Ngebel</v>
      </c>
      <c r="D197" s="47">
        <f>[4]jan!C201</f>
        <v>350602015</v>
      </c>
      <c r="E197" s="45">
        <f t="shared" si="17"/>
        <v>320</v>
      </c>
      <c r="F197" s="45">
        <f>VLOOKUP($D197,peb,33,FALSE)</f>
        <v>194</v>
      </c>
      <c r="G197" s="45">
        <f t="shared" ref="G197:G231" si="18">VLOOKUP($D197,mar,33,FALSE)</f>
        <v>450</v>
      </c>
      <c r="H197" s="45">
        <f t="shared" ref="H197:H231" si="19">VLOOKUP($D197,apr,33,FALSE)</f>
        <v>90</v>
      </c>
      <c r="I197" s="45">
        <f t="shared" ref="I197:I231" si="20">VLOOKUP($D197,mei,33,FALSE)</f>
        <v>161</v>
      </c>
      <c r="J197" s="45">
        <f t="shared" ref="J197:J231" si="21">VLOOKUP($D197,jun,33,FALSE)</f>
        <v>257</v>
      </c>
      <c r="K197" s="45">
        <f t="shared" ref="K197:K231" si="22">VLOOKUP($D197,jul,33,FALSE)</f>
        <v>14</v>
      </c>
      <c r="L197" s="45">
        <f t="shared" ref="L197:L231" si="23">VLOOKUP($D197,ags,33,FALSE)</f>
        <v>100</v>
      </c>
      <c r="M197" s="45">
        <f t="shared" ref="M197:M231" si="24">VLOOKUP($D197,sep,33,FALSE)</f>
        <v>59</v>
      </c>
      <c r="N197" s="45">
        <f t="shared" ref="N197:N231" si="25">VLOOKUP($D197,okt,33,FALSE)</f>
        <v>666</v>
      </c>
      <c r="O197" s="45">
        <f t="shared" ref="O197:O231" si="26">VLOOKUP($D197,nop,33,FALSE)</f>
        <v>340</v>
      </c>
      <c r="P197" s="45">
        <f t="shared" ref="P197:P231" si="27">VLOOKUP($D197,des,33,FALSE)</f>
        <v>191</v>
      </c>
      <c r="Q197" s="45">
        <f t="shared" ref="Q197:Q231" si="28">SUM(E197:P197)</f>
        <v>2842</v>
      </c>
      <c r="R197" s="48"/>
    </row>
    <row r="198" spans="3:18" x14ac:dyDescent="0.2">
      <c r="C198" s="43" t="str">
        <f>VLOOKUP(D198,[4]DBASE!$B$3:$P$923,2,FALSE)</f>
        <v>Talun PNG</v>
      </c>
      <c r="D198" s="47">
        <f>[4]jan!C202</f>
        <v>350602016</v>
      </c>
      <c r="E198" s="45">
        <f t="shared" si="17"/>
        <v>379</v>
      </c>
      <c r="F198" s="45">
        <f t="shared" ref="F198:F231" si="29">VLOOKUP($D198,peb,33,FALSE)</f>
        <v>306</v>
      </c>
      <c r="G198" s="45">
        <f t="shared" si="18"/>
        <v>542</v>
      </c>
      <c r="H198" s="45">
        <f t="shared" si="19"/>
        <v>303</v>
      </c>
      <c r="I198" s="45">
        <f t="shared" si="20"/>
        <v>213</v>
      </c>
      <c r="J198" s="45">
        <f t="shared" si="21"/>
        <v>273</v>
      </c>
      <c r="K198" s="45">
        <f t="shared" si="22"/>
        <v>62</v>
      </c>
      <c r="L198" s="45">
        <f t="shared" si="23"/>
        <v>86</v>
      </c>
      <c r="M198" s="45">
        <f t="shared" si="24"/>
        <v>90</v>
      </c>
      <c r="N198" s="45">
        <f t="shared" si="25"/>
        <v>664</v>
      </c>
      <c r="O198" s="45">
        <f t="shared" si="26"/>
        <v>507</v>
      </c>
      <c r="P198" s="45">
        <f t="shared" si="27"/>
        <v>280</v>
      </c>
      <c r="Q198" s="45">
        <f t="shared" si="28"/>
        <v>3705</v>
      </c>
      <c r="R198" s="48"/>
    </row>
    <row r="199" spans="3:18" x14ac:dyDescent="0.2">
      <c r="C199" s="43" t="str">
        <f>VLOOKUP(D199,[4]DBASE!$B$3:$P$923,2,FALSE)</f>
        <v>Bollu</v>
      </c>
      <c r="D199" s="47">
        <f>[4]jan!C203</f>
        <v>350602017</v>
      </c>
      <c r="E199" s="45">
        <f t="shared" si="17"/>
        <v>294</v>
      </c>
      <c r="F199" s="45">
        <f t="shared" si="29"/>
        <v>158</v>
      </c>
      <c r="G199" s="45">
        <f t="shared" si="18"/>
        <v>437</v>
      </c>
      <c r="H199" s="45">
        <f t="shared" si="19"/>
        <v>191</v>
      </c>
      <c r="I199" s="45">
        <f t="shared" si="20"/>
        <v>236</v>
      </c>
      <c r="J199" s="45">
        <f t="shared" si="21"/>
        <v>158</v>
      </c>
      <c r="K199" s="45">
        <f t="shared" si="22"/>
        <v>14</v>
      </c>
      <c r="L199" s="45">
        <f t="shared" si="23"/>
        <v>15</v>
      </c>
      <c r="M199" s="45">
        <f t="shared" si="24"/>
        <v>54</v>
      </c>
      <c r="N199" s="45">
        <f t="shared" si="25"/>
        <v>421</v>
      </c>
      <c r="O199" s="45">
        <f t="shared" si="26"/>
        <v>430</v>
      </c>
      <c r="P199" s="45">
        <f t="shared" si="27"/>
        <v>170</v>
      </c>
      <c r="Q199" s="45">
        <f t="shared" si="28"/>
        <v>2578</v>
      </c>
      <c r="R199" s="48"/>
    </row>
    <row r="200" spans="3:18" x14ac:dyDescent="0.2">
      <c r="C200" s="43" t="str">
        <f>VLOOKUP(D200,[4]DBASE!$B$3:$P$923,2,FALSE)</f>
        <v>Wilangan</v>
      </c>
      <c r="D200" s="47">
        <f>[4]jan!C204</f>
        <v>350602018</v>
      </c>
      <c r="E200" s="45">
        <f t="shared" si="17"/>
        <v>387</v>
      </c>
      <c r="F200" s="45">
        <f t="shared" si="29"/>
        <v>347</v>
      </c>
      <c r="G200" s="45">
        <f t="shared" si="18"/>
        <v>365</v>
      </c>
      <c r="H200" s="45">
        <f t="shared" si="19"/>
        <v>128</v>
      </c>
      <c r="I200" s="45">
        <f t="shared" si="20"/>
        <v>206</v>
      </c>
      <c r="J200" s="45">
        <f t="shared" si="21"/>
        <v>301</v>
      </c>
      <c r="K200" s="45">
        <f t="shared" si="22"/>
        <v>9</v>
      </c>
      <c r="L200" s="45">
        <f t="shared" si="23"/>
        <v>8</v>
      </c>
      <c r="M200" s="45">
        <f t="shared" si="24"/>
        <v>22</v>
      </c>
      <c r="N200" s="45">
        <f t="shared" si="25"/>
        <v>322</v>
      </c>
      <c r="O200" s="45">
        <f t="shared" si="26"/>
        <v>477</v>
      </c>
      <c r="P200" s="45">
        <f t="shared" si="27"/>
        <v>221</v>
      </c>
      <c r="Q200" s="45">
        <f t="shared" si="28"/>
        <v>2793</v>
      </c>
      <c r="R200" s="48"/>
    </row>
    <row r="201" spans="3:18" x14ac:dyDescent="0.2">
      <c r="C201" s="43" t="str">
        <f>VLOOKUP(D201,[4]DBASE!$B$3:$P$923,2,FALSE)</f>
        <v>Ngilo - ilo</v>
      </c>
      <c r="D201" s="47">
        <f>[4]jan!C205</f>
        <v>350602019</v>
      </c>
      <c r="E201" s="45">
        <f t="shared" si="17"/>
        <v>462</v>
      </c>
      <c r="F201" s="45">
        <f t="shared" si="29"/>
        <v>392</v>
      </c>
      <c r="G201" s="45">
        <f t="shared" si="18"/>
        <v>218</v>
      </c>
      <c r="H201" s="45">
        <f t="shared" si="19"/>
        <v>187</v>
      </c>
      <c r="I201" s="45">
        <f t="shared" si="20"/>
        <v>178</v>
      </c>
      <c r="J201" s="45">
        <f t="shared" si="21"/>
        <v>151</v>
      </c>
      <c r="K201" s="45">
        <f t="shared" si="22"/>
        <v>4</v>
      </c>
      <c r="L201" s="45">
        <f t="shared" si="23"/>
        <v>33</v>
      </c>
      <c r="M201" s="45">
        <f t="shared" si="24"/>
        <v>12</v>
      </c>
      <c r="N201" s="45">
        <f t="shared" si="25"/>
        <v>312</v>
      </c>
      <c r="O201" s="45">
        <f t="shared" si="26"/>
        <v>408</v>
      </c>
      <c r="P201" s="45">
        <f t="shared" si="27"/>
        <v>302</v>
      </c>
      <c r="Q201" s="45">
        <f t="shared" si="28"/>
        <v>2659</v>
      </c>
      <c r="R201" s="48"/>
    </row>
    <row r="202" spans="3:18" x14ac:dyDescent="0.2">
      <c r="C202" s="43" t="str">
        <f>VLOOKUP(D202,[4]DBASE!$B$3:$P$923,2,FALSE)</f>
        <v>Sumoroto</v>
      </c>
      <c r="D202" s="47">
        <f>[4]jan!C206</f>
        <v>350602020</v>
      </c>
      <c r="E202" s="45">
        <f t="shared" si="17"/>
        <v>283</v>
      </c>
      <c r="F202" s="45">
        <f t="shared" si="29"/>
        <v>268</v>
      </c>
      <c r="G202" s="45">
        <f t="shared" si="18"/>
        <v>258</v>
      </c>
      <c r="H202" s="45">
        <f t="shared" si="19"/>
        <v>84</v>
      </c>
      <c r="I202" s="45">
        <f t="shared" si="20"/>
        <v>141</v>
      </c>
      <c r="J202" s="45">
        <f t="shared" si="21"/>
        <v>119</v>
      </c>
      <c r="K202" s="45">
        <f t="shared" si="22"/>
        <v>30</v>
      </c>
      <c r="L202" s="45">
        <f t="shared" si="23"/>
        <v>18</v>
      </c>
      <c r="M202" s="45">
        <f t="shared" si="24"/>
        <v>35</v>
      </c>
      <c r="N202" s="45">
        <f t="shared" si="25"/>
        <v>297</v>
      </c>
      <c r="O202" s="45">
        <f t="shared" si="26"/>
        <v>144</v>
      </c>
      <c r="P202" s="45">
        <f t="shared" si="27"/>
        <v>363</v>
      </c>
      <c r="Q202" s="45">
        <f t="shared" si="28"/>
        <v>2040</v>
      </c>
      <c r="R202" s="48"/>
    </row>
    <row r="203" spans="3:18" x14ac:dyDescent="0.2">
      <c r="C203" s="43" t="str">
        <f>VLOOKUP(D203,[4]DBASE!$B$3:$P$923,2,FALSE)</f>
        <v>Badegan</v>
      </c>
      <c r="D203" s="47">
        <f>[4]jan!C207</f>
        <v>350602021</v>
      </c>
      <c r="E203" s="45">
        <f t="shared" si="17"/>
        <v>194</v>
      </c>
      <c r="F203" s="45">
        <f t="shared" si="29"/>
        <v>300</v>
      </c>
      <c r="G203" s="45">
        <f t="shared" si="18"/>
        <v>260</v>
      </c>
      <c r="H203" s="45">
        <f t="shared" si="19"/>
        <v>93</v>
      </c>
      <c r="I203" s="45">
        <f t="shared" si="20"/>
        <v>73</v>
      </c>
      <c r="J203" s="45">
        <f t="shared" si="21"/>
        <v>58</v>
      </c>
      <c r="K203" s="45">
        <f t="shared" si="22"/>
        <v>47</v>
      </c>
      <c r="L203" s="45">
        <f t="shared" si="23"/>
        <v>63</v>
      </c>
      <c r="M203" s="45">
        <f t="shared" si="24"/>
        <v>21</v>
      </c>
      <c r="N203" s="45">
        <f t="shared" si="25"/>
        <v>377</v>
      </c>
      <c r="O203" s="45">
        <f t="shared" si="26"/>
        <v>218</v>
      </c>
      <c r="P203" s="45">
        <f t="shared" si="27"/>
        <v>368</v>
      </c>
      <c r="Q203" s="45">
        <f t="shared" si="28"/>
        <v>2072</v>
      </c>
      <c r="R203" s="48"/>
    </row>
    <row r="204" spans="3:18" x14ac:dyDescent="0.2">
      <c r="C204" s="43" t="str">
        <f>VLOOKUP(D204,[4]DBASE!$B$3:$P$923,2,FALSE)</f>
        <v>Pohijo</v>
      </c>
      <c r="D204" s="47">
        <f>[4]jan!C208</f>
        <v>350602022</v>
      </c>
      <c r="E204" s="45">
        <f t="shared" si="17"/>
        <v>239</v>
      </c>
      <c r="F204" s="45">
        <f t="shared" si="29"/>
        <v>239</v>
      </c>
      <c r="G204" s="45">
        <f t="shared" si="18"/>
        <v>214</v>
      </c>
      <c r="H204" s="45">
        <f t="shared" si="19"/>
        <v>83</v>
      </c>
      <c r="I204" s="45">
        <f t="shared" si="20"/>
        <v>157</v>
      </c>
      <c r="J204" s="45">
        <f t="shared" si="21"/>
        <v>90</v>
      </c>
      <c r="K204" s="45">
        <f t="shared" si="22"/>
        <v>10</v>
      </c>
      <c r="L204" s="45">
        <f t="shared" si="23"/>
        <v>86</v>
      </c>
      <c r="M204" s="45">
        <f t="shared" si="24"/>
        <v>45</v>
      </c>
      <c r="N204" s="45">
        <f t="shared" si="25"/>
        <v>358</v>
      </c>
      <c r="O204" s="45">
        <f t="shared" si="26"/>
        <v>336</v>
      </c>
      <c r="P204" s="45">
        <f t="shared" si="27"/>
        <v>405</v>
      </c>
      <c r="Q204" s="45">
        <f t="shared" si="28"/>
        <v>2262</v>
      </c>
      <c r="R204" s="48"/>
    </row>
    <row r="205" spans="3:18" x14ac:dyDescent="0.2">
      <c r="C205" s="43" t="str">
        <f>VLOOKUP(D205,[4]DBASE!$B$3:$P$923,2,FALSE)</f>
        <v>Ngrayun</v>
      </c>
      <c r="D205" s="47">
        <f>[4]jan!C209</f>
        <v>350602023</v>
      </c>
      <c r="E205" s="45">
        <f t="shared" si="17"/>
        <v>241</v>
      </c>
      <c r="F205" s="45">
        <f t="shared" si="29"/>
        <v>285</v>
      </c>
      <c r="G205" s="45">
        <f t="shared" si="18"/>
        <v>325</v>
      </c>
      <c r="H205" s="45">
        <f t="shared" si="19"/>
        <v>116</v>
      </c>
      <c r="I205" s="45">
        <f t="shared" si="20"/>
        <v>225</v>
      </c>
      <c r="J205" s="45">
        <f t="shared" si="21"/>
        <v>146</v>
      </c>
      <c r="K205" s="45">
        <f t="shared" si="22"/>
        <v>8</v>
      </c>
      <c r="L205" s="45">
        <f t="shared" si="23"/>
        <v>70</v>
      </c>
      <c r="M205" s="45">
        <f t="shared" si="24"/>
        <v>52</v>
      </c>
      <c r="N205" s="45">
        <f t="shared" si="25"/>
        <v>392</v>
      </c>
      <c r="O205" s="45">
        <f t="shared" si="26"/>
        <v>611</v>
      </c>
      <c r="P205" s="45">
        <f t="shared" si="27"/>
        <v>186</v>
      </c>
      <c r="Q205" s="45">
        <f t="shared" si="28"/>
        <v>2657</v>
      </c>
      <c r="R205" s="48"/>
    </row>
    <row r="206" spans="3:18" x14ac:dyDescent="0.2">
      <c r="C206" s="43" t="str">
        <f>VLOOKUP(D206,[4]DBASE!$B$3:$P$923,2,FALSE)</f>
        <v>Pacitan</v>
      </c>
      <c r="D206" s="47">
        <f>[4]jan!C210</f>
        <v>350601001</v>
      </c>
      <c r="E206" s="45">
        <f t="shared" si="17"/>
        <v>262</v>
      </c>
      <c r="F206" s="45">
        <f t="shared" si="29"/>
        <v>390.5</v>
      </c>
      <c r="G206" s="45">
        <f t="shared" si="18"/>
        <v>259</v>
      </c>
      <c r="H206" s="45">
        <f t="shared" si="19"/>
        <v>151</v>
      </c>
      <c r="I206" s="45">
        <f t="shared" si="20"/>
        <v>161</v>
      </c>
      <c r="J206" s="45">
        <f t="shared" si="21"/>
        <v>145</v>
      </c>
      <c r="K206" s="45">
        <f t="shared" si="22"/>
        <v>51</v>
      </c>
      <c r="L206" s="45">
        <f t="shared" si="23"/>
        <v>115</v>
      </c>
      <c r="M206" s="45">
        <f t="shared" si="24"/>
        <v>468</v>
      </c>
      <c r="N206" s="45">
        <f t="shared" si="25"/>
        <v>889</v>
      </c>
      <c r="O206" s="45">
        <f t="shared" si="26"/>
        <v>702</v>
      </c>
      <c r="P206" s="45">
        <f t="shared" si="27"/>
        <v>396</v>
      </c>
      <c r="Q206" s="45">
        <f t="shared" si="28"/>
        <v>3989.5</v>
      </c>
    </row>
    <row r="207" spans="3:18" x14ac:dyDescent="0.2">
      <c r="C207" s="43" t="str">
        <f>VLOOKUP(D207,[4]DBASE!$B$3:$P$923,2,FALSE)</f>
        <v>Kebonagung</v>
      </c>
      <c r="D207" s="47">
        <f>[4]jan!C211</f>
        <v>350601002</v>
      </c>
      <c r="E207" s="45">
        <f t="shared" si="17"/>
        <v>293</v>
      </c>
      <c r="F207" s="45">
        <f t="shared" si="29"/>
        <v>387</v>
      </c>
      <c r="G207" s="45">
        <f t="shared" si="18"/>
        <v>259</v>
      </c>
      <c r="H207" s="45">
        <f t="shared" si="19"/>
        <v>115</v>
      </c>
      <c r="I207" s="45">
        <f t="shared" si="20"/>
        <v>232</v>
      </c>
      <c r="J207" s="45">
        <f t="shared" si="21"/>
        <v>270</v>
      </c>
      <c r="K207" s="45">
        <f t="shared" si="22"/>
        <v>71</v>
      </c>
      <c r="L207" s="45">
        <f t="shared" si="23"/>
        <v>249</v>
      </c>
      <c r="M207" s="45">
        <f t="shared" si="24"/>
        <v>528</v>
      </c>
      <c r="N207" s="45">
        <f t="shared" si="25"/>
        <v>797</v>
      </c>
      <c r="O207" s="45">
        <f t="shared" si="26"/>
        <v>767</v>
      </c>
      <c r="P207" s="45">
        <f t="shared" si="27"/>
        <v>468</v>
      </c>
      <c r="Q207" s="45">
        <f t="shared" si="28"/>
        <v>4436</v>
      </c>
    </row>
    <row r="208" spans="3:18" x14ac:dyDescent="0.2">
      <c r="C208" s="43" t="str">
        <f>VLOOKUP(D208,[4]DBASE!$B$3:$P$923,2,FALSE)</f>
        <v>Arjosari</v>
      </c>
      <c r="D208" s="47">
        <f>[4]jan!C212</f>
        <v>350601003</v>
      </c>
      <c r="E208" s="45">
        <f t="shared" si="17"/>
        <v>190</v>
      </c>
      <c r="F208" s="45">
        <f t="shared" si="29"/>
        <v>334</v>
      </c>
      <c r="G208" s="45">
        <f t="shared" si="18"/>
        <v>210</v>
      </c>
      <c r="H208" s="45">
        <f t="shared" si="19"/>
        <v>113</v>
      </c>
      <c r="I208" s="45">
        <f t="shared" si="20"/>
        <v>187</v>
      </c>
      <c r="J208" s="45">
        <f t="shared" si="21"/>
        <v>126</v>
      </c>
      <c r="K208" s="45">
        <f t="shared" si="22"/>
        <v>17</v>
      </c>
      <c r="L208" s="45">
        <f t="shared" si="23"/>
        <v>59</v>
      </c>
      <c r="M208" s="45">
        <f t="shared" si="24"/>
        <v>170</v>
      </c>
      <c r="N208" s="45">
        <f t="shared" si="25"/>
        <v>702</v>
      </c>
      <c r="O208" s="45">
        <f t="shared" si="26"/>
        <v>535</v>
      </c>
      <c r="P208" s="45">
        <f t="shared" si="27"/>
        <v>299</v>
      </c>
      <c r="Q208" s="45">
        <f t="shared" si="28"/>
        <v>2942</v>
      </c>
    </row>
    <row r="209" spans="3:17" x14ac:dyDescent="0.2">
      <c r="C209" s="43" t="str">
        <f>VLOOKUP(D209,[4]DBASE!$B$3:$P$923,2,FALSE)</f>
        <v>Kerti</v>
      </c>
      <c r="D209" s="47">
        <f>[4]jan!C213</f>
        <v>350601004</v>
      </c>
      <c r="E209" s="45">
        <f t="shared" si="17"/>
        <v>230</v>
      </c>
      <c r="F209" s="45">
        <f t="shared" si="29"/>
        <v>231</v>
      </c>
      <c r="G209" s="45">
        <f t="shared" si="18"/>
        <v>152</v>
      </c>
      <c r="H209" s="45">
        <f t="shared" si="19"/>
        <v>65</v>
      </c>
      <c r="I209" s="45">
        <f t="shared" si="20"/>
        <v>157</v>
      </c>
      <c r="J209" s="45">
        <f t="shared" si="21"/>
        <v>81</v>
      </c>
      <c r="K209" s="45">
        <f t="shared" si="22"/>
        <v>17</v>
      </c>
      <c r="L209" s="45">
        <f t="shared" si="23"/>
        <v>49</v>
      </c>
      <c r="M209" s="45">
        <f t="shared" si="24"/>
        <v>274</v>
      </c>
      <c r="N209" s="45">
        <f t="shared" si="25"/>
        <v>467</v>
      </c>
      <c r="O209" s="45">
        <f t="shared" si="26"/>
        <v>395</v>
      </c>
      <c r="P209" s="45">
        <f t="shared" si="27"/>
        <v>338</v>
      </c>
      <c r="Q209" s="45">
        <f t="shared" si="28"/>
        <v>2456</v>
      </c>
    </row>
    <row r="210" spans="3:17" x14ac:dyDescent="0.2">
      <c r="C210" s="43" t="str">
        <f>VLOOKUP(D210,[4]DBASE!$B$3:$P$923,2,FALSE)</f>
        <v>Punung</v>
      </c>
      <c r="D210" s="47">
        <f>[4]jan!C214</f>
        <v>350601005</v>
      </c>
      <c r="E210" s="45">
        <f t="shared" si="17"/>
        <v>222</v>
      </c>
      <c r="F210" s="45">
        <f t="shared" si="29"/>
        <v>357</v>
      </c>
      <c r="G210" s="45">
        <f t="shared" si="18"/>
        <v>198</v>
      </c>
      <c r="H210" s="45">
        <f t="shared" si="19"/>
        <v>108</v>
      </c>
      <c r="I210" s="45">
        <f t="shared" si="20"/>
        <v>348</v>
      </c>
      <c r="J210" s="45">
        <f t="shared" si="21"/>
        <v>79</v>
      </c>
      <c r="K210" s="45">
        <f t="shared" si="22"/>
        <v>24</v>
      </c>
      <c r="L210" s="45">
        <f t="shared" si="23"/>
        <v>59</v>
      </c>
      <c r="M210" s="45">
        <f t="shared" si="24"/>
        <v>164</v>
      </c>
      <c r="N210" s="45">
        <f t="shared" si="25"/>
        <v>478</v>
      </c>
      <c r="O210" s="45">
        <f t="shared" si="26"/>
        <v>473</v>
      </c>
      <c r="P210" s="45">
        <f t="shared" si="27"/>
        <v>381</v>
      </c>
      <c r="Q210" s="45">
        <f t="shared" si="28"/>
        <v>2891</v>
      </c>
    </row>
    <row r="211" spans="3:17" x14ac:dyDescent="0.2">
      <c r="C211" s="43" t="str">
        <f>VLOOKUP(D211,[4]DBASE!$B$3:$P$923,2,FALSE)</f>
        <v>Pringkuku</v>
      </c>
      <c r="D211" s="47">
        <f>[4]jan!C215</f>
        <v>350601006</v>
      </c>
      <c r="E211" s="45">
        <f t="shared" si="17"/>
        <v>265</v>
      </c>
      <c r="F211" s="45">
        <f t="shared" si="29"/>
        <v>421</v>
      </c>
      <c r="G211" s="45">
        <f t="shared" si="18"/>
        <v>269</v>
      </c>
      <c r="H211" s="45">
        <f t="shared" si="19"/>
        <v>114</v>
      </c>
      <c r="I211" s="45">
        <f t="shared" si="20"/>
        <v>339</v>
      </c>
      <c r="J211" s="45">
        <f t="shared" si="21"/>
        <v>108</v>
      </c>
      <c r="K211" s="45">
        <f t="shared" si="22"/>
        <v>29</v>
      </c>
      <c r="L211" s="45">
        <f t="shared" si="23"/>
        <v>115</v>
      </c>
      <c r="M211" s="45">
        <f t="shared" si="24"/>
        <v>395</v>
      </c>
      <c r="N211" s="45">
        <f t="shared" si="25"/>
        <v>802</v>
      </c>
      <c r="O211" s="45">
        <f t="shared" si="26"/>
        <v>537</v>
      </c>
      <c r="P211" s="45">
        <f t="shared" si="27"/>
        <v>495</v>
      </c>
      <c r="Q211" s="45">
        <f t="shared" si="28"/>
        <v>3889</v>
      </c>
    </row>
    <row r="212" spans="3:17" x14ac:dyDescent="0.2">
      <c r="C212" s="43" t="str">
        <f>VLOOKUP(D212,[4]DBASE!$B$3:$P$923,2,FALSE)</f>
        <v>Donorojo</v>
      </c>
      <c r="D212" s="47">
        <f>[4]jan!C216</f>
        <v>350601007</v>
      </c>
      <c r="E212" s="45">
        <f t="shared" si="17"/>
        <v>135</v>
      </c>
      <c r="F212" s="45">
        <f t="shared" si="29"/>
        <v>315</v>
      </c>
      <c r="G212" s="45">
        <f t="shared" si="18"/>
        <v>346</v>
      </c>
      <c r="H212" s="45">
        <f t="shared" si="19"/>
        <v>185</v>
      </c>
      <c r="I212" s="45">
        <f t="shared" si="20"/>
        <v>300</v>
      </c>
      <c r="J212" s="45">
        <f t="shared" si="21"/>
        <v>115</v>
      </c>
      <c r="K212" s="45">
        <f t="shared" si="22"/>
        <v>40</v>
      </c>
      <c r="L212" s="45">
        <f t="shared" si="23"/>
        <v>45</v>
      </c>
      <c r="M212" s="45">
        <f t="shared" si="24"/>
        <v>110</v>
      </c>
      <c r="N212" s="45">
        <f t="shared" si="25"/>
        <v>477</v>
      </c>
      <c r="O212" s="45">
        <f t="shared" si="26"/>
        <v>555</v>
      </c>
      <c r="P212" s="45">
        <f t="shared" si="27"/>
        <v>415</v>
      </c>
      <c r="Q212" s="45">
        <f t="shared" si="28"/>
        <v>3038</v>
      </c>
    </row>
    <row r="213" spans="3:17" x14ac:dyDescent="0.2">
      <c r="C213" s="43" t="str">
        <f>VLOOKUP(D213,[4]DBASE!$B$3:$P$923,2,FALSE)</f>
        <v>Ngadirojo</v>
      </c>
      <c r="D213" s="47">
        <f>[4]jan!C217</f>
        <v>350601008</v>
      </c>
      <c r="E213" s="45">
        <f t="shared" si="17"/>
        <v>261</v>
      </c>
      <c r="F213" s="45">
        <f t="shared" si="29"/>
        <v>352</v>
      </c>
      <c r="G213" s="45">
        <f t="shared" si="18"/>
        <v>327</v>
      </c>
      <c r="H213" s="45">
        <f t="shared" si="19"/>
        <v>162</v>
      </c>
      <c r="I213" s="45">
        <f t="shared" si="20"/>
        <v>196</v>
      </c>
      <c r="J213" s="45">
        <f t="shared" si="21"/>
        <v>242</v>
      </c>
      <c r="K213" s="45">
        <f t="shared" si="22"/>
        <v>53</v>
      </c>
      <c r="L213" s="45">
        <f t="shared" si="23"/>
        <v>98</v>
      </c>
      <c r="M213" s="45">
        <f t="shared" si="24"/>
        <v>477</v>
      </c>
      <c r="N213" s="45">
        <f t="shared" si="25"/>
        <v>891</v>
      </c>
      <c r="O213" s="45">
        <f t="shared" si="26"/>
        <v>523</v>
      </c>
      <c r="P213" s="45">
        <f t="shared" si="27"/>
        <v>581</v>
      </c>
      <c r="Q213" s="45">
        <f t="shared" si="28"/>
        <v>4163</v>
      </c>
    </row>
    <row r="214" spans="3:17" x14ac:dyDescent="0.2">
      <c r="C214" s="43" t="str">
        <f>VLOOKUP(D214,[4]DBASE!$B$3:$P$923,2,FALSE)</f>
        <v>Tulakan</v>
      </c>
      <c r="D214" s="47">
        <f>[4]jan!C218</f>
        <v>350601009</v>
      </c>
      <c r="E214" s="45">
        <f t="shared" si="17"/>
        <v>174</v>
      </c>
      <c r="F214" s="45">
        <f t="shared" si="29"/>
        <v>326</v>
      </c>
      <c r="G214" s="45">
        <f t="shared" si="18"/>
        <v>296</v>
      </c>
      <c r="H214" s="45">
        <f t="shared" si="19"/>
        <v>137</v>
      </c>
      <c r="I214" s="45">
        <f t="shared" si="20"/>
        <v>255</v>
      </c>
      <c r="J214" s="45">
        <f t="shared" si="21"/>
        <v>195</v>
      </c>
      <c r="K214" s="45">
        <f t="shared" si="22"/>
        <v>42</v>
      </c>
      <c r="L214" s="45">
        <f t="shared" si="23"/>
        <v>123</v>
      </c>
      <c r="M214" s="45">
        <f t="shared" si="24"/>
        <v>339</v>
      </c>
      <c r="N214" s="45">
        <f t="shared" si="25"/>
        <v>956</v>
      </c>
      <c r="O214" s="45">
        <f t="shared" si="26"/>
        <v>610</v>
      </c>
      <c r="P214" s="45">
        <f t="shared" si="27"/>
        <v>467</v>
      </c>
      <c r="Q214" s="45">
        <f t="shared" si="28"/>
        <v>3920</v>
      </c>
    </row>
    <row r="215" spans="3:17" x14ac:dyDescent="0.2">
      <c r="C215" s="43" t="str">
        <f>VLOOKUP(D215,[4]DBASE!$B$3:$P$923,2,FALSE)</f>
        <v>Sudimoro</v>
      </c>
      <c r="D215" s="47">
        <f>[4]jan!C219</f>
        <v>350601010</v>
      </c>
      <c r="E215" s="45">
        <f t="shared" si="17"/>
        <v>317</v>
      </c>
      <c r="F215" s="45">
        <f t="shared" si="29"/>
        <v>350</v>
      </c>
      <c r="G215" s="45">
        <f t="shared" si="18"/>
        <v>468</v>
      </c>
      <c r="H215" s="45">
        <f t="shared" si="19"/>
        <v>111</v>
      </c>
      <c r="I215" s="45">
        <f t="shared" si="20"/>
        <v>277</v>
      </c>
      <c r="J215" s="45">
        <f t="shared" si="21"/>
        <v>286</v>
      </c>
      <c r="K215" s="45">
        <f t="shared" si="22"/>
        <v>45</v>
      </c>
      <c r="L215" s="45">
        <f t="shared" si="23"/>
        <v>100</v>
      </c>
      <c r="M215" s="45">
        <f t="shared" si="24"/>
        <v>250</v>
      </c>
      <c r="N215" s="45">
        <f t="shared" si="25"/>
        <v>1002</v>
      </c>
      <c r="O215" s="45">
        <f t="shared" si="26"/>
        <v>517</v>
      </c>
      <c r="P215" s="45">
        <f t="shared" si="27"/>
        <v>429</v>
      </c>
      <c r="Q215" s="45">
        <f t="shared" si="28"/>
        <v>4152</v>
      </c>
    </row>
    <row r="216" spans="3:17" x14ac:dyDescent="0.2">
      <c r="C216" s="43" t="str">
        <f>VLOOKUP(D216,[4]DBASE!$B$3:$P$923,2,FALSE)</f>
        <v>Tegalombo</v>
      </c>
      <c r="D216" s="47">
        <f>[4]jan!C220</f>
        <v>350601011</v>
      </c>
      <c r="E216" s="45">
        <f t="shared" si="17"/>
        <v>194.5</v>
      </c>
      <c r="F216" s="45">
        <f t="shared" si="29"/>
        <v>290</v>
      </c>
      <c r="G216" s="45">
        <f t="shared" si="18"/>
        <v>425.5</v>
      </c>
      <c r="H216" s="45">
        <f t="shared" si="19"/>
        <v>206.6</v>
      </c>
      <c r="I216" s="45">
        <f t="shared" si="20"/>
        <v>117</v>
      </c>
      <c r="J216" s="45">
        <f t="shared" si="21"/>
        <v>118</v>
      </c>
      <c r="K216" s="45">
        <f t="shared" si="22"/>
        <v>13.2</v>
      </c>
      <c r="L216" s="45">
        <f t="shared" si="23"/>
        <v>70</v>
      </c>
      <c r="M216" s="45">
        <f t="shared" si="24"/>
        <v>98</v>
      </c>
      <c r="N216" s="45">
        <f t="shared" si="25"/>
        <v>449</v>
      </c>
      <c r="O216" s="45">
        <f t="shared" si="26"/>
        <v>437</v>
      </c>
      <c r="P216" s="45">
        <f t="shared" si="27"/>
        <v>390</v>
      </c>
      <c r="Q216" s="45">
        <f t="shared" si="28"/>
        <v>2808.8</v>
      </c>
    </row>
    <row r="217" spans="3:17" x14ac:dyDescent="0.2">
      <c r="C217" s="43" t="str">
        <f>VLOOKUP(D217,[4]DBASE!$B$3:$P$923,2,FALSE)</f>
        <v>Tahunan</v>
      </c>
      <c r="D217" s="47">
        <f>[4]jan!C221</f>
        <v>350601012</v>
      </c>
      <c r="E217" s="45">
        <f t="shared" si="17"/>
        <v>205</v>
      </c>
      <c r="F217" s="45">
        <f t="shared" si="29"/>
        <v>302</v>
      </c>
      <c r="G217" s="45">
        <f t="shared" si="18"/>
        <v>380</v>
      </c>
      <c r="H217" s="45">
        <f t="shared" si="19"/>
        <v>180</v>
      </c>
      <c r="I217" s="45">
        <f t="shared" si="20"/>
        <v>63</v>
      </c>
      <c r="J217" s="45">
        <f t="shared" si="21"/>
        <v>129</v>
      </c>
      <c r="K217" s="45">
        <f t="shared" si="22"/>
        <v>22</v>
      </c>
      <c r="L217" s="45">
        <f t="shared" si="23"/>
        <v>134</v>
      </c>
      <c r="M217" s="45">
        <f t="shared" si="24"/>
        <v>105</v>
      </c>
      <c r="N217" s="45">
        <f t="shared" si="25"/>
        <v>489</v>
      </c>
      <c r="O217" s="45">
        <f t="shared" si="26"/>
        <v>451</v>
      </c>
      <c r="P217" s="45">
        <f t="shared" si="27"/>
        <v>270</v>
      </c>
      <c r="Q217" s="45">
        <f t="shared" si="28"/>
        <v>2730</v>
      </c>
    </row>
    <row r="218" spans="3:17" x14ac:dyDescent="0.2">
      <c r="C218" s="43" t="str">
        <f>VLOOKUP(D218,[4]DBASE!$B$3:$P$923,2,FALSE)</f>
        <v>Bandar</v>
      </c>
      <c r="D218" s="47">
        <f>[4]jan!C222</f>
        <v>350601013</v>
      </c>
      <c r="E218" s="45">
        <f t="shared" si="17"/>
        <v>307</v>
      </c>
      <c r="F218" s="45">
        <f t="shared" si="29"/>
        <v>395</v>
      </c>
      <c r="G218" s="45">
        <f t="shared" si="18"/>
        <v>420</v>
      </c>
      <c r="H218" s="45">
        <f t="shared" si="19"/>
        <v>365</v>
      </c>
      <c r="I218" s="45">
        <f t="shared" si="20"/>
        <v>89</v>
      </c>
      <c r="J218" s="45">
        <f t="shared" si="21"/>
        <v>198</v>
      </c>
      <c r="K218" s="45">
        <f t="shared" si="22"/>
        <v>5</v>
      </c>
      <c r="L218" s="45">
        <f t="shared" si="23"/>
        <v>163</v>
      </c>
      <c r="M218" s="45">
        <f t="shared" si="24"/>
        <v>17</v>
      </c>
      <c r="N218" s="45">
        <f t="shared" si="25"/>
        <v>590</v>
      </c>
      <c r="O218" s="45">
        <f t="shared" si="26"/>
        <v>522</v>
      </c>
      <c r="P218" s="45">
        <f t="shared" si="27"/>
        <v>355</v>
      </c>
      <c r="Q218" s="45">
        <f t="shared" si="28"/>
        <v>3426</v>
      </c>
    </row>
    <row r="219" spans="3:17" x14ac:dyDescent="0.2">
      <c r="C219" s="43" t="str">
        <f>VLOOKUP(D219,[4]DBASE!$B$3:$P$923,2,FALSE)</f>
        <v>Nawangan</v>
      </c>
      <c r="D219" s="47">
        <f>[4]jan!C223</f>
        <v>350601014</v>
      </c>
      <c r="E219" s="45">
        <f t="shared" si="17"/>
        <v>219</v>
      </c>
      <c r="F219" s="45">
        <f t="shared" si="29"/>
        <v>327</v>
      </c>
      <c r="G219" s="45">
        <f t="shared" si="18"/>
        <v>321</v>
      </c>
      <c r="H219" s="45">
        <f t="shared" si="19"/>
        <v>387</v>
      </c>
      <c r="I219" s="45">
        <f t="shared" si="20"/>
        <v>210</v>
      </c>
      <c r="J219" s="45">
        <f t="shared" si="21"/>
        <v>227</v>
      </c>
      <c r="K219" s="45">
        <f t="shared" si="22"/>
        <v>5</v>
      </c>
      <c r="L219" s="45">
        <f t="shared" si="23"/>
        <v>75</v>
      </c>
      <c r="M219" s="45">
        <f t="shared" si="24"/>
        <v>104</v>
      </c>
      <c r="N219" s="45">
        <f t="shared" si="25"/>
        <v>389</v>
      </c>
      <c r="O219" s="45">
        <f t="shared" si="26"/>
        <v>453</v>
      </c>
      <c r="P219" s="45">
        <f t="shared" si="27"/>
        <v>302</v>
      </c>
      <c r="Q219" s="45">
        <f t="shared" si="28"/>
        <v>3019</v>
      </c>
    </row>
    <row r="220" spans="3:17" x14ac:dyDescent="0.2">
      <c r="C220" s="43" t="str">
        <f>VLOOKUP(D220,[4]DBASE!$B$3:$P$923,2,FALSE)</f>
        <v>Tinatar</v>
      </c>
      <c r="D220" s="47">
        <f>[4]jan!C224</f>
        <v>350601015</v>
      </c>
      <c r="E220" s="45">
        <f t="shared" si="17"/>
        <v>161</v>
      </c>
      <c r="F220" s="45">
        <f t="shared" si="29"/>
        <v>287</v>
      </c>
      <c r="G220" s="45">
        <f t="shared" si="18"/>
        <v>219</v>
      </c>
      <c r="H220" s="45">
        <f t="shared" si="19"/>
        <v>133</v>
      </c>
      <c r="I220" s="45">
        <f t="shared" si="20"/>
        <v>211</v>
      </c>
      <c r="J220" s="45">
        <f t="shared" si="21"/>
        <v>141</v>
      </c>
      <c r="K220" s="45">
        <f t="shared" si="22"/>
        <v>22</v>
      </c>
      <c r="L220" s="45">
        <f t="shared" si="23"/>
        <v>50</v>
      </c>
      <c r="M220" s="45">
        <f t="shared" si="24"/>
        <v>111</v>
      </c>
      <c r="N220" s="45">
        <f t="shared" si="25"/>
        <v>502</v>
      </c>
      <c r="O220" s="45">
        <f t="shared" si="26"/>
        <v>757</v>
      </c>
      <c r="P220" s="45">
        <f t="shared" si="27"/>
        <v>314</v>
      </c>
      <c r="Q220" s="45">
        <f t="shared" si="28"/>
        <v>2908</v>
      </c>
    </row>
    <row r="221" spans="3:17" x14ac:dyDescent="0.2">
      <c r="C221" s="43" t="str">
        <f>VLOOKUP(D221,[4]DBASE!$B$3:$P$923,2,FALSE)</f>
        <v>Lowayu</v>
      </c>
      <c r="D221" s="47">
        <f>[4]jan!C225</f>
        <v>350125006</v>
      </c>
      <c r="E221" s="45">
        <f t="shared" si="17"/>
        <v>361</v>
      </c>
      <c r="F221" s="45">
        <f t="shared" si="29"/>
        <v>138</v>
      </c>
      <c r="G221" s="45">
        <f t="shared" si="18"/>
        <v>164</v>
      </c>
      <c r="H221" s="45">
        <f t="shared" si="19"/>
        <v>274</v>
      </c>
      <c r="I221" s="45">
        <f t="shared" si="20"/>
        <v>235</v>
      </c>
      <c r="J221" s="45">
        <f t="shared" si="21"/>
        <v>89</v>
      </c>
      <c r="K221" s="45">
        <f t="shared" si="22"/>
        <v>162</v>
      </c>
      <c r="L221" s="45">
        <f t="shared" si="23"/>
        <v>15</v>
      </c>
      <c r="M221" s="45">
        <f t="shared" si="24"/>
        <v>10</v>
      </c>
      <c r="N221" s="45">
        <f t="shared" si="25"/>
        <v>360</v>
      </c>
      <c r="O221" s="45">
        <f t="shared" si="26"/>
        <v>143</v>
      </c>
      <c r="P221" s="45">
        <f t="shared" si="27"/>
        <v>191</v>
      </c>
      <c r="Q221" s="45">
        <f t="shared" si="28"/>
        <v>2142</v>
      </c>
    </row>
    <row r="222" spans="3:17" x14ac:dyDescent="0.2">
      <c r="C222" s="43" t="str">
        <f>VLOOKUP(D222,[4]DBASE!$B$3:$P$923,2,FALSE)</f>
        <v>Menganti</v>
      </c>
      <c r="D222" s="47">
        <f>[4]jan!C226</f>
        <v>350125007</v>
      </c>
      <c r="E222" s="45">
        <f t="shared" si="17"/>
        <v>380</v>
      </c>
      <c r="F222" s="45">
        <f t="shared" si="29"/>
        <v>235</v>
      </c>
      <c r="G222" s="45">
        <f t="shared" si="18"/>
        <v>377</v>
      </c>
      <c r="H222" s="45">
        <f t="shared" si="19"/>
        <v>213</v>
      </c>
      <c r="I222" s="45">
        <f t="shared" si="20"/>
        <v>180</v>
      </c>
      <c r="J222" s="45">
        <f t="shared" si="21"/>
        <v>48</v>
      </c>
      <c r="K222" s="45">
        <f t="shared" si="22"/>
        <v>100</v>
      </c>
      <c r="L222" s="45">
        <f t="shared" si="23"/>
        <v>20</v>
      </c>
      <c r="M222" s="45">
        <f t="shared" si="24"/>
        <v>13</v>
      </c>
      <c r="N222" s="45">
        <f t="shared" si="25"/>
        <v>355</v>
      </c>
      <c r="O222" s="45">
        <f t="shared" si="26"/>
        <v>271</v>
      </c>
      <c r="P222" s="45">
        <f t="shared" si="27"/>
        <v>147</v>
      </c>
      <c r="Q222" s="45">
        <f t="shared" si="28"/>
        <v>2339</v>
      </c>
    </row>
    <row r="223" spans="3:17" x14ac:dyDescent="0.2">
      <c r="C223" s="43" t="str">
        <f>VLOOKUP(D223,[4]DBASE!$B$3:$P$923,2,FALSE)</f>
        <v>Mentaras</v>
      </c>
      <c r="D223" s="47">
        <f>[4]jan!C227</f>
        <v>350125008</v>
      </c>
      <c r="E223" s="45">
        <f t="shared" si="17"/>
        <v>332</v>
      </c>
      <c r="F223" s="45">
        <f t="shared" si="29"/>
        <v>171</v>
      </c>
      <c r="G223" s="45">
        <f t="shared" si="18"/>
        <v>267</v>
      </c>
      <c r="H223" s="45">
        <f t="shared" si="19"/>
        <v>259</v>
      </c>
      <c r="I223" s="45">
        <f t="shared" si="20"/>
        <v>160</v>
      </c>
      <c r="J223" s="45">
        <f t="shared" si="21"/>
        <v>51</v>
      </c>
      <c r="K223" s="45">
        <f t="shared" si="22"/>
        <v>186</v>
      </c>
      <c r="L223" s="45">
        <f t="shared" si="23"/>
        <v>41</v>
      </c>
      <c r="M223" s="45">
        <f t="shared" si="24"/>
        <v>10</v>
      </c>
      <c r="N223" s="45">
        <f t="shared" si="25"/>
        <v>191</v>
      </c>
      <c r="O223" s="45">
        <f t="shared" si="26"/>
        <v>149</v>
      </c>
      <c r="P223" s="45">
        <f t="shared" si="27"/>
        <v>264</v>
      </c>
      <c r="Q223" s="45">
        <f t="shared" si="28"/>
        <v>2081</v>
      </c>
    </row>
    <row r="224" spans="3:17" x14ac:dyDescent="0.2">
      <c r="C224" s="43" t="str">
        <f>VLOOKUP(D224,[4]DBASE!$B$3:$P$923,2,FALSE)</f>
        <v>Panceng</v>
      </c>
      <c r="D224" s="47">
        <f>[4]jan!C228</f>
        <v>350125009</v>
      </c>
      <c r="E224" s="45">
        <f t="shared" si="17"/>
        <v>365</v>
      </c>
      <c r="F224" s="45">
        <f t="shared" si="29"/>
        <v>285</v>
      </c>
      <c r="G224" s="45">
        <f t="shared" si="18"/>
        <v>384</v>
      </c>
      <c r="H224" s="45">
        <f t="shared" si="19"/>
        <v>358</v>
      </c>
      <c r="I224" s="45">
        <f t="shared" si="20"/>
        <v>251</v>
      </c>
      <c r="J224" s="45">
        <f t="shared" si="21"/>
        <v>70</v>
      </c>
      <c r="K224" s="45">
        <f t="shared" si="22"/>
        <v>249</v>
      </c>
      <c r="L224" s="45">
        <f t="shared" si="23"/>
        <v>70</v>
      </c>
      <c r="M224" s="45">
        <f t="shared" si="24"/>
        <v>44</v>
      </c>
      <c r="N224" s="45">
        <f t="shared" si="25"/>
        <v>290</v>
      </c>
      <c r="O224" s="45">
        <f t="shared" si="26"/>
        <v>179</v>
      </c>
      <c r="P224" s="45">
        <f t="shared" si="27"/>
        <v>239</v>
      </c>
      <c r="Q224" s="45">
        <f t="shared" si="28"/>
        <v>2784</v>
      </c>
    </row>
    <row r="225" spans="3:17" x14ac:dyDescent="0.2">
      <c r="C225" s="43" t="str">
        <f>VLOOKUP(D225,[4]DBASE!$B$3:$P$923,2,FALSE)</f>
        <v>Sidayu</v>
      </c>
      <c r="D225" s="47">
        <f>[4]jan!C229</f>
        <v>350125010</v>
      </c>
      <c r="E225" s="45">
        <f t="shared" si="17"/>
        <v>241</v>
      </c>
      <c r="F225" s="45">
        <f t="shared" si="29"/>
        <v>84</v>
      </c>
      <c r="G225" s="45">
        <f t="shared" si="18"/>
        <v>165</v>
      </c>
      <c r="H225" s="45">
        <f t="shared" si="19"/>
        <v>79</v>
      </c>
      <c r="I225" s="45">
        <f t="shared" si="20"/>
        <v>146</v>
      </c>
      <c r="J225" s="45">
        <f t="shared" si="21"/>
        <v>27</v>
      </c>
      <c r="K225" s="45">
        <f t="shared" si="22"/>
        <v>28</v>
      </c>
      <c r="L225" s="45">
        <f t="shared" si="23"/>
        <v>47</v>
      </c>
      <c r="M225" s="45">
        <f t="shared" si="24"/>
        <v>7</v>
      </c>
      <c r="N225" s="45">
        <f t="shared" si="25"/>
        <v>260</v>
      </c>
      <c r="O225" s="45">
        <f t="shared" si="26"/>
        <v>101</v>
      </c>
      <c r="P225" s="45">
        <f t="shared" si="27"/>
        <v>228</v>
      </c>
      <c r="Q225" s="45">
        <f t="shared" si="28"/>
        <v>1413</v>
      </c>
    </row>
    <row r="226" spans="3:17" x14ac:dyDescent="0.2">
      <c r="C226" s="43" t="str">
        <f>VLOOKUP(D226,[4]DBASE!$B$3:$P$923,2,FALSE)</f>
        <v>Suci</v>
      </c>
      <c r="D226" s="47">
        <f>[4]jan!C230</f>
        <v>350125011</v>
      </c>
      <c r="E226" s="45">
        <f t="shared" si="17"/>
        <v>221</v>
      </c>
      <c r="F226" s="45">
        <f t="shared" si="29"/>
        <v>135</v>
      </c>
      <c r="G226" s="45">
        <f t="shared" si="18"/>
        <v>136</v>
      </c>
      <c r="H226" s="45">
        <f t="shared" si="19"/>
        <v>65</v>
      </c>
      <c r="I226" s="45">
        <f t="shared" si="20"/>
        <v>109</v>
      </c>
      <c r="J226" s="45">
        <f t="shared" si="21"/>
        <v>50</v>
      </c>
      <c r="K226" s="45">
        <f t="shared" si="22"/>
        <v>115</v>
      </c>
      <c r="L226" s="45">
        <f t="shared" si="23"/>
        <v>4</v>
      </c>
      <c r="M226" s="45">
        <f t="shared" si="24"/>
        <v>0</v>
      </c>
      <c r="N226" s="45">
        <f t="shared" si="25"/>
        <v>182</v>
      </c>
      <c r="O226" s="45">
        <f t="shared" si="26"/>
        <v>236</v>
      </c>
      <c r="P226" s="45">
        <f t="shared" si="27"/>
        <v>171</v>
      </c>
      <c r="Q226" s="45">
        <f t="shared" si="28"/>
        <v>1424</v>
      </c>
    </row>
    <row r="227" spans="3:17" x14ac:dyDescent="0.2">
      <c r="C227" s="43" t="str">
        <f>VLOOKUP(D227,[4]DBASE!$B$3:$P$923,2,FALSE)</f>
        <v>Tambakombo</v>
      </c>
      <c r="D227" s="47">
        <f>[4]jan!C231</f>
        <v>350125012</v>
      </c>
      <c r="E227" s="45">
        <f t="shared" si="17"/>
        <v>224</v>
      </c>
      <c r="F227" s="45">
        <f t="shared" si="29"/>
        <v>223.5</v>
      </c>
      <c r="G227" s="45">
        <f t="shared" si="18"/>
        <v>266</v>
      </c>
      <c r="H227" s="45">
        <f t="shared" si="19"/>
        <v>106</v>
      </c>
      <c r="I227" s="45">
        <f t="shared" si="20"/>
        <v>165</v>
      </c>
      <c r="J227" s="45">
        <f t="shared" si="21"/>
        <v>117</v>
      </c>
      <c r="K227" s="45">
        <f t="shared" si="22"/>
        <v>99</v>
      </c>
      <c r="L227" s="45">
        <f t="shared" si="23"/>
        <v>75</v>
      </c>
      <c r="M227" s="45">
        <f t="shared" si="24"/>
        <v>0</v>
      </c>
      <c r="N227" s="45">
        <f t="shared" si="25"/>
        <v>282</v>
      </c>
      <c r="O227" s="45">
        <f t="shared" si="26"/>
        <v>152</v>
      </c>
      <c r="P227" s="45">
        <f t="shared" si="27"/>
        <v>147</v>
      </c>
      <c r="Q227" s="45">
        <f t="shared" si="28"/>
        <v>1856.5</v>
      </c>
    </row>
    <row r="228" spans="3:17" x14ac:dyDescent="0.2">
      <c r="C228" s="43" t="str">
        <f>VLOOKUP(D228,[4]DBASE!$B$3:$P$923,2,FALSE)</f>
        <v>Ujungpangkah</v>
      </c>
      <c r="D228" s="47">
        <f>[4]jan!C232</f>
        <v>350125013</v>
      </c>
      <c r="E228" s="45">
        <f t="shared" si="17"/>
        <v>205</v>
      </c>
      <c r="F228" s="45">
        <f t="shared" si="29"/>
        <v>83</v>
      </c>
      <c r="G228" s="45">
        <f t="shared" si="18"/>
        <v>131</v>
      </c>
      <c r="H228" s="45">
        <f t="shared" si="19"/>
        <v>78</v>
      </c>
      <c r="I228" s="45">
        <f t="shared" si="20"/>
        <v>89</v>
      </c>
      <c r="J228" s="45">
        <f t="shared" si="21"/>
        <v>3</v>
      </c>
      <c r="K228" s="45">
        <f t="shared" si="22"/>
        <v>25</v>
      </c>
      <c r="L228" s="45">
        <f t="shared" si="23"/>
        <v>10</v>
      </c>
      <c r="M228" s="45">
        <f t="shared" si="24"/>
        <v>10</v>
      </c>
      <c r="N228" s="45">
        <f t="shared" si="25"/>
        <v>174</v>
      </c>
      <c r="O228" s="45">
        <f t="shared" si="26"/>
        <v>90</v>
      </c>
      <c r="P228" s="45">
        <f t="shared" si="27"/>
        <v>110</v>
      </c>
      <c r="Q228" s="45">
        <f t="shared" si="28"/>
        <v>1008</v>
      </c>
    </row>
    <row r="229" spans="3:17" x14ac:dyDescent="0.2">
      <c r="C229" s="43" t="str">
        <f>VLOOKUP(D229,[4]DBASE!$B$3:$P$923,2,FALSE)</f>
        <v>Wringinanom GRS</v>
      </c>
      <c r="D229" s="47">
        <f>[4]jan!C233</f>
        <v>350125014</v>
      </c>
      <c r="E229" s="45">
        <f t="shared" si="17"/>
        <v>380</v>
      </c>
      <c r="F229" s="45">
        <f t="shared" si="29"/>
        <v>230</v>
      </c>
      <c r="G229" s="45">
        <f t="shared" si="18"/>
        <v>446</v>
      </c>
      <c r="H229" s="45">
        <f t="shared" si="19"/>
        <v>241</v>
      </c>
      <c r="I229" s="45">
        <f t="shared" si="20"/>
        <v>125</v>
      </c>
      <c r="J229" s="45">
        <f t="shared" si="21"/>
        <v>103</v>
      </c>
      <c r="K229" s="45">
        <f t="shared" si="22"/>
        <v>35</v>
      </c>
      <c r="L229" s="45">
        <f t="shared" si="23"/>
        <v>4</v>
      </c>
      <c r="M229" s="45">
        <f t="shared" si="24"/>
        <v>5</v>
      </c>
      <c r="N229" s="45">
        <f t="shared" si="25"/>
        <v>197</v>
      </c>
      <c r="O229" s="45">
        <f t="shared" si="26"/>
        <v>361</v>
      </c>
      <c r="P229" s="45">
        <f t="shared" si="27"/>
        <v>279</v>
      </c>
      <c r="Q229" s="45">
        <f t="shared" si="28"/>
        <v>2406</v>
      </c>
    </row>
    <row r="230" spans="3:17" x14ac:dyDescent="0.2">
      <c r="C230" s="43" t="str">
        <f>VLOOKUP(D230,[4]DBASE!$B$3:$P$923,2,FALSE)</f>
        <v>Wahas/brangkal</v>
      </c>
      <c r="D230" s="47">
        <f>[4]jan!C234</f>
        <v>350125015</v>
      </c>
      <c r="E230" s="45">
        <f t="shared" si="17"/>
        <v>362</v>
      </c>
      <c r="F230" s="45">
        <f t="shared" si="29"/>
        <v>297</v>
      </c>
      <c r="G230" s="45">
        <f t="shared" si="18"/>
        <v>302</v>
      </c>
      <c r="H230" s="45">
        <f t="shared" si="19"/>
        <v>173</v>
      </c>
      <c r="I230" s="45">
        <f t="shared" si="20"/>
        <v>184</v>
      </c>
      <c r="J230" s="45">
        <f t="shared" si="21"/>
        <v>157</v>
      </c>
      <c r="K230" s="45">
        <f t="shared" si="22"/>
        <v>12</v>
      </c>
      <c r="L230" s="45">
        <f t="shared" si="23"/>
        <v>42</v>
      </c>
      <c r="M230" s="45">
        <f t="shared" si="24"/>
        <v>35</v>
      </c>
      <c r="N230" s="45">
        <f t="shared" si="25"/>
        <v>186</v>
      </c>
      <c r="O230" s="45">
        <f t="shared" si="26"/>
        <v>325</v>
      </c>
      <c r="P230" s="45">
        <f t="shared" si="27"/>
        <v>148</v>
      </c>
      <c r="Q230" s="45">
        <f t="shared" si="28"/>
        <v>2223</v>
      </c>
    </row>
    <row r="231" spans="3:17" x14ac:dyDescent="0.2">
      <c r="C231" s="43" t="str">
        <f>VLOOKUP(D231,[4]DBASE!$B$3:$P$923,2,FALSE)</f>
        <v>Padangan</v>
      </c>
      <c r="D231" s="47">
        <f>[4]jan!C235</f>
        <v>350122032</v>
      </c>
      <c r="E231" s="45">
        <f t="shared" si="17"/>
        <v>178</v>
      </c>
      <c r="F231" s="45">
        <f t="shared" si="29"/>
        <v>177</v>
      </c>
      <c r="G231" s="45">
        <f t="shared" si="18"/>
        <v>199</v>
      </c>
      <c r="H231" s="45">
        <f t="shared" si="19"/>
        <v>284</v>
      </c>
      <c r="I231" s="45">
        <f t="shared" si="20"/>
        <v>110</v>
      </c>
      <c r="J231" s="45">
        <f t="shared" si="21"/>
        <v>106</v>
      </c>
      <c r="K231" s="45">
        <f t="shared" si="22"/>
        <v>59</v>
      </c>
      <c r="L231" s="45">
        <f t="shared" si="23"/>
        <v>63</v>
      </c>
      <c r="M231" s="45">
        <f t="shared" si="24"/>
        <v>43</v>
      </c>
      <c r="N231" s="45">
        <f t="shared" si="25"/>
        <v>342</v>
      </c>
      <c r="O231" s="45">
        <f t="shared" si="26"/>
        <v>429</v>
      </c>
      <c r="P231" s="45">
        <f t="shared" si="27"/>
        <v>401</v>
      </c>
      <c r="Q231" s="45">
        <f t="shared" si="28"/>
        <v>2391</v>
      </c>
    </row>
    <row r="232" spans="3:17" x14ac:dyDescent="0.2">
      <c r="C232" s="49" t="s">
        <v>3604</v>
      </c>
      <c r="D232" s="50"/>
      <c r="E232" s="51">
        <f t="shared" ref="E232:Q232" si="30">AVERAGE(E4:E231)</f>
        <v>273.84543859649125</v>
      </c>
      <c r="F232" s="51">
        <f t="shared" si="30"/>
        <v>238.38771929824566</v>
      </c>
      <c r="G232" s="51">
        <f t="shared" si="30"/>
        <v>319.23201754385968</v>
      </c>
      <c r="H232" s="51">
        <f t="shared" si="30"/>
        <v>192.0552631578947</v>
      </c>
      <c r="I232" s="51">
        <f t="shared" si="30"/>
        <v>167.89956140350876</v>
      </c>
      <c r="J232" s="51">
        <f t="shared" si="30"/>
        <v>142.86798245614034</v>
      </c>
      <c r="K232" s="51">
        <f t="shared" si="30"/>
        <v>46.401754385964921</v>
      </c>
      <c r="L232" s="51">
        <f t="shared" si="30"/>
        <v>54.469298245614034</v>
      </c>
      <c r="M232" s="51">
        <f>AVERAGE(M4:M231)</f>
        <v>58.208333333333336</v>
      </c>
      <c r="N232" s="51">
        <f t="shared" si="30"/>
        <v>323.47039473684208</v>
      </c>
      <c r="O232" s="51">
        <f t="shared" si="30"/>
        <v>365.75131578947361</v>
      </c>
      <c r="P232" s="51">
        <f t="shared" si="30"/>
        <v>248.50175438596489</v>
      </c>
      <c r="Q232" s="51">
        <f t="shared" si="30"/>
        <v>2431.0908333333332</v>
      </c>
    </row>
    <row r="233" spans="3:17" x14ac:dyDescent="0.2">
      <c r="C233" s="52"/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</row>
    <row r="234" spans="3:17" x14ac:dyDescent="0.2">
      <c r="C234" s="55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</row>
    <row r="235" spans="3:17" x14ac:dyDescent="0.2">
      <c r="C235" s="38"/>
      <c r="D235" s="38"/>
    </row>
    <row r="236" spans="3:17" x14ac:dyDescent="0.2">
      <c r="C236" s="38"/>
      <c r="D236" s="38"/>
    </row>
    <row r="237" spans="3:17" x14ac:dyDescent="0.2">
      <c r="C237" s="38"/>
      <c r="D237" s="38"/>
    </row>
    <row r="238" spans="3:17" x14ac:dyDescent="0.2">
      <c r="C238" s="38"/>
      <c r="D238" s="38"/>
    </row>
    <row r="239" spans="3:17" x14ac:dyDescent="0.2">
      <c r="C239" s="38"/>
      <c r="D239" s="38"/>
    </row>
    <row r="240" spans="3:17" x14ac:dyDescent="0.2">
      <c r="C240" s="38"/>
      <c r="D240" s="38"/>
    </row>
    <row r="241" spans="3:18" x14ac:dyDescent="0.2">
      <c r="C241" s="38"/>
      <c r="D241" s="38"/>
    </row>
    <row r="242" spans="3:18" x14ac:dyDescent="0.2">
      <c r="C242" s="38"/>
      <c r="D242" s="38"/>
    </row>
    <row r="243" spans="3:18" x14ac:dyDescent="0.2">
      <c r="C243" s="38"/>
      <c r="D243" s="38"/>
    </row>
    <row r="244" spans="3:18" x14ac:dyDescent="0.2">
      <c r="C244" s="38"/>
      <c r="D244" s="38"/>
    </row>
    <row r="245" spans="3:18" x14ac:dyDescent="0.2">
      <c r="C245" s="38"/>
      <c r="D245" s="38"/>
    </row>
    <row r="246" spans="3:18" s="38" customFormat="1" x14ac:dyDescent="0.2">
      <c r="Q246" s="37"/>
      <c r="R246" s="37"/>
    </row>
    <row r="247" spans="3:18" s="38" customFormat="1" x14ac:dyDescent="0.2">
      <c r="Q247" s="37"/>
      <c r="R247" s="37"/>
    </row>
    <row r="248" spans="3:18" s="38" customFormat="1" x14ac:dyDescent="0.2">
      <c r="Q248" s="37"/>
      <c r="R248" s="37"/>
    </row>
    <row r="249" spans="3:18" s="38" customFormat="1" x14ac:dyDescent="0.2">
      <c r="Q249" s="37"/>
      <c r="R249" s="37"/>
    </row>
    <row r="250" spans="3:18" s="38" customFormat="1" x14ac:dyDescent="0.2">
      <c r="Q250" s="37"/>
      <c r="R250" s="37"/>
    </row>
    <row r="251" spans="3:18" s="38" customFormat="1" x14ac:dyDescent="0.2">
      <c r="Q251" s="37"/>
      <c r="R251" s="37"/>
    </row>
    <row r="252" spans="3:18" s="38" customFormat="1" x14ac:dyDescent="0.2">
      <c r="Q252" s="37"/>
      <c r="R252" s="37"/>
    </row>
    <row r="253" spans="3:18" s="38" customFormat="1" x14ac:dyDescent="0.2">
      <c r="Q253" s="37"/>
      <c r="R253" s="37"/>
    </row>
    <row r="254" spans="3:18" s="38" customFormat="1" x14ac:dyDescent="0.2">
      <c r="Q254" s="37"/>
      <c r="R254" s="37"/>
    </row>
    <row r="255" spans="3:18" s="38" customFormat="1" x14ac:dyDescent="0.2">
      <c r="Q255" s="37"/>
      <c r="R255" s="37"/>
    </row>
    <row r="256" spans="3:18" s="38" customFormat="1" x14ac:dyDescent="0.2">
      <c r="Q256" s="37"/>
      <c r="R256" s="37"/>
    </row>
    <row r="257" spans="17:18" s="38" customFormat="1" x14ac:dyDescent="0.2">
      <c r="Q257" s="37"/>
      <c r="R257" s="37"/>
    </row>
    <row r="258" spans="17:18" s="38" customFormat="1" x14ac:dyDescent="0.2">
      <c r="Q258" s="37"/>
      <c r="R258" s="37"/>
    </row>
    <row r="259" spans="17:18" s="38" customFormat="1" x14ac:dyDescent="0.2">
      <c r="Q259" s="37"/>
      <c r="R259" s="37"/>
    </row>
    <row r="260" spans="17:18" s="38" customFormat="1" x14ac:dyDescent="0.2">
      <c r="Q260" s="37"/>
      <c r="R260" s="37"/>
    </row>
    <row r="261" spans="17:18" s="38" customFormat="1" x14ac:dyDescent="0.2">
      <c r="Q261" s="37"/>
      <c r="R261" s="37"/>
    </row>
    <row r="262" spans="17:18" s="38" customFormat="1" x14ac:dyDescent="0.2">
      <c r="Q262" s="37"/>
      <c r="R262" s="37"/>
    </row>
    <row r="263" spans="17:18" s="38" customFormat="1" x14ac:dyDescent="0.2">
      <c r="Q263" s="37"/>
      <c r="R263" s="37"/>
    </row>
    <row r="264" spans="17:18" s="38" customFormat="1" x14ac:dyDescent="0.2">
      <c r="Q264" s="37"/>
      <c r="R264" s="37"/>
    </row>
    <row r="265" spans="17:18" s="38" customFormat="1" x14ac:dyDescent="0.2">
      <c r="Q265" s="37"/>
      <c r="R265" s="37"/>
    </row>
    <row r="266" spans="17:18" s="38" customFormat="1" x14ac:dyDescent="0.2">
      <c r="Q266" s="37"/>
      <c r="R266" s="37"/>
    </row>
    <row r="267" spans="17:18" s="38" customFormat="1" x14ac:dyDescent="0.2">
      <c r="Q267" s="37"/>
      <c r="R267" s="37"/>
    </row>
    <row r="268" spans="17:18" s="38" customFormat="1" x14ac:dyDescent="0.2">
      <c r="Q268" s="37"/>
      <c r="R268" s="37"/>
    </row>
    <row r="269" spans="17:18" s="38" customFormat="1" x14ac:dyDescent="0.2">
      <c r="Q269" s="37"/>
      <c r="R269" s="37"/>
    </row>
    <row r="270" spans="17:18" s="38" customFormat="1" x14ac:dyDescent="0.2">
      <c r="Q270" s="37"/>
      <c r="R270" s="37"/>
    </row>
    <row r="271" spans="17:18" s="38" customFormat="1" x14ac:dyDescent="0.2">
      <c r="Q271" s="37"/>
      <c r="R271" s="37"/>
    </row>
    <row r="272" spans="17:18" s="38" customFormat="1" x14ac:dyDescent="0.2">
      <c r="Q272" s="37"/>
      <c r="R272" s="37"/>
    </row>
    <row r="273" spans="17:18" s="38" customFormat="1" x14ac:dyDescent="0.2">
      <c r="Q273" s="37"/>
      <c r="R273" s="37"/>
    </row>
    <row r="274" spans="17:18" s="38" customFormat="1" x14ac:dyDescent="0.2">
      <c r="Q274" s="37"/>
      <c r="R274" s="37"/>
    </row>
    <row r="275" spans="17:18" s="38" customFormat="1" x14ac:dyDescent="0.2">
      <c r="Q275" s="37"/>
      <c r="R275" s="37"/>
    </row>
    <row r="276" spans="17:18" s="38" customFormat="1" x14ac:dyDescent="0.2">
      <c r="Q276" s="37"/>
      <c r="R276" s="37"/>
    </row>
    <row r="277" spans="17:18" s="38" customFormat="1" x14ac:dyDescent="0.2">
      <c r="Q277" s="37"/>
      <c r="R277" s="37"/>
    </row>
    <row r="278" spans="17:18" s="38" customFormat="1" x14ac:dyDescent="0.2">
      <c r="Q278" s="37"/>
      <c r="R278" s="37"/>
    </row>
    <row r="279" spans="17:18" s="38" customFormat="1" x14ac:dyDescent="0.2">
      <c r="Q279" s="37"/>
      <c r="R279" s="37"/>
    </row>
    <row r="280" spans="17:18" s="38" customFormat="1" x14ac:dyDescent="0.2">
      <c r="Q280" s="37"/>
      <c r="R280" s="37"/>
    </row>
    <row r="281" spans="17:18" s="38" customFormat="1" x14ac:dyDescent="0.2">
      <c r="Q281" s="37"/>
      <c r="R281" s="37"/>
    </row>
    <row r="282" spans="17:18" s="38" customFormat="1" x14ac:dyDescent="0.2">
      <c r="Q282" s="37"/>
      <c r="R282" s="37"/>
    </row>
    <row r="283" spans="17:18" s="38" customFormat="1" x14ac:dyDescent="0.2">
      <c r="Q283" s="37"/>
      <c r="R283" s="37"/>
    </row>
    <row r="284" spans="17:18" s="38" customFormat="1" x14ac:dyDescent="0.2">
      <c r="Q284" s="37"/>
      <c r="R284" s="37"/>
    </row>
    <row r="285" spans="17:18" s="38" customFormat="1" x14ac:dyDescent="0.2">
      <c r="Q285" s="37"/>
      <c r="R285" s="37"/>
    </row>
    <row r="286" spans="17:18" s="38" customFormat="1" x14ac:dyDescent="0.2">
      <c r="Q286" s="37"/>
      <c r="R286" s="37"/>
    </row>
    <row r="287" spans="17:18" s="38" customFormat="1" x14ac:dyDescent="0.2">
      <c r="Q287" s="37"/>
      <c r="R287" s="37"/>
    </row>
    <row r="288" spans="17:18" s="38" customFormat="1" x14ac:dyDescent="0.2">
      <c r="Q288" s="37"/>
      <c r="R288" s="37"/>
    </row>
    <row r="289" spans="17:18" s="38" customFormat="1" x14ac:dyDescent="0.2">
      <c r="Q289" s="37"/>
      <c r="R289" s="37"/>
    </row>
    <row r="290" spans="17:18" s="38" customFormat="1" x14ac:dyDescent="0.2">
      <c r="Q290" s="37"/>
      <c r="R290" s="37"/>
    </row>
    <row r="291" spans="17:18" s="38" customFormat="1" x14ac:dyDescent="0.2">
      <c r="Q291" s="37"/>
      <c r="R291" s="37"/>
    </row>
    <row r="292" spans="17:18" s="38" customFormat="1" x14ac:dyDescent="0.2">
      <c r="Q292" s="37"/>
      <c r="R292" s="37"/>
    </row>
    <row r="293" spans="17:18" s="38" customFormat="1" x14ac:dyDescent="0.2">
      <c r="Q293" s="37"/>
      <c r="R293" s="37"/>
    </row>
    <row r="294" spans="17:18" s="38" customFormat="1" x14ac:dyDescent="0.2">
      <c r="Q294" s="37"/>
      <c r="R294" s="37"/>
    </row>
    <row r="295" spans="17:18" s="38" customFormat="1" x14ac:dyDescent="0.2">
      <c r="Q295" s="37"/>
      <c r="R295" s="37"/>
    </row>
    <row r="296" spans="17:18" s="38" customFormat="1" x14ac:dyDescent="0.2">
      <c r="Q296" s="37"/>
      <c r="R296" s="37"/>
    </row>
    <row r="297" spans="17:18" s="38" customFormat="1" x14ac:dyDescent="0.2">
      <c r="Q297" s="37"/>
      <c r="R297" s="37"/>
    </row>
    <row r="298" spans="17:18" s="38" customFormat="1" x14ac:dyDescent="0.2">
      <c r="Q298" s="37"/>
      <c r="R298" s="37"/>
    </row>
    <row r="299" spans="17:18" s="38" customFormat="1" x14ac:dyDescent="0.2">
      <c r="Q299" s="37"/>
      <c r="R299" s="37"/>
    </row>
    <row r="300" spans="17:18" s="38" customFormat="1" x14ac:dyDescent="0.2">
      <c r="Q300" s="37"/>
      <c r="R300" s="37"/>
    </row>
    <row r="301" spans="17:18" s="38" customFormat="1" x14ac:dyDescent="0.2">
      <c r="Q301" s="37"/>
      <c r="R301" s="37"/>
    </row>
    <row r="302" spans="17:18" s="38" customFormat="1" x14ac:dyDescent="0.2">
      <c r="Q302" s="37"/>
      <c r="R302" s="37"/>
    </row>
    <row r="303" spans="17:18" s="38" customFormat="1" x14ac:dyDescent="0.2">
      <c r="Q303" s="37"/>
      <c r="R303" s="37"/>
    </row>
    <row r="304" spans="17:18" s="38" customFormat="1" x14ac:dyDescent="0.2">
      <c r="Q304" s="37"/>
      <c r="R304" s="37"/>
    </row>
    <row r="305" spans="17:18" s="38" customFormat="1" x14ac:dyDescent="0.2">
      <c r="Q305" s="37"/>
      <c r="R305" s="37"/>
    </row>
    <row r="306" spans="17:18" s="38" customFormat="1" x14ac:dyDescent="0.2">
      <c r="Q306" s="37"/>
      <c r="R306" s="37"/>
    </row>
    <row r="307" spans="17:18" s="38" customFormat="1" x14ac:dyDescent="0.2">
      <c r="Q307" s="37"/>
      <c r="R307" s="37"/>
    </row>
    <row r="308" spans="17:18" s="38" customFormat="1" x14ac:dyDescent="0.2">
      <c r="Q308" s="37"/>
      <c r="R308" s="37"/>
    </row>
    <row r="309" spans="17:18" s="38" customFormat="1" x14ac:dyDescent="0.2">
      <c r="Q309" s="37"/>
      <c r="R309" s="37"/>
    </row>
    <row r="310" spans="17:18" s="38" customFormat="1" x14ac:dyDescent="0.2">
      <c r="Q310" s="37"/>
      <c r="R310" s="37"/>
    </row>
    <row r="311" spans="17:18" s="38" customFormat="1" x14ac:dyDescent="0.2">
      <c r="Q311" s="37"/>
      <c r="R311" s="37"/>
    </row>
    <row r="312" spans="17:18" s="38" customFormat="1" x14ac:dyDescent="0.2">
      <c r="Q312" s="37"/>
      <c r="R312" s="37"/>
    </row>
    <row r="313" spans="17:18" s="38" customFormat="1" x14ac:dyDescent="0.2">
      <c r="Q313" s="37"/>
      <c r="R313" s="37"/>
    </row>
    <row r="314" spans="17:18" s="38" customFormat="1" x14ac:dyDescent="0.2">
      <c r="Q314" s="37"/>
      <c r="R314" s="37"/>
    </row>
    <row r="315" spans="17:18" s="38" customFormat="1" x14ac:dyDescent="0.2">
      <c r="Q315" s="37"/>
      <c r="R315" s="37"/>
    </row>
    <row r="316" spans="17:18" s="38" customFormat="1" x14ac:dyDescent="0.2">
      <c r="Q316" s="37"/>
      <c r="R316" s="37"/>
    </row>
    <row r="317" spans="17:18" s="38" customFormat="1" x14ac:dyDescent="0.2">
      <c r="Q317" s="37"/>
      <c r="R317" s="37"/>
    </row>
    <row r="318" spans="17:18" s="38" customFormat="1" x14ac:dyDescent="0.2">
      <c r="Q318" s="37"/>
      <c r="R318" s="37"/>
    </row>
    <row r="319" spans="17:18" s="38" customFormat="1" x14ac:dyDescent="0.2">
      <c r="Q319" s="37"/>
      <c r="R319" s="37"/>
    </row>
    <row r="320" spans="17:18" s="38" customFormat="1" x14ac:dyDescent="0.2">
      <c r="Q320" s="37"/>
      <c r="R320" s="37"/>
    </row>
    <row r="321" spans="17:18" s="38" customFormat="1" x14ac:dyDescent="0.2">
      <c r="Q321" s="37"/>
      <c r="R321" s="37"/>
    </row>
    <row r="322" spans="17:18" s="38" customFormat="1" x14ac:dyDescent="0.2">
      <c r="Q322" s="37"/>
      <c r="R322" s="37"/>
    </row>
    <row r="323" spans="17:18" s="38" customFormat="1" x14ac:dyDescent="0.2">
      <c r="Q323" s="37"/>
      <c r="R323" s="37"/>
    </row>
    <row r="324" spans="17:18" s="38" customFormat="1" x14ac:dyDescent="0.2">
      <c r="Q324" s="37"/>
      <c r="R324" s="37"/>
    </row>
    <row r="325" spans="17:18" s="38" customFormat="1" x14ac:dyDescent="0.2">
      <c r="Q325" s="37"/>
      <c r="R325" s="37"/>
    </row>
    <row r="326" spans="17:18" s="38" customFormat="1" x14ac:dyDescent="0.2">
      <c r="Q326" s="37"/>
      <c r="R326" s="37"/>
    </row>
    <row r="327" spans="17:18" s="38" customFormat="1" x14ac:dyDescent="0.2">
      <c r="Q327" s="37"/>
      <c r="R327" s="37"/>
    </row>
    <row r="328" spans="17:18" s="38" customFormat="1" x14ac:dyDescent="0.2">
      <c r="Q328" s="37"/>
      <c r="R328" s="37"/>
    </row>
    <row r="329" spans="17:18" s="38" customFormat="1" x14ac:dyDescent="0.2">
      <c r="Q329" s="37"/>
      <c r="R329" s="37"/>
    </row>
    <row r="330" spans="17:18" s="38" customFormat="1" x14ac:dyDescent="0.2">
      <c r="Q330" s="37"/>
      <c r="R330" s="37"/>
    </row>
    <row r="331" spans="17:18" s="38" customFormat="1" x14ac:dyDescent="0.2">
      <c r="Q331" s="37"/>
      <c r="R331" s="37"/>
    </row>
    <row r="332" spans="17:18" s="38" customFormat="1" x14ac:dyDescent="0.2">
      <c r="Q332" s="37"/>
      <c r="R332" s="37"/>
    </row>
    <row r="333" spans="17:18" s="38" customFormat="1" x14ac:dyDescent="0.2">
      <c r="Q333" s="37"/>
      <c r="R333" s="37"/>
    </row>
    <row r="334" spans="17:18" s="38" customFormat="1" x14ac:dyDescent="0.2">
      <c r="Q334" s="37"/>
      <c r="R334" s="37"/>
    </row>
    <row r="335" spans="17:18" s="38" customFormat="1" x14ac:dyDescent="0.2">
      <c r="Q335" s="37"/>
      <c r="R335" s="37"/>
    </row>
    <row r="336" spans="17:18" s="38" customFormat="1" x14ac:dyDescent="0.2">
      <c r="Q336" s="37"/>
      <c r="R336" s="37"/>
    </row>
    <row r="337" spans="17:18" s="38" customFormat="1" x14ac:dyDescent="0.2">
      <c r="Q337" s="37"/>
      <c r="R337" s="37"/>
    </row>
    <row r="338" spans="17:18" s="38" customFormat="1" x14ac:dyDescent="0.2">
      <c r="Q338" s="37"/>
      <c r="R338" s="37"/>
    </row>
    <row r="339" spans="17:18" s="38" customFormat="1" x14ac:dyDescent="0.2">
      <c r="Q339" s="37"/>
      <c r="R339" s="37"/>
    </row>
    <row r="340" spans="17:18" s="38" customFormat="1" x14ac:dyDescent="0.2">
      <c r="Q340" s="37"/>
      <c r="R340" s="37"/>
    </row>
    <row r="341" spans="17:18" s="38" customFormat="1" x14ac:dyDescent="0.2">
      <c r="Q341" s="37"/>
      <c r="R341" s="37"/>
    </row>
    <row r="342" spans="17:18" s="38" customFormat="1" x14ac:dyDescent="0.2">
      <c r="Q342" s="37"/>
      <c r="R342" s="37"/>
    </row>
    <row r="343" spans="17:18" s="38" customFormat="1" x14ac:dyDescent="0.2">
      <c r="Q343" s="37"/>
      <c r="R343" s="37"/>
    </row>
    <row r="344" spans="17:18" s="38" customFormat="1" x14ac:dyDescent="0.2">
      <c r="Q344" s="37"/>
      <c r="R344" s="37"/>
    </row>
    <row r="345" spans="17:18" s="38" customFormat="1" x14ac:dyDescent="0.2">
      <c r="Q345" s="37"/>
      <c r="R345" s="37"/>
    </row>
    <row r="346" spans="17:18" s="38" customFormat="1" x14ac:dyDescent="0.2">
      <c r="Q346" s="37"/>
      <c r="R346" s="37"/>
    </row>
    <row r="347" spans="17:18" s="38" customFormat="1" x14ac:dyDescent="0.2">
      <c r="Q347" s="37"/>
      <c r="R347" s="37"/>
    </row>
    <row r="348" spans="17:18" s="38" customFormat="1" x14ac:dyDescent="0.2">
      <c r="Q348" s="37"/>
      <c r="R348" s="37"/>
    </row>
    <row r="349" spans="17:18" s="38" customFormat="1" x14ac:dyDescent="0.2">
      <c r="Q349" s="37"/>
      <c r="R349" s="37"/>
    </row>
    <row r="350" spans="17:18" s="38" customFormat="1" x14ac:dyDescent="0.2">
      <c r="Q350" s="37"/>
      <c r="R350" s="37"/>
    </row>
    <row r="351" spans="17:18" s="38" customFormat="1" x14ac:dyDescent="0.2">
      <c r="Q351" s="37"/>
      <c r="R351" s="37"/>
    </row>
    <row r="352" spans="17:18" s="38" customFormat="1" x14ac:dyDescent="0.2">
      <c r="Q352" s="37"/>
      <c r="R352" s="37"/>
    </row>
    <row r="353" spans="17:18" s="38" customFormat="1" x14ac:dyDescent="0.2">
      <c r="Q353" s="37"/>
      <c r="R353" s="37"/>
    </row>
    <row r="354" spans="17:18" s="38" customFormat="1" x14ac:dyDescent="0.2">
      <c r="Q354" s="37"/>
      <c r="R354" s="37"/>
    </row>
    <row r="355" spans="17:18" s="38" customFormat="1" x14ac:dyDescent="0.2">
      <c r="Q355" s="37"/>
      <c r="R355" s="37"/>
    </row>
    <row r="356" spans="17:18" s="38" customFormat="1" x14ac:dyDescent="0.2">
      <c r="Q356" s="37"/>
      <c r="R356" s="37"/>
    </row>
    <row r="357" spans="17:18" s="38" customFormat="1" x14ac:dyDescent="0.2">
      <c r="Q357" s="37"/>
      <c r="R357" s="37"/>
    </row>
    <row r="358" spans="17:18" s="38" customFormat="1" x14ac:dyDescent="0.2">
      <c r="Q358" s="37"/>
      <c r="R358" s="37"/>
    </row>
    <row r="359" spans="17:18" s="38" customFormat="1" x14ac:dyDescent="0.2">
      <c r="Q359" s="37"/>
      <c r="R359" s="37"/>
    </row>
    <row r="360" spans="17:18" s="38" customFormat="1" x14ac:dyDescent="0.2">
      <c r="Q360" s="37"/>
      <c r="R360" s="37"/>
    </row>
    <row r="361" spans="17:18" s="38" customFormat="1" x14ac:dyDescent="0.2">
      <c r="Q361" s="37"/>
      <c r="R361" s="37"/>
    </row>
    <row r="362" spans="17:18" s="38" customFormat="1" x14ac:dyDescent="0.2">
      <c r="Q362" s="37"/>
      <c r="R362" s="37"/>
    </row>
    <row r="363" spans="17:18" s="38" customFormat="1" x14ac:dyDescent="0.2">
      <c r="Q363" s="37"/>
      <c r="R363" s="37"/>
    </row>
    <row r="364" spans="17:18" s="38" customFormat="1" x14ac:dyDescent="0.2">
      <c r="Q364" s="37"/>
      <c r="R364" s="37"/>
    </row>
    <row r="365" spans="17:18" s="38" customFormat="1" x14ac:dyDescent="0.2">
      <c r="Q365" s="37"/>
      <c r="R365" s="37"/>
    </row>
    <row r="366" spans="17:18" s="38" customFormat="1" x14ac:dyDescent="0.2">
      <c r="Q366" s="37"/>
      <c r="R366" s="37"/>
    </row>
    <row r="367" spans="17:18" s="38" customFormat="1" x14ac:dyDescent="0.2">
      <c r="Q367" s="37"/>
      <c r="R367" s="37"/>
    </row>
    <row r="368" spans="17:18" s="38" customFormat="1" x14ac:dyDescent="0.2">
      <c r="Q368" s="37"/>
      <c r="R368" s="37"/>
    </row>
    <row r="369" spans="17:18" s="38" customFormat="1" x14ac:dyDescent="0.2">
      <c r="Q369" s="37"/>
      <c r="R369" s="37"/>
    </row>
    <row r="370" spans="17:18" s="38" customFormat="1" x14ac:dyDescent="0.2">
      <c r="Q370" s="37"/>
      <c r="R370" s="37"/>
    </row>
    <row r="371" spans="17:18" s="38" customFormat="1" x14ac:dyDescent="0.2">
      <c r="Q371" s="37"/>
      <c r="R371" s="37"/>
    </row>
    <row r="372" spans="17:18" s="38" customFormat="1" x14ac:dyDescent="0.2">
      <c r="Q372" s="37"/>
      <c r="R372" s="37"/>
    </row>
    <row r="373" spans="17:18" s="38" customFormat="1" x14ac:dyDescent="0.2">
      <c r="Q373" s="37"/>
      <c r="R373" s="37"/>
    </row>
    <row r="374" spans="17:18" s="38" customFormat="1" x14ac:dyDescent="0.2">
      <c r="Q374" s="37"/>
      <c r="R374" s="37"/>
    </row>
    <row r="375" spans="17:18" s="38" customFormat="1" x14ac:dyDescent="0.2">
      <c r="Q375" s="37"/>
      <c r="R375" s="37"/>
    </row>
    <row r="376" spans="17:18" s="38" customFormat="1" x14ac:dyDescent="0.2">
      <c r="Q376" s="37"/>
      <c r="R376" s="37"/>
    </row>
    <row r="377" spans="17:18" s="38" customFormat="1" x14ac:dyDescent="0.2">
      <c r="Q377" s="37"/>
      <c r="R377" s="37"/>
    </row>
    <row r="378" spans="17:18" s="38" customFormat="1" x14ac:dyDescent="0.2">
      <c r="Q378" s="37"/>
      <c r="R378" s="37"/>
    </row>
    <row r="379" spans="17:18" s="38" customFormat="1" x14ac:dyDescent="0.2">
      <c r="Q379" s="37"/>
      <c r="R379" s="37"/>
    </row>
    <row r="380" spans="17:18" s="38" customFormat="1" x14ac:dyDescent="0.2">
      <c r="Q380" s="37"/>
      <c r="R380" s="37"/>
    </row>
    <row r="381" spans="17:18" s="38" customFormat="1" x14ac:dyDescent="0.2">
      <c r="Q381" s="37"/>
      <c r="R381" s="37"/>
    </row>
    <row r="382" spans="17:18" s="38" customFormat="1" x14ac:dyDescent="0.2">
      <c r="Q382" s="37"/>
      <c r="R382" s="37"/>
    </row>
    <row r="383" spans="17:18" s="38" customFormat="1" x14ac:dyDescent="0.2">
      <c r="Q383" s="37"/>
      <c r="R383" s="37"/>
    </row>
    <row r="384" spans="17:18" s="38" customFormat="1" x14ac:dyDescent="0.2">
      <c r="Q384" s="37"/>
      <c r="R384" s="37"/>
    </row>
    <row r="385" spans="17:18" s="38" customFormat="1" x14ac:dyDescent="0.2">
      <c r="Q385" s="37"/>
      <c r="R385" s="37"/>
    </row>
    <row r="386" spans="17:18" s="38" customFormat="1" x14ac:dyDescent="0.2">
      <c r="Q386" s="37"/>
      <c r="R386" s="37"/>
    </row>
    <row r="387" spans="17:18" s="38" customFormat="1" x14ac:dyDescent="0.2">
      <c r="Q387" s="37"/>
      <c r="R387" s="37"/>
    </row>
    <row r="388" spans="17:18" s="38" customFormat="1" x14ac:dyDescent="0.2">
      <c r="Q388" s="37"/>
      <c r="R388" s="37"/>
    </row>
    <row r="389" spans="17:18" s="38" customFormat="1" x14ac:dyDescent="0.2">
      <c r="Q389" s="37"/>
      <c r="R389" s="37"/>
    </row>
    <row r="390" spans="17:18" s="38" customFormat="1" x14ac:dyDescent="0.2">
      <c r="Q390" s="37"/>
      <c r="R390" s="37"/>
    </row>
    <row r="391" spans="17:18" s="38" customFormat="1" x14ac:dyDescent="0.2">
      <c r="Q391" s="37"/>
      <c r="R391" s="37"/>
    </row>
    <row r="392" spans="17:18" s="38" customFormat="1" x14ac:dyDescent="0.2">
      <c r="Q392" s="37"/>
      <c r="R392" s="37"/>
    </row>
    <row r="393" spans="17:18" s="38" customFormat="1" x14ac:dyDescent="0.2">
      <c r="Q393" s="37"/>
      <c r="R393" s="37"/>
    </row>
    <row r="394" spans="17:18" s="38" customFormat="1" x14ac:dyDescent="0.2">
      <c r="Q394" s="37"/>
      <c r="R394" s="37"/>
    </row>
    <row r="395" spans="17:18" s="38" customFormat="1" x14ac:dyDescent="0.2">
      <c r="Q395" s="37"/>
      <c r="R395" s="37"/>
    </row>
    <row r="396" spans="17:18" s="38" customFormat="1" x14ac:dyDescent="0.2">
      <c r="Q396" s="37"/>
      <c r="R396" s="37"/>
    </row>
    <row r="397" spans="17:18" s="38" customFormat="1" x14ac:dyDescent="0.2">
      <c r="Q397" s="37"/>
      <c r="R397" s="37"/>
    </row>
    <row r="398" spans="17:18" s="38" customFormat="1" x14ac:dyDescent="0.2">
      <c r="Q398" s="37"/>
      <c r="R398" s="37"/>
    </row>
    <row r="399" spans="17:18" s="38" customFormat="1" x14ac:dyDescent="0.2">
      <c r="Q399" s="37"/>
      <c r="R399" s="37"/>
    </row>
    <row r="400" spans="17:18" s="38" customFormat="1" x14ac:dyDescent="0.2">
      <c r="Q400" s="37"/>
      <c r="R400" s="37"/>
    </row>
    <row r="401" spans="17:18" s="38" customFormat="1" x14ac:dyDescent="0.2">
      <c r="Q401" s="37"/>
      <c r="R401" s="37"/>
    </row>
    <row r="402" spans="17:18" s="38" customFormat="1" x14ac:dyDescent="0.2">
      <c r="Q402" s="37"/>
      <c r="R402" s="37"/>
    </row>
    <row r="403" spans="17:18" s="38" customFormat="1" x14ac:dyDescent="0.2">
      <c r="Q403" s="37"/>
      <c r="R403" s="37"/>
    </row>
    <row r="404" spans="17:18" s="38" customFormat="1" x14ac:dyDescent="0.2">
      <c r="Q404" s="37"/>
      <c r="R404" s="37"/>
    </row>
    <row r="405" spans="17:18" s="38" customFormat="1" x14ac:dyDescent="0.2">
      <c r="Q405" s="37"/>
      <c r="R405" s="37"/>
    </row>
    <row r="406" spans="17:18" s="38" customFormat="1" x14ac:dyDescent="0.2">
      <c r="Q406" s="37"/>
      <c r="R406" s="37"/>
    </row>
    <row r="407" spans="17:18" s="38" customFormat="1" x14ac:dyDescent="0.2">
      <c r="Q407" s="37"/>
      <c r="R407" s="37"/>
    </row>
    <row r="408" spans="17:18" s="38" customFormat="1" x14ac:dyDescent="0.2">
      <c r="Q408" s="37"/>
      <c r="R408" s="37"/>
    </row>
    <row r="409" spans="17:18" s="38" customFormat="1" x14ac:dyDescent="0.2">
      <c r="Q409" s="37"/>
      <c r="R409" s="37"/>
    </row>
    <row r="410" spans="17:18" s="38" customFormat="1" x14ac:dyDescent="0.2">
      <c r="Q410" s="37"/>
      <c r="R410" s="37"/>
    </row>
    <row r="411" spans="17:18" s="38" customFormat="1" x14ac:dyDescent="0.2">
      <c r="Q411" s="37"/>
      <c r="R411" s="37"/>
    </row>
    <row r="412" spans="17:18" s="38" customFormat="1" x14ac:dyDescent="0.2">
      <c r="Q412" s="37"/>
      <c r="R412" s="37"/>
    </row>
    <row r="413" spans="17:18" s="38" customFormat="1" x14ac:dyDescent="0.2">
      <c r="Q413" s="37"/>
      <c r="R413" s="37"/>
    </row>
    <row r="414" spans="17:18" s="38" customFormat="1" x14ac:dyDescent="0.2">
      <c r="Q414" s="37"/>
      <c r="R414" s="37"/>
    </row>
    <row r="415" spans="17:18" s="38" customFormat="1" x14ac:dyDescent="0.2">
      <c r="Q415" s="37"/>
      <c r="R415" s="37"/>
    </row>
    <row r="416" spans="17:18" s="38" customFormat="1" x14ac:dyDescent="0.2">
      <c r="Q416" s="37"/>
      <c r="R416" s="37"/>
    </row>
    <row r="417" spans="17:18" s="38" customFormat="1" x14ac:dyDescent="0.2">
      <c r="Q417" s="37"/>
      <c r="R417" s="37"/>
    </row>
    <row r="418" spans="17:18" s="38" customFormat="1" x14ac:dyDescent="0.2">
      <c r="Q418" s="37"/>
      <c r="R418" s="37"/>
    </row>
    <row r="419" spans="17:18" s="38" customFormat="1" x14ac:dyDescent="0.2">
      <c r="Q419" s="37"/>
      <c r="R419" s="37"/>
    </row>
    <row r="420" spans="17:18" s="38" customFormat="1" x14ac:dyDescent="0.2">
      <c r="Q420" s="37"/>
      <c r="R420" s="37"/>
    </row>
    <row r="421" spans="17:18" s="38" customFormat="1" x14ac:dyDescent="0.2">
      <c r="Q421" s="37"/>
      <c r="R421" s="37"/>
    </row>
    <row r="422" spans="17:18" s="38" customFormat="1" x14ac:dyDescent="0.2">
      <c r="Q422" s="37"/>
      <c r="R422" s="37"/>
    </row>
    <row r="423" spans="17:18" s="38" customFormat="1" x14ac:dyDescent="0.2">
      <c r="Q423" s="37"/>
      <c r="R423" s="37"/>
    </row>
    <row r="424" spans="17:18" s="38" customFormat="1" x14ac:dyDescent="0.2">
      <c r="Q424" s="37"/>
      <c r="R424" s="37"/>
    </row>
    <row r="425" spans="17:18" s="38" customFormat="1" x14ac:dyDescent="0.2">
      <c r="Q425" s="37"/>
      <c r="R425" s="37"/>
    </row>
    <row r="426" spans="17:18" s="38" customFormat="1" x14ac:dyDescent="0.2">
      <c r="Q426" s="37"/>
      <c r="R426" s="37"/>
    </row>
    <row r="427" spans="17:18" s="38" customFormat="1" x14ac:dyDescent="0.2">
      <c r="Q427" s="37"/>
      <c r="R427" s="37"/>
    </row>
    <row r="428" spans="17:18" s="38" customFormat="1" x14ac:dyDescent="0.2">
      <c r="Q428" s="37"/>
      <c r="R428" s="37"/>
    </row>
    <row r="429" spans="17:18" s="38" customFormat="1" x14ac:dyDescent="0.2">
      <c r="Q429" s="37"/>
      <c r="R429" s="37"/>
    </row>
    <row r="430" spans="17:18" s="38" customFormat="1" x14ac:dyDescent="0.2">
      <c r="Q430" s="37"/>
      <c r="R430" s="37"/>
    </row>
    <row r="431" spans="17:18" s="38" customFormat="1" x14ac:dyDescent="0.2">
      <c r="Q431" s="37"/>
      <c r="R431" s="37"/>
    </row>
    <row r="432" spans="17:18" s="38" customFormat="1" x14ac:dyDescent="0.2">
      <c r="Q432" s="37"/>
      <c r="R432" s="37"/>
    </row>
    <row r="433" spans="17:18" s="38" customFormat="1" x14ac:dyDescent="0.2">
      <c r="Q433" s="37"/>
      <c r="R433" s="37"/>
    </row>
    <row r="434" spans="17:18" s="38" customFormat="1" x14ac:dyDescent="0.2">
      <c r="Q434" s="37"/>
      <c r="R434" s="37"/>
    </row>
    <row r="435" spans="17:18" s="38" customFormat="1" x14ac:dyDescent="0.2">
      <c r="Q435" s="37"/>
      <c r="R435" s="37"/>
    </row>
    <row r="436" spans="17:18" s="38" customFormat="1" x14ac:dyDescent="0.2">
      <c r="Q436" s="37"/>
      <c r="R436" s="37"/>
    </row>
    <row r="437" spans="17:18" s="38" customFormat="1" x14ac:dyDescent="0.2">
      <c r="Q437" s="37"/>
      <c r="R437" s="37"/>
    </row>
    <row r="438" spans="17:18" s="38" customFormat="1" x14ac:dyDescent="0.2">
      <c r="Q438" s="37"/>
      <c r="R438" s="37"/>
    </row>
    <row r="439" spans="17:18" s="38" customFormat="1" x14ac:dyDescent="0.2">
      <c r="Q439" s="37"/>
      <c r="R439" s="37"/>
    </row>
    <row r="440" spans="17:18" s="38" customFormat="1" x14ac:dyDescent="0.2">
      <c r="Q440" s="37"/>
      <c r="R440" s="37"/>
    </row>
    <row r="441" spans="17:18" s="38" customFormat="1" x14ac:dyDescent="0.2">
      <c r="Q441" s="37"/>
      <c r="R441" s="37"/>
    </row>
    <row r="442" spans="17:18" s="38" customFormat="1" x14ac:dyDescent="0.2">
      <c r="Q442" s="37"/>
      <c r="R442" s="37"/>
    </row>
    <row r="443" spans="17:18" s="38" customFormat="1" x14ac:dyDescent="0.2">
      <c r="Q443" s="37"/>
      <c r="R443" s="37"/>
    </row>
    <row r="444" spans="17:18" s="38" customFormat="1" x14ac:dyDescent="0.2">
      <c r="Q444" s="37"/>
      <c r="R444" s="37"/>
    </row>
    <row r="445" spans="17:18" s="38" customFormat="1" x14ac:dyDescent="0.2">
      <c r="Q445" s="37"/>
      <c r="R445" s="37"/>
    </row>
    <row r="446" spans="17:18" s="38" customFormat="1" x14ac:dyDescent="0.2">
      <c r="Q446" s="37"/>
      <c r="R446" s="37"/>
    </row>
    <row r="447" spans="17:18" s="38" customFormat="1" x14ac:dyDescent="0.2">
      <c r="Q447" s="37"/>
      <c r="R447" s="37"/>
    </row>
    <row r="448" spans="17:18" s="38" customFormat="1" x14ac:dyDescent="0.2">
      <c r="Q448" s="37"/>
      <c r="R448" s="37"/>
    </row>
    <row r="449" spans="17:18" s="38" customFormat="1" x14ac:dyDescent="0.2">
      <c r="Q449" s="37"/>
      <c r="R449" s="37"/>
    </row>
    <row r="450" spans="17:18" s="38" customFormat="1" x14ac:dyDescent="0.2">
      <c r="Q450" s="37"/>
      <c r="R450" s="37"/>
    </row>
    <row r="451" spans="17:18" s="38" customFormat="1" x14ac:dyDescent="0.2">
      <c r="Q451" s="37"/>
      <c r="R451" s="37"/>
    </row>
    <row r="452" spans="17:18" s="38" customFormat="1" x14ac:dyDescent="0.2">
      <c r="Q452" s="37"/>
      <c r="R452" s="37"/>
    </row>
    <row r="453" spans="17:18" s="38" customFormat="1" x14ac:dyDescent="0.2">
      <c r="Q453" s="37"/>
      <c r="R453" s="37"/>
    </row>
    <row r="454" spans="17:18" s="38" customFormat="1" x14ac:dyDescent="0.2">
      <c r="Q454" s="37"/>
      <c r="R454" s="37"/>
    </row>
    <row r="455" spans="17:18" s="38" customFormat="1" x14ac:dyDescent="0.2">
      <c r="Q455" s="37"/>
      <c r="R455" s="37"/>
    </row>
  </sheetData>
  <conditionalFormatting sqref="E4:R4 R5:R205 E5:Q231">
    <cfRule type="cellIs" dxfId="3" priority="1" stopIfTrue="1" operator="equal">
      <formula>#REF!</formula>
    </cfRule>
  </conditionalFormatting>
  <pageMargins left="0.66" right="0.3" top="0.75" bottom="0.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DC73-579B-4168-86CC-4CF80172DAD4}">
  <sheetPr codeName="Sheet3"/>
  <dimension ref="C1:R455"/>
  <sheetViews>
    <sheetView showGridLines="0" view="pageBreakPreview" topLeftCell="A19" zoomScaleNormal="40" zoomScaleSheetLayoutView="100" workbookViewId="0">
      <selection activeCell="E232" sqref="E232:P232"/>
    </sheetView>
  </sheetViews>
  <sheetFormatPr defaultColWidth="8.85546875" defaultRowHeight="12.75" x14ac:dyDescent="0.2"/>
  <cols>
    <col min="1" max="2" width="8.85546875" style="37"/>
    <col min="3" max="3" width="17.42578125" style="37" customWidth="1"/>
    <col min="4" max="4" width="10" style="37" bestFit="1" customWidth="1"/>
    <col min="5" max="16" width="4.7109375" style="38" customWidth="1"/>
    <col min="17" max="17" width="8.85546875" style="37"/>
    <col min="18" max="18" width="18.140625" style="37" bestFit="1" customWidth="1"/>
    <col min="19" max="16384" width="8.85546875" style="37"/>
  </cols>
  <sheetData>
    <row r="1" spans="3:18" x14ac:dyDescent="0.2">
      <c r="C1" s="36" t="str">
        <f>[4]jan!B1</f>
        <v>CURAH  HUJAN  WS BENGAWAN SOLO</v>
      </c>
    </row>
    <row r="2" spans="3:18" x14ac:dyDescent="0.2">
      <c r="C2" s="39" t="s">
        <v>3590</v>
      </c>
      <c r="E2" s="40">
        <f>[4]jan!C3</f>
        <v>2022</v>
      </c>
    </row>
    <row r="3" spans="3:18" x14ac:dyDescent="0.2">
      <c r="C3" s="41" t="s">
        <v>31</v>
      </c>
      <c r="D3" s="41" t="s">
        <v>30</v>
      </c>
      <c r="E3" s="41" t="s">
        <v>3591</v>
      </c>
      <c r="F3" s="41" t="s">
        <v>3592</v>
      </c>
      <c r="G3" s="41" t="s">
        <v>3593</v>
      </c>
      <c r="H3" s="41" t="s">
        <v>3594</v>
      </c>
      <c r="I3" s="41" t="s">
        <v>3595</v>
      </c>
      <c r="J3" s="41" t="s">
        <v>3596</v>
      </c>
      <c r="K3" s="41" t="s">
        <v>3597</v>
      </c>
      <c r="L3" s="41" t="s">
        <v>3598</v>
      </c>
      <c r="M3" s="41" t="s">
        <v>3599</v>
      </c>
      <c r="N3" s="41" t="s">
        <v>3600</v>
      </c>
      <c r="O3" s="41" t="s">
        <v>3601</v>
      </c>
      <c r="P3" s="41" t="s">
        <v>3602</v>
      </c>
      <c r="Q3" s="41" t="s">
        <v>2050</v>
      </c>
      <c r="R3" s="42"/>
    </row>
    <row r="4" spans="3:18" x14ac:dyDescent="0.2">
      <c r="C4" s="43" t="str">
        <f>VLOOKUP(D4,[4]DBASE!$B$3:$P$923,2,FALSE)</f>
        <v>Krikilan</v>
      </c>
      <c r="D4" s="44">
        <f>[4]jan!C8</f>
        <v>350125005</v>
      </c>
      <c r="E4" s="45">
        <f t="shared" ref="E4:E67" si="0">VLOOKUP($D4,jan,34,FALSE)</f>
        <v>68</v>
      </c>
      <c r="F4" s="45">
        <f t="shared" ref="F4:F67" si="1">VLOOKUP($D4,peb,34,FALSE)</f>
        <v>59</v>
      </c>
      <c r="G4" s="45">
        <f t="shared" ref="G4:G67" si="2">VLOOKUP($D4,mar,34,FALSE)</f>
        <v>67</v>
      </c>
      <c r="H4" s="45">
        <f t="shared" ref="H4:H67" si="3">VLOOKUP($D4,apr,34,FALSE)</f>
        <v>76</v>
      </c>
      <c r="I4" s="45">
        <f t="shared" ref="I4:I67" si="4">VLOOKUP($D4,mei,34,FALSE)</f>
        <v>51</v>
      </c>
      <c r="J4" s="45">
        <f t="shared" ref="J4:J67" si="5">VLOOKUP($D4,jun,34,FALSE)</f>
        <v>68</v>
      </c>
      <c r="K4" s="45">
        <f t="shared" ref="K4:K67" si="6">VLOOKUP($D4,jul,34,FALSE)</f>
        <v>37</v>
      </c>
      <c r="L4" s="45">
        <f t="shared" ref="L4:L67" si="7">VLOOKUP($D4,ags,34,FALSE)</f>
        <v>26</v>
      </c>
      <c r="M4" s="45">
        <f t="shared" ref="M4:M67" si="8">VLOOKUP($D4,sep,34,FALSE)</f>
        <v>21</v>
      </c>
      <c r="N4" s="45">
        <f t="shared" ref="N4:N67" si="9">VLOOKUP($D4,okt,34,FALSE)</f>
        <v>57</v>
      </c>
      <c r="O4" s="45">
        <f t="shared" ref="O4:O67" si="10">VLOOKUP($D4,nop,34,FALSE)</f>
        <v>73</v>
      </c>
      <c r="P4" s="45">
        <f t="shared" ref="P4:P67" si="11">VLOOKUP($D4,des,34,FALSE)</f>
        <v>59</v>
      </c>
      <c r="Q4" s="45">
        <f>MAX(E4:P4)</f>
        <v>76</v>
      </c>
      <c r="R4" s="46"/>
    </row>
    <row r="5" spans="3:18" x14ac:dyDescent="0.2">
      <c r="C5" s="43" t="str">
        <f>VLOOKUP(D5,[4]DBASE!$B$3:$P$923,2,FALSE)</f>
        <v>Duduksampean</v>
      </c>
      <c r="D5" s="47">
        <f>[4]jan!C9</f>
        <v>350125004</v>
      </c>
      <c r="E5" s="45">
        <f t="shared" si="0"/>
        <v>42</v>
      </c>
      <c r="F5" s="45">
        <f t="shared" si="1"/>
        <v>32</v>
      </c>
      <c r="G5" s="45">
        <f t="shared" si="2"/>
        <v>46</v>
      </c>
      <c r="H5" s="45">
        <f t="shared" si="3"/>
        <v>29</v>
      </c>
      <c r="I5" s="45">
        <f t="shared" si="4"/>
        <v>44</v>
      </c>
      <c r="J5" s="45">
        <f t="shared" si="5"/>
        <v>26</v>
      </c>
      <c r="K5" s="45">
        <f t="shared" si="6"/>
        <v>38</v>
      </c>
      <c r="L5" s="45">
        <f t="shared" si="7"/>
        <v>0</v>
      </c>
      <c r="M5" s="45">
        <f t="shared" si="8"/>
        <v>0</v>
      </c>
      <c r="N5" s="45">
        <f t="shared" si="9"/>
        <v>79</v>
      </c>
      <c r="O5" s="45">
        <f t="shared" si="10"/>
        <v>69</v>
      </c>
      <c r="P5" s="45">
        <f t="shared" si="11"/>
        <v>24</v>
      </c>
      <c r="Q5" s="45">
        <f t="shared" ref="Q5:Q68" si="12">MAX(E5:P5)</f>
        <v>79</v>
      </c>
      <c r="R5" s="48"/>
    </row>
    <row r="6" spans="3:18" x14ac:dyDescent="0.2">
      <c r="C6" s="43" t="str">
        <f>VLOOKUP(D6,[4]DBASE!$B$3:$P$923,2,FALSE)</f>
        <v>Cerme GRS</v>
      </c>
      <c r="D6" s="47">
        <f>[4]jan!C10</f>
        <v>350125003</v>
      </c>
      <c r="E6" s="45">
        <f t="shared" si="0"/>
        <v>64</v>
      </c>
      <c r="F6" s="45">
        <f t="shared" si="1"/>
        <v>20</v>
      </c>
      <c r="G6" s="45">
        <f t="shared" si="2"/>
        <v>25</v>
      </c>
      <c r="H6" s="45">
        <f t="shared" si="3"/>
        <v>40</v>
      </c>
      <c r="I6" s="45">
        <f t="shared" si="4"/>
        <v>25</v>
      </c>
      <c r="J6" s="45">
        <f t="shared" si="5"/>
        <v>14</v>
      </c>
      <c r="K6" s="45">
        <f t="shared" si="6"/>
        <v>91</v>
      </c>
      <c r="L6" s="45">
        <f t="shared" si="7"/>
        <v>8</v>
      </c>
      <c r="M6" s="45">
        <f t="shared" si="8"/>
        <v>0</v>
      </c>
      <c r="N6" s="45">
        <f t="shared" si="9"/>
        <v>37</v>
      </c>
      <c r="O6" s="45">
        <f t="shared" si="10"/>
        <v>57</v>
      </c>
      <c r="P6" s="45">
        <f t="shared" si="11"/>
        <v>21</v>
      </c>
      <c r="Q6" s="45">
        <f t="shared" si="12"/>
        <v>91</v>
      </c>
      <c r="R6" s="48"/>
    </row>
    <row r="7" spans="3:18" x14ac:dyDescent="0.2">
      <c r="C7" s="43" t="str">
        <f>VLOOKUP(D7,[4]DBASE!$B$3:$P$923,2,FALSE)</f>
        <v>Bunder / Gresik</v>
      </c>
      <c r="D7" s="47">
        <f>[4]jan!C11</f>
        <v>350125002</v>
      </c>
      <c r="E7" s="45">
        <f t="shared" si="0"/>
        <v>28</v>
      </c>
      <c r="F7" s="45">
        <f t="shared" si="1"/>
        <v>24</v>
      </c>
      <c r="G7" s="45">
        <f t="shared" si="2"/>
        <v>86</v>
      </c>
      <c r="H7" s="45">
        <f t="shared" si="3"/>
        <v>59</v>
      </c>
      <c r="I7" s="45">
        <f t="shared" si="4"/>
        <v>70</v>
      </c>
      <c r="J7" s="45">
        <f t="shared" si="5"/>
        <v>17</v>
      </c>
      <c r="K7" s="45">
        <f t="shared" si="6"/>
        <v>56</v>
      </c>
      <c r="L7" s="45">
        <f t="shared" si="7"/>
        <v>5</v>
      </c>
      <c r="M7" s="45">
        <f t="shared" si="8"/>
        <v>0</v>
      </c>
      <c r="N7" s="45">
        <f t="shared" si="9"/>
        <v>34</v>
      </c>
      <c r="O7" s="45">
        <f t="shared" si="10"/>
        <v>96</v>
      </c>
      <c r="P7" s="45">
        <f t="shared" si="11"/>
        <v>17</v>
      </c>
      <c r="Q7" s="45">
        <f t="shared" si="12"/>
        <v>96</v>
      </c>
      <c r="R7" s="48"/>
    </row>
    <row r="8" spans="3:18" x14ac:dyDescent="0.2">
      <c r="C8" s="43" t="str">
        <f>VLOOKUP(D8,[4]DBASE!$B$3:$P$923,2,FALSE)</f>
        <v>Benjeng</v>
      </c>
      <c r="D8" s="47">
        <f>[4]jan!C12</f>
        <v>350125001</v>
      </c>
      <c r="E8" s="45">
        <f t="shared" si="0"/>
        <v>40</v>
      </c>
      <c r="F8" s="45">
        <f t="shared" si="1"/>
        <v>29</v>
      </c>
      <c r="G8" s="45">
        <f t="shared" si="2"/>
        <v>46</v>
      </c>
      <c r="H8" s="45">
        <f t="shared" si="3"/>
        <v>42</v>
      </c>
      <c r="I8" s="45">
        <f t="shared" si="4"/>
        <v>37</v>
      </c>
      <c r="J8" s="45">
        <f t="shared" si="5"/>
        <v>71</v>
      </c>
      <c r="K8" s="45">
        <f t="shared" si="6"/>
        <v>55</v>
      </c>
      <c r="L8" s="45">
        <f t="shared" si="7"/>
        <v>10</v>
      </c>
      <c r="M8" s="45">
        <f t="shared" si="8"/>
        <v>0</v>
      </c>
      <c r="N8" s="45">
        <f t="shared" si="9"/>
        <v>47</v>
      </c>
      <c r="O8" s="45">
        <f t="shared" si="10"/>
        <v>55</v>
      </c>
      <c r="P8" s="45">
        <f t="shared" si="11"/>
        <v>60</v>
      </c>
      <c r="Q8" s="45">
        <f t="shared" si="12"/>
        <v>71</v>
      </c>
      <c r="R8" s="48"/>
    </row>
    <row r="9" spans="3:18" x14ac:dyDescent="0.2">
      <c r="C9" s="43" t="str">
        <f>VLOOKUP(D9,[4]DBASE!$B$3:$P$923,2,FALSE)</f>
        <v>Kedungkumpul</v>
      </c>
      <c r="D9" s="47">
        <f>[4]jan!C13</f>
        <v>350124024</v>
      </c>
      <c r="E9" s="45">
        <f t="shared" si="0"/>
        <v>65</v>
      </c>
      <c r="F9" s="45">
        <f t="shared" si="1"/>
        <v>38.5</v>
      </c>
      <c r="G9" s="45">
        <f t="shared" si="2"/>
        <v>45</v>
      </c>
      <c r="H9" s="45">
        <f t="shared" si="3"/>
        <v>83</v>
      </c>
      <c r="I9" s="45">
        <f t="shared" si="4"/>
        <v>42</v>
      </c>
      <c r="J9" s="45">
        <f t="shared" si="5"/>
        <v>38</v>
      </c>
      <c r="K9" s="45">
        <f t="shared" si="6"/>
        <v>108</v>
      </c>
      <c r="L9" s="45">
        <f t="shared" si="7"/>
        <v>8</v>
      </c>
      <c r="M9" s="45">
        <f t="shared" si="8"/>
        <v>3</v>
      </c>
      <c r="N9" s="45">
        <f t="shared" si="9"/>
        <v>132</v>
      </c>
      <c r="O9" s="45">
        <f t="shared" si="10"/>
        <v>87</v>
      </c>
      <c r="P9" s="45">
        <f t="shared" si="11"/>
        <v>28</v>
      </c>
      <c r="Q9" s="45">
        <f t="shared" si="12"/>
        <v>132</v>
      </c>
      <c r="R9" s="48"/>
    </row>
    <row r="10" spans="3:18" x14ac:dyDescent="0.2">
      <c r="C10" s="43" t="str">
        <f>VLOOKUP(D10,[4]DBASE!$B$3:$P$923,2,FALSE)</f>
        <v>Sukorejo</v>
      </c>
      <c r="D10" s="47">
        <f>[4]jan!C14</f>
        <v>350124023</v>
      </c>
      <c r="E10" s="45">
        <f t="shared" si="0"/>
        <v>118</v>
      </c>
      <c r="F10" s="45">
        <f t="shared" si="1"/>
        <v>43</v>
      </c>
      <c r="G10" s="45">
        <f t="shared" si="2"/>
        <v>106</v>
      </c>
      <c r="H10" s="45">
        <f t="shared" si="3"/>
        <v>85</v>
      </c>
      <c r="I10" s="45">
        <f t="shared" si="4"/>
        <v>34</v>
      </c>
      <c r="J10" s="45">
        <f t="shared" si="5"/>
        <v>25</v>
      </c>
      <c r="K10" s="45">
        <f t="shared" si="6"/>
        <v>44</v>
      </c>
      <c r="L10" s="45">
        <f t="shared" si="7"/>
        <v>76</v>
      </c>
      <c r="M10" s="45">
        <f t="shared" si="8"/>
        <v>0</v>
      </c>
      <c r="N10" s="45">
        <f t="shared" si="9"/>
        <v>137</v>
      </c>
      <c r="O10" s="45">
        <f t="shared" si="10"/>
        <v>44</v>
      </c>
      <c r="P10" s="45">
        <f t="shared" si="11"/>
        <v>38</v>
      </c>
      <c r="Q10" s="45">
        <f t="shared" si="12"/>
        <v>137</v>
      </c>
      <c r="R10" s="48"/>
    </row>
    <row r="11" spans="3:18" x14ac:dyDescent="0.2">
      <c r="C11" s="43" t="str">
        <f>VLOOKUP(D11,[4]DBASE!$B$3:$P$923,2,FALSE)</f>
        <v>Wudi</v>
      </c>
      <c r="D11" s="47">
        <f>[4]jan!C15</f>
        <v>350124022</v>
      </c>
      <c r="E11" s="45">
        <f t="shared" si="0"/>
        <v>54</v>
      </c>
      <c r="F11" s="45">
        <f t="shared" si="1"/>
        <v>64</v>
      </c>
      <c r="G11" s="45">
        <f t="shared" si="2"/>
        <v>82</v>
      </c>
      <c r="H11" s="45">
        <f t="shared" si="3"/>
        <v>57</v>
      </c>
      <c r="I11" s="45">
        <f t="shared" si="4"/>
        <v>55</v>
      </c>
      <c r="J11" s="45">
        <f t="shared" si="5"/>
        <v>58</v>
      </c>
      <c r="K11" s="45">
        <f t="shared" si="6"/>
        <v>28</v>
      </c>
      <c r="L11" s="45">
        <f t="shared" si="7"/>
        <v>37</v>
      </c>
      <c r="M11" s="45">
        <f t="shared" si="8"/>
        <v>24</v>
      </c>
      <c r="N11" s="45">
        <f t="shared" si="9"/>
        <v>159</v>
      </c>
      <c r="O11" s="45">
        <f t="shared" si="10"/>
        <v>122.5</v>
      </c>
      <c r="P11" s="45">
        <f t="shared" si="11"/>
        <v>56</v>
      </c>
      <c r="Q11" s="45">
        <f t="shared" si="12"/>
        <v>159</v>
      </c>
      <c r="R11" s="48"/>
    </row>
    <row r="12" spans="3:18" x14ac:dyDescent="0.2">
      <c r="C12" s="43" t="str">
        <f>VLOOKUP(D12,[4]DBASE!$B$3:$P$923,2,FALSE)</f>
        <v>Takeran</v>
      </c>
      <c r="D12" s="47">
        <f>[4]jan!C16</f>
        <v>350124021</v>
      </c>
      <c r="E12" s="45">
        <f t="shared" si="0"/>
        <v>57</v>
      </c>
      <c r="F12" s="45">
        <f t="shared" si="1"/>
        <v>39</v>
      </c>
      <c r="G12" s="45">
        <f t="shared" si="2"/>
        <v>71</v>
      </c>
      <c r="H12" s="45">
        <f t="shared" si="3"/>
        <v>83</v>
      </c>
      <c r="I12" s="45">
        <f t="shared" si="4"/>
        <v>60</v>
      </c>
      <c r="J12" s="45">
        <f t="shared" si="5"/>
        <v>41</v>
      </c>
      <c r="K12" s="45">
        <f t="shared" si="6"/>
        <v>88</v>
      </c>
      <c r="L12" s="45">
        <f t="shared" si="7"/>
        <v>6</v>
      </c>
      <c r="M12" s="45">
        <f t="shared" si="8"/>
        <v>3</v>
      </c>
      <c r="N12" s="45">
        <f t="shared" si="9"/>
        <v>130</v>
      </c>
      <c r="O12" s="45">
        <f t="shared" si="10"/>
        <v>54</v>
      </c>
      <c r="P12" s="45">
        <f t="shared" si="11"/>
        <v>23</v>
      </c>
      <c r="Q12" s="45">
        <f t="shared" si="12"/>
        <v>130</v>
      </c>
      <c r="R12" s="48"/>
    </row>
    <row r="13" spans="3:18" x14ac:dyDescent="0.2">
      <c r="C13" s="43" t="str">
        <f>VLOOKUP(D13,[4]DBASE!$B$3:$P$923,2,FALSE)</f>
        <v>Sukodadi</v>
      </c>
      <c r="D13" s="47">
        <f>[4]jan!C17</f>
        <v>350124020</v>
      </c>
      <c r="E13" s="45">
        <f t="shared" si="0"/>
        <v>105</v>
      </c>
      <c r="F13" s="45">
        <f t="shared" si="1"/>
        <v>29</v>
      </c>
      <c r="G13" s="45">
        <f t="shared" si="2"/>
        <v>65</v>
      </c>
      <c r="H13" s="45">
        <f t="shared" si="3"/>
        <v>72</v>
      </c>
      <c r="I13" s="45">
        <f t="shared" si="4"/>
        <v>113</v>
      </c>
      <c r="J13" s="45">
        <f t="shared" si="5"/>
        <v>82</v>
      </c>
      <c r="K13" s="45">
        <f t="shared" si="6"/>
        <v>26</v>
      </c>
      <c r="L13" s="45">
        <f t="shared" si="7"/>
        <v>70</v>
      </c>
      <c r="M13" s="45">
        <f t="shared" si="8"/>
        <v>0</v>
      </c>
      <c r="N13" s="45">
        <f t="shared" si="9"/>
        <v>74</v>
      </c>
      <c r="O13" s="45">
        <f t="shared" si="10"/>
        <v>45</v>
      </c>
      <c r="P13" s="45">
        <f t="shared" si="11"/>
        <v>46</v>
      </c>
      <c r="Q13" s="45">
        <f t="shared" si="12"/>
        <v>113</v>
      </c>
      <c r="R13" s="48"/>
    </row>
    <row r="14" spans="3:18" x14ac:dyDescent="0.2">
      <c r="C14" s="43" t="str">
        <f>VLOOKUP(D14,[4]DBASE!$B$3:$P$923,2,FALSE)</f>
        <v>Pulekidul</v>
      </c>
      <c r="D14" s="47">
        <f>[4]jan!C18</f>
        <v>350124019</v>
      </c>
      <c r="E14" s="45">
        <f t="shared" si="0"/>
        <v>45</v>
      </c>
      <c r="F14" s="45">
        <f t="shared" si="1"/>
        <v>45</v>
      </c>
      <c r="G14" s="45">
        <f t="shared" si="2"/>
        <v>45</v>
      </c>
      <c r="H14" s="45">
        <f t="shared" si="3"/>
        <v>48</v>
      </c>
      <c r="I14" s="45">
        <f t="shared" si="4"/>
        <v>26</v>
      </c>
      <c r="J14" s="45">
        <f t="shared" si="5"/>
        <v>15</v>
      </c>
      <c r="K14" s="45">
        <f t="shared" si="6"/>
        <v>16</v>
      </c>
      <c r="L14" s="45">
        <f t="shared" si="7"/>
        <v>89</v>
      </c>
      <c r="M14" s="45">
        <f t="shared" si="8"/>
        <v>7</v>
      </c>
      <c r="N14" s="45">
        <f t="shared" si="9"/>
        <v>96</v>
      </c>
      <c r="O14" s="45">
        <f t="shared" si="10"/>
        <v>60</v>
      </c>
      <c r="P14" s="45">
        <f t="shared" si="11"/>
        <v>120</v>
      </c>
      <c r="Q14" s="45">
        <f t="shared" si="12"/>
        <v>120</v>
      </c>
      <c r="R14" s="48"/>
    </row>
    <row r="15" spans="3:18" x14ac:dyDescent="0.2">
      <c r="C15" s="43" t="str">
        <f>VLOOKUP(D15,[4]DBASE!$B$3:$P$923,2,FALSE)</f>
        <v>Prijetan</v>
      </c>
      <c r="D15" s="47">
        <f>[4]jan!C19</f>
        <v>350124018</v>
      </c>
      <c r="E15" s="45">
        <f t="shared" si="0"/>
        <v>70</v>
      </c>
      <c r="F15" s="45">
        <f t="shared" si="1"/>
        <v>36</v>
      </c>
      <c r="G15" s="45">
        <f t="shared" si="2"/>
        <v>46</v>
      </c>
      <c r="H15" s="45">
        <f t="shared" si="3"/>
        <v>65</v>
      </c>
      <c r="I15" s="45">
        <f t="shared" si="4"/>
        <v>42</v>
      </c>
      <c r="J15" s="45">
        <f t="shared" si="5"/>
        <v>120</v>
      </c>
      <c r="K15" s="45">
        <f t="shared" si="6"/>
        <v>21</v>
      </c>
      <c r="L15" s="45">
        <f t="shared" si="7"/>
        <v>74</v>
      </c>
      <c r="M15" s="45">
        <f t="shared" si="8"/>
        <v>33</v>
      </c>
      <c r="N15" s="45">
        <f t="shared" si="9"/>
        <v>94</v>
      </c>
      <c r="O15" s="45">
        <f t="shared" si="10"/>
        <v>45</v>
      </c>
      <c r="P15" s="45">
        <f t="shared" si="11"/>
        <v>62</v>
      </c>
      <c r="Q15" s="45">
        <f t="shared" si="12"/>
        <v>120</v>
      </c>
      <c r="R15" s="48"/>
    </row>
    <row r="16" spans="3:18" x14ac:dyDescent="0.2">
      <c r="C16" s="43" t="str">
        <f>VLOOKUP(D16,[4]DBASE!$B$3:$P$923,2,FALSE)</f>
        <v>Pangkatrejo</v>
      </c>
      <c r="D16" s="47">
        <f>[4]jan!C20</f>
        <v>350124017</v>
      </c>
      <c r="E16" s="45">
        <f t="shared" si="0"/>
        <v>48</v>
      </c>
      <c r="F16" s="45">
        <f t="shared" si="1"/>
        <v>23</v>
      </c>
      <c r="G16" s="45">
        <f t="shared" si="2"/>
        <v>50</v>
      </c>
      <c r="H16" s="45">
        <f t="shared" si="3"/>
        <v>55</v>
      </c>
      <c r="I16" s="45">
        <f t="shared" si="4"/>
        <v>36</v>
      </c>
      <c r="J16" s="45">
        <f t="shared" si="5"/>
        <v>28</v>
      </c>
      <c r="K16" s="45">
        <f t="shared" si="6"/>
        <v>120</v>
      </c>
      <c r="L16" s="45">
        <f t="shared" si="7"/>
        <v>56</v>
      </c>
      <c r="M16" s="45">
        <f t="shared" si="8"/>
        <v>0</v>
      </c>
      <c r="N16" s="45">
        <f t="shared" si="9"/>
        <v>64</v>
      </c>
      <c r="O16" s="45">
        <f t="shared" si="10"/>
        <v>53</v>
      </c>
      <c r="P16" s="45">
        <f t="shared" si="11"/>
        <v>54</v>
      </c>
      <c r="Q16" s="45">
        <f t="shared" si="12"/>
        <v>120</v>
      </c>
      <c r="R16" s="48"/>
    </row>
    <row r="17" spans="3:18" x14ac:dyDescent="0.2">
      <c r="C17" s="43" t="str">
        <f>VLOOKUP(D17,[4]DBASE!$B$3:$P$923,2,FALSE)</f>
        <v>Sumberbanjar</v>
      </c>
      <c r="D17" s="47">
        <f>[4]jan!C21</f>
        <v>350124016</v>
      </c>
      <c r="E17" s="45">
        <f t="shared" si="0"/>
        <v>53</v>
      </c>
      <c r="F17" s="45">
        <f t="shared" si="1"/>
        <v>77</v>
      </c>
      <c r="G17" s="45">
        <f t="shared" si="2"/>
        <v>96</v>
      </c>
      <c r="H17" s="45">
        <f t="shared" si="3"/>
        <v>77</v>
      </c>
      <c r="I17" s="45">
        <f t="shared" si="4"/>
        <v>42</v>
      </c>
      <c r="J17" s="45">
        <f t="shared" si="5"/>
        <v>43</v>
      </c>
      <c r="K17" s="45">
        <f t="shared" si="6"/>
        <v>73</v>
      </c>
      <c r="L17" s="45">
        <f t="shared" si="7"/>
        <v>55</v>
      </c>
      <c r="M17" s="45">
        <f t="shared" si="8"/>
        <v>23</v>
      </c>
      <c r="N17" s="45">
        <f t="shared" si="9"/>
        <v>46</v>
      </c>
      <c r="O17" s="45">
        <f t="shared" si="10"/>
        <v>56</v>
      </c>
      <c r="P17" s="45">
        <f t="shared" si="11"/>
        <v>44</v>
      </c>
      <c r="Q17" s="45">
        <f t="shared" si="12"/>
        <v>96</v>
      </c>
      <c r="R17" s="48"/>
    </row>
    <row r="18" spans="3:18" x14ac:dyDescent="0.2">
      <c r="C18" s="43" t="str">
        <f>VLOOKUP(D18,[4]DBASE!$B$3:$P$923,2,FALSE)</f>
        <v>Lamongan</v>
      </c>
      <c r="D18" s="47">
        <f>[4]jan!C22</f>
        <v>350124015</v>
      </c>
      <c r="E18" s="45">
        <f t="shared" si="0"/>
        <v>70</v>
      </c>
      <c r="F18" s="45">
        <f t="shared" si="1"/>
        <v>38</v>
      </c>
      <c r="G18" s="45">
        <f t="shared" si="2"/>
        <v>74</v>
      </c>
      <c r="H18" s="45">
        <f t="shared" si="3"/>
        <v>39</v>
      </c>
      <c r="I18" s="45">
        <f t="shared" si="4"/>
        <v>21</v>
      </c>
      <c r="J18" s="45">
        <f t="shared" si="5"/>
        <v>18</v>
      </c>
      <c r="K18" s="45">
        <f t="shared" si="6"/>
        <v>46</v>
      </c>
      <c r="L18" s="45">
        <f t="shared" si="7"/>
        <v>4</v>
      </c>
      <c r="M18" s="45">
        <f t="shared" si="8"/>
        <v>0</v>
      </c>
      <c r="N18" s="45">
        <f t="shared" si="9"/>
        <v>71</v>
      </c>
      <c r="O18" s="45">
        <f t="shared" si="10"/>
        <v>55</v>
      </c>
      <c r="P18" s="45">
        <f t="shared" si="11"/>
        <v>34</v>
      </c>
      <c r="Q18" s="45">
        <f t="shared" si="12"/>
        <v>74</v>
      </c>
      <c r="R18" s="48"/>
    </row>
    <row r="19" spans="3:18" x14ac:dyDescent="0.2">
      <c r="C19" s="43" t="str">
        <f>VLOOKUP(D19,[4]DBASE!$B$3:$P$923,2,FALSE)</f>
        <v>Kuro</v>
      </c>
      <c r="D19" s="47">
        <f>[4]jan!C23</f>
        <v>350124014</v>
      </c>
      <c r="E19" s="45">
        <f t="shared" si="0"/>
        <v>78</v>
      </c>
      <c r="F19" s="45">
        <f t="shared" si="1"/>
        <v>22</v>
      </c>
      <c r="G19" s="45">
        <f t="shared" si="2"/>
        <v>26</v>
      </c>
      <c r="H19" s="45">
        <f t="shared" si="3"/>
        <v>36</v>
      </c>
      <c r="I19" s="45">
        <f t="shared" si="4"/>
        <v>49</v>
      </c>
      <c r="J19" s="45">
        <f t="shared" si="5"/>
        <v>18</v>
      </c>
      <c r="K19" s="45">
        <f t="shared" si="6"/>
        <v>94</v>
      </c>
      <c r="L19" s="45">
        <f t="shared" si="7"/>
        <v>21</v>
      </c>
      <c r="M19" s="45">
        <f t="shared" si="8"/>
        <v>5</v>
      </c>
      <c r="N19" s="45">
        <f t="shared" si="9"/>
        <v>97</v>
      </c>
      <c r="O19" s="45">
        <f t="shared" si="10"/>
        <v>43</v>
      </c>
      <c r="P19" s="45">
        <f t="shared" si="11"/>
        <v>24</v>
      </c>
      <c r="Q19" s="45">
        <f t="shared" si="12"/>
        <v>97</v>
      </c>
      <c r="R19" s="48"/>
    </row>
    <row r="20" spans="3:18" x14ac:dyDescent="0.2">
      <c r="C20" s="43" t="str">
        <f>VLOOKUP(D20,[4]DBASE!$B$3:$P$923,2,FALSE)</f>
        <v>Kr.binangun</v>
      </c>
      <c r="D20" s="47">
        <f>[4]jan!C24</f>
        <v>350124013</v>
      </c>
      <c r="E20" s="45">
        <f t="shared" si="0"/>
        <v>102</v>
      </c>
      <c r="F20" s="45">
        <f t="shared" si="1"/>
        <v>30</v>
      </c>
      <c r="G20" s="45">
        <f t="shared" si="2"/>
        <v>51</v>
      </c>
      <c r="H20" s="45">
        <f t="shared" si="3"/>
        <v>40</v>
      </c>
      <c r="I20" s="45">
        <f t="shared" si="4"/>
        <v>27</v>
      </c>
      <c r="J20" s="45">
        <f t="shared" si="5"/>
        <v>15</v>
      </c>
      <c r="K20" s="45">
        <f t="shared" si="6"/>
        <v>92</v>
      </c>
      <c r="L20" s="45">
        <f t="shared" si="7"/>
        <v>8</v>
      </c>
      <c r="M20" s="45">
        <f t="shared" si="8"/>
        <v>0</v>
      </c>
      <c r="N20" s="45">
        <f t="shared" si="9"/>
        <v>68</v>
      </c>
      <c r="O20" s="45">
        <f t="shared" si="10"/>
        <v>42</v>
      </c>
      <c r="P20" s="45">
        <f t="shared" si="11"/>
        <v>31</v>
      </c>
      <c r="Q20" s="45">
        <f t="shared" si="12"/>
        <v>102</v>
      </c>
      <c r="R20" s="48"/>
    </row>
    <row r="21" spans="3:18" x14ac:dyDescent="0.2">
      <c r="C21" s="43" t="str">
        <f>VLOOKUP(D21,[4]DBASE!$B$3:$P$923,2,FALSE)</f>
        <v>Kembangbahu</v>
      </c>
      <c r="D21" s="47">
        <f>[4]jan!C25</f>
        <v>350124012</v>
      </c>
      <c r="E21" s="45">
        <f t="shared" si="0"/>
        <v>98</v>
      </c>
      <c r="F21" s="45">
        <f t="shared" si="1"/>
        <v>29</v>
      </c>
      <c r="G21" s="45">
        <f t="shared" si="2"/>
        <v>100</v>
      </c>
      <c r="H21" s="45">
        <f t="shared" si="3"/>
        <v>54</v>
      </c>
      <c r="I21" s="45">
        <f t="shared" si="4"/>
        <v>79</v>
      </c>
      <c r="J21" s="45">
        <f t="shared" si="5"/>
        <v>27</v>
      </c>
      <c r="K21" s="45">
        <f t="shared" si="6"/>
        <v>23</v>
      </c>
      <c r="L21" s="45">
        <f t="shared" si="7"/>
        <v>48</v>
      </c>
      <c r="M21" s="45">
        <f t="shared" si="8"/>
        <v>6</v>
      </c>
      <c r="N21" s="45">
        <f t="shared" si="9"/>
        <v>122</v>
      </c>
      <c r="O21" s="45">
        <f t="shared" si="10"/>
        <v>53</v>
      </c>
      <c r="P21" s="45">
        <f t="shared" si="11"/>
        <v>34</v>
      </c>
      <c r="Q21" s="45">
        <f t="shared" si="12"/>
        <v>122</v>
      </c>
      <c r="R21" s="48"/>
    </row>
    <row r="22" spans="3:18" x14ac:dyDescent="0.2">
      <c r="C22" s="43" t="str">
        <f>VLOOKUP(D22,[4]DBASE!$B$3:$P$923,2,FALSE)</f>
        <v>Kedungpring</v>
      </c>
      <c r="D22" s="47">
        <f>[4]jan!C26</f>
        <v>350124011</v>
      </c>
      <c r="E22" s="45">
        <f t="shared" si="0"/>
        <v>60</v>
      </c>
      <c r="F22" s="45">
        <f t="shared" si="1"/>
        <v>46</v>
      </c>
      <c r="G22" s="45">
        <f t="shared" si="2"/>
        <v>52</v>
      </c>
      <c r="H22" s="45">
        <f t="shared" si="3"/>
        <v>107</v>
      </c>
      <c r="I22" s="45">
        <f t="shared" si="4"/>
        <v>54</v>
      </c>
      <c r="J22" s="45">
        <f t="shared" si="5"/>
        <v>74</v>
      </c>
      <c r="K22" s="45">
        <f t="shared" si="6"/>
        <v>38</v>
      </c>
      <c r="L22" s="45">
        <f t="shared" si="7"/>
        <v>76</v>
      </c>
      <c r="M22" s="45">
        <f t="shared" si="8"/>
        <v>32</v>
      </c>
      <c r="N22" s="45">
        <f t="shared" si="9"/>
        <v>47</v>
      </c>
      <c r="O22" s="45">
        <f t="shared" si="10"/>
        <v>59</v>
      </c>
      <c r="P22" s="45">
        <f t="shared" si="11"/>
        <v>40</v>
      </c>
      <c r="Q22" s="45">
        <f t="shared" si="12"/>
        <v>107</v>
      </c>
      <c r="R22" s="48"/>
    </row>
    <row r="23" spans="3:18" x14ac:dyDescent="0.2">
      <c r="C23" s="43" t="str">
        <f>VLOOKUP(D23,[4]DBASE!$B$3:$P$923,2,FALSE)</f>
        <v>Karanggeneng</v>
      </c>
      <c r="D23" s="47">
        <f>[4]jan!C27</f>
        <v>350124010</v>
      </c>
      <c r="E23" s="45">
        <f t="shared" si="0"/>
        <v>63</v>
      </c>
      <c r="F23" s="45">
        <f t="shared" si="1"/>
        <v>30</v>
      </c>
      <c r="G23" s="45">
        <f t="shared" si="2"/>
        <v>40</v>
      </c>
      <c r="H23" s="45">
        <f t="shared" si="3"/>
        <v>58</v>
      </c>
      <c r="I23" s="45">
        <f t="shared" si="4"/>
        <v>48</v>
      </c>
      <c r="J23" s="45">
        <f t="shared" si="5"/>
        <v>17</v>
      </c>
      <c r="K23" s="45">
        <f t="shared" si="6"/>
        <v>142</v>
      </c>
      <c r="L23" s="45">
        <f t="shared" si="7"/>
        <v>9</v>
      </c>
      <c r="M23" s="45">
        <f t="shared" si="8"/>
        <v>6</v>
      </c>
      <c r="N23" s="45">
        <f t="shared" si="9"/>
        <v>55</v>
      </c>
      <c r="O23" s="45">
        <f t="shared" si="10"/>
        <v>65</v>
      </c>
      <c r="P23" s="45">
        <f t="shared" si="11"/>
        <v>50</v>
      </c>
      <c r="Q23" s="45">
        <f t="shared" si="12"/>
        <v>142</v>
      </c>
      <c r="R23" s="48"/>
    </row>
    <row r="24" spans="3:18" x14ac:dyDescent="0.2">
      <c r="C24" s="43" t="str">
        <f>VLOOKUP(D24,[4]DBASE!$B$3:$P$923,2,FALSE)</f>
        <v>Jabung</v>
      </c>
      <c r="D24" s="47">
        <f>[4]jan!C28</f>
        <v>350124009</v>
      </c>
      <c r="E24" s="45">
        <f t="shared" si="0"/>
        <v>58</v>
      </c>
      <c r="F24" s="45">
        <f t="shared" si="1"/>
        <v>72</v>
      </c>
      <c r="G24" s="45">
        <f t="shared" si="2"/>
        <v>61</v>
      </c>
      <c r="H24" s="45">
        <f t="shared" si="3"/>
        <v>31</v>
      </c>
      <c r="I24" s="45">
        <f t="shared" si="4"/>
        <v>52</v>
      </c>
      <c r="J24" s="45">
        <f t="shared" si="5"/>
        <v>21</v>
      </c>
      <c r="K24" s="45">
        <f t="shared" si="6"/>
        <v>89</v>
      </c>
      <c r="L24" s="45">
        <f t="shared" si="7"/>
        <v>56</v>
      </c>
      <c r="M24" s="45">
        <f t="shared" si="8"/>
        <v>0</v>
      </c>
      <c r="N24" s="45">
        <f t="shared" si="9"/>
        <v>101</v>
      </c>
      <c r="O24" s="45">
        <f t="shared" si="10"/>
        <v>49</v>
      </c>
      <c r="P24" s="45">
        <f t="shared" si="11"/>
        <v>31</v>
      </c>
      <c r="Q24" s="45">
        <f t="shared" si="12"/>
        <v>101</v>
      </c>
      <c r="R24" s="48"/>
    </row>
    <row r="25" spans="3:18" x14ac:dyDescent="0.2">
      <c r="C25" s="43" t="str">
        <f>VLOOKUP(D25,[4]DBASE!$B$3:$P$923,2,FALSE)</f>
        <v>Gondang Sugio</v>
      </c>
      <c r="D25" s="47">
        <f>[4]jan!C29</f>
        <v>350124008</v>
      </c>
      <c r="E25" s="45">
        <f t="shared" si="0"/>
        <v>94</v>
      </c>
      <c r="F25" s="45">
        <f t="shared" si="1"/>
        <v>26</v>
      </c>
      <c r="G25" s="45">
        <f t="shared" si="2"/>
        <v>129</v>
      </c>
      <c r="H25" s="45">
        <f t="shared" si="3"/>
        <v>50</v>
      </c>
      <c r="I25" s="45">
        <f t="shared" si="4"/>
        <v>28</v>
      </c>
      <c r="J25" s="45">
        <f t="shared" si="5"/>
        <v>36</v>
      </c>
      <c r="K25" s="45">
        <f t="shared" si="6"/>
        <v>38</v>
      </c>
      <c r="L25" s="45">
        <f t="shared" si="7"/>
        <v>34</v>
      </c>
      <c r="M25" s="45">
        <f t="shared" si="8"/>
        <v>8</v>
      </c>
      <c r="N25" s="45">
        <f t="shared" si="9"/>
        <v>117</v>
      </c>
      <c r="O25" s="45">
        <f t="shared" si="10"/>
        <v>83</v>
      </c>
      <c r="P25" s="45">
        <f t="shared" si="11"/>
        <v>80</v>
      </c>
      <c r="Q25" s="45">
        <f t="shared" si="12"/>
        <v>129</v>
      </c>
      <c r="R25" s="48"/>
    </row>
    <row r="26" spans="3:18" x14ac:dyDescent="0.2">
      <c r="C26" s="43" t="str">
        <f>VLOOKUP(D26,[4]DBASE!$B$3:$P$923,2,FALSE)</f>
        <v>Girik / Baru</v>
      </c>
      <c r="D26" s="47">
        <f>[4]jan!C30</f>
        <v>350124007</v>
      </c>
      <c r="E26" s="45">
        <f t="shared" si="0"/>
        <v>73</v>
      </c>
      <c r="F26" s="45">
        <f t="shared" si="1"/>
        <v>45</v>
      </c>
      <c r="G26" s="45">
        <f t="shared" si="2"/>
        <v>55</v>
      </c>
      <c r="H26" s="45">
        <f t="shared" si="3"/>
        <v>65</v>
      </c>
      <c r="I26" s="45">
        <f t="shared" si="4"/>
        <v>55</v>
      </c>
      <c r="J26" s="45">
        <f t="shared" si="5"/>
        <v>52</v>
      </c>
      <c r="K26" s="45">
        <f t="shared" si="6"/>
        <v>30</v>
      </c>
      <c r="L26" s="45">
        <f t="shared" si="7"/>
        <v>97</v>
      </c>
      <c r="M26" s="45">
        <f t="shared" si="8"/>
        <v>37</v>
      </c>
      <c r="N26" s="45">
        <f t="shared" si="9"/>
        <v>68</v>
      </c>
      <c r="O26" s="45">
        <f t="shared" si="10"/>
        <v>72</v>
      </c>
      <c r="P26" s="45">
        <f t="shared" si="11"/>
        <v>64</v>
      </c>
      <c r="Q26" s="45">
        <f t="shared" si="12"/>
        <v>97</v>
      </c>
      <c r="R26" s="48"/>
    </row>
    <row r="27" spans="3:18" x14ac:dyDescent="0.2">
      <c r="C27" s="43" t="str">
        <f>VLOOKUP(D27,[4]DBASE!$B$3:$P$923,2,FALSE)</f>
        <v>Cungkup</v>
      </c>
      <c r="D27" s="47">
        <f>[4]jan!C31</f>
        <v>350124006</v>
      </c>
      <c r="E27" s="45">
        <f t="shared" si="0"/>
        <v>97</v>
      </c>
      <c r="F27" s="45">
        <f t="shared" si="1"/>
        <v>37</v>
      </c>
      <c r="G27" s="45">
        <f t="shared" si="2"/>
        <v>74</v>
      </c>
      <c r="H27" s="45">
        <f t="shared" si="3"/>
        <v>65</v>
      </c>
      <c r="I27" s="45">
        <f t="shared" si="4"/>
        <v>98</v>
      </c>
      <c r="J27" s="45">
        <f t="shared" si="5"/>
        <v>54</v>
      </c>
      <c r="K27" s="45">
        <f t="shared" si="6"/>
        <v>18</v>
      </c>
      <c r="L27" s="45">
        <f t="shared" si="7"/>
        <v>45</v>
      </c>
      <c r="M27" s="45">
        <f t="shared" si="8"/>
        <v>0</v>
      </c>
      <c r="N27" s="45">
        <f t="shared" si="9"/>
        <v>49</v>
      </c>
      <c r="O27" s="45">
        <f t="shared" si="10"/>
        <v>45</v>
      </c>
      <c r="P27" s="45">
        <f t="shared" si="11"/>
        <v>66</v>
      </c>
      <c r="Q27" s="45">
        <f t="shared" si="12"/>
        <v>98</v>
      </c>
      <c r="R27" s="48"/>
    </row>
    <row r="28" spans="3:18" x14ac:dyDescent="0.2">
      <c r="C28" s="43" t="str">
        <f>VLOOKUP(D28,[4]DBASE!$B$3:$P$923,2,FALSE)</f>
        <v>Brondong</v>
      </c>
      <c r="D28" s="47">
        <f>[4]jan!C32</f>
        <v>350124005</v>
      </c>
      <c r="E28" s="45">
        <f t="shared" si="0"/>
        <v>53</v>
      </c>
      <c r="F28" s="45">
        <f t="shared" si="1"/>
        <v>29</v>
      </c>
      <c r="G28" s="45">
        <f t="shared" si="2"/>
        <v>46</v>
      </c>
      <c r="H28" s="45">
        <f t="shared" si="3"/>
        <v>47</v>
      </c>
      <c r="I28" s="45">
        <f t="shared" si="4"/>
        <v>48</v>
      </c>
      <c r="J28" s="45">
        <f t="shared" si="5"/>
        <v>12</v>
      </c>
      <c r="K28" s="45">
        <f t="shared" si="6"/>
        <v>76</v>
      </c>
      <c r="L28" s="45">
        <f t="shared" si="7"/>
        <v>38</v>
      </c>
      <c r="M28" s="45">
        <f t="shared" si="8"/>
        <v>0</v>
      </c>
      <c r="N28" s="45">
        <f t="shared" si="9"/>
        <v>38</v>
      </c>
      <c r="O28" s="45">
        <f t="shared" si="10"/>
        <v>34</v>
      </c>
      <c r="P28" s="45">
        <f t="shared" si="11"/>
        <v>24</v>
      </c>
      <c r="Q28" s="45">
        <f t="shared" si="12"/>
        <v>76</v>
      </c>
      <c r="R28" s="48"/>
    </row>
    <row r="29" spans="3:18" x14ac:dyDescent="0.2">
      <c r="C29" s="43" t="str">
        <f>VLOOKUP(D29,[4]DBASE!$B$3:$P$923,2,FALSE)</f>
        <v>Bluri</v>
      </c>
      <c r="D29" s="47">
        <f>[4]jan!C33</f>
        <v>350124004</v>
      </c>
      <c r="E29" s="45">
        <f t="shared" si="0"/>
        <v>43</v>
      </c>
      <c r="F29" s="45">
        <f t="shared" si="1"/>
        <v>83</v>
      </c>
      <c r="G29" s="45">
        <f t="shared" si="2"/>
        <v>127</v>
      </c>
      <c r="H29" s="45">
        <f t="shared" si="3"/>
        <v>56</v>
      </c>
      <c r="I29" s="45">
        <f t="shared" si="4"/>
        <v>36</v>
      </c>
      <c r="J29" s="45">
        <f t="shared" si="5"/>
        <v>39</v>
      </c>
      <c r="K29" s="45">
        <f t="shared" si="6"/>
        <v>79</v>
      </c>
      <c r="L29" s="45">
        <f t="shared" si="7"/>
        <v>56</v>
      </c>
      <c r="M29" s="45">
        <f t="shared" si="8"/>
        <v>0</v>
      </c>
      <c r="N29" s="45">
        <f t="shared" si="9"/>
        <v>44</v>
      </c>
      <c r="O29" s="45">
        <f t="shared" si="10"/>
        <v>48</v>
      </c>
      <c r="P29" s="45">
        <f t="shared" si="11"/>
        <v>50</v>
      </c>
      <c r="Q29" s="45">
        <f t="shared" si="12"/>
        <v>127</v>
      </c>
      <c r="R29" s="48"/>
    </row>
    <row r="30" spans="3:18" x14ac:dyDescent="0.2">
      <c r="C30" s="43" t="str">
        <f>VLOOKUP(D30,[4]DBASE!$B$3:$P$923,2,FALSE)</f>
        <v>Bluluk</v>
      </c>
      <c r="D30" s="47">
        <f>[4]jan!C34</f>
        <v>350124003</v>
      </c>
      <c r="E30" s="45">
        <f t="shared" si="0"/>
        <v>76</v>
      </c>
      <c r="F30" s="45">
        <f t="shared" si="1"/>
        <v>29</v>
      </c>
      <c r="G30" s="45">
        <f t="shared" si="2"/>
        <v>74</v>
      </c>
      <c r="H30" s="45">
        <f t="shared" si="3"/>
        <v>39</v>
      </c>
      <c r="I30" s="45">
        <f t="shared" si="4"/>
        <v>23</v>
      </c>
      <c r="J30" s="45">
        <f t="shared" si="5"/>
        <v>37</v>
      </c>
      <c r="K30" s="45">
        <f t="shared" si="6"/>
        <v>54</v>
      </c>
      <c r="L30" s="45">
        <f t="shared" si="7"/>
        <v>113</v>
      </c>
      <c r="M30" s="45">
        <f t="shared" si="8"/>
        <v>25</v>
      </c>
      <c r="N30" s="45">
        <f t="shared" si="9"/>
        <v>63</v>
      </c>
      <c r="O30" s="45">
        <f t="shared" si="10"/>
        <v>63</v>
      </c>
      <c r="P30" s="45">
        <f t="shared" si="11"/>
        <v>36</v>
      </c>
      <c r="Q30" s="45">
        <f t="shared" si="12"/>
        <v>113</v>
      </c>
      <c r="R30" s="48"/>
    </row>
    <row r="31" spans="3:18" x14ac:dyDescent="0.2">
      <c r="C31" s="43" t="str">
        <f>VLOOKUP(D31,[4]DBASE!$B$3:$P$923,2,FALSE)</f>
        <v>Blawi</v>
      </c>
      <c r="D31" s="47">
        <f>[4]jan!C35</f>
        <v>350124002</v>
      </c>
      <c r="E31" s="45">
        <f t="shared" si="0"/>
        <v>61</v>
      </c>
      <c r="F31" s="45">
        <f t="shared" si="1"/>
        <v>46</v>
      </c>
      <c r="G31" s="45">
        <f t="shared" si="2"/>
        <v>53</v>
      </c>
      <c r="H31" s="45">
        <f t="shared" si="3"/>
        <v>83</v>
      </c>
      <c r="I31" s="45">
        <f t="shared" si="4"/>
        <v>30</v>
      </c>
      <c r="J31" s="45">
        <f t="shared" si="5"/>
        <v>16</v>
      </c>
      <c r="K31" s="45">
        <f t="shared" si="6"/>
        <v>101</v>
      </c>
      <c r="L31" s="45">
        <f t="shared" si="7"/>
        <v>73</v>
      </c>
      <c r="M31" s="45">
        <f t="shared" si="8"/>
        <v>2</v>
      </c>
      <c r="N31" s="45">
        <f t="shared" si="9"/>
        <v>114</v>
      </c>
      <c r="O31" s="45">
        <f t="shared" si="10"/>
        <v>59</v>
      </c>
      <c r="P31" s="45">
        <f t="shared" si="11"/>
        <v>38</v>
      </c>
      <c r="Q31" s="45">
        <f t="shared" si="12"/>
        <v>114</v>
      </c>
      <c r="R31" s="48"/>
    </row>
    <row r="32" spans="3:18" x14ac:dyDescent="0.2">
      <c r="C32" s="43" t="str">
        <f>VLOOKUP(D32,[4]DBASE!$B$3:$P$923,2,FALSE)</f>
        <v>Babat</v>
      </c>
      <c r="D32" s="47">
        <f>[4]jan!C36</f>
        <v>350124001</v>
      </c>
      <c r="E32" s="45">
        <f t="shared" si="0"/>
        <v>65</v>
      </c>
      <c r="F32" s="45">
        <f t="shared" si="1"/>
        <v>31</v>
      </c>
      <c r="G32" s="45">
        <f t="shared" si="2"/>
        <v>67</v>
      </c>
      <c r="H32" s="45">
        <f t="shared" si="3"/>
        <v>37</v>
      </c>
      <c r="I32" s="45">
        <f t="shared" si="4"/>
        <v>53</v>
      </c>
      <c r="J32" s="45">
        <f t="shared" si="5"/>
        <v>45</v>
      </c>
      <c r="K32" s="45">
        <f t="shared" si="6"/>
        <v>45</v>
      </c>
      <c r="L32" s="45">
        <f t="shared" si="7"/>
        <v>57</v>
      </c>
      <c r="M32" s="45">
        <f t="shared" si="8"/>
        <v>31</v>
      </c>
      <c r="N32" s="45">
        <f t="shared" si="9"/>
        <v>74</v>
      </c>
      <c r="O32" s="45">
        <f t="shared" si="10"/>
        <v>35</v>
      </c>
      <c r="P32" s="45">
        <f t="shared" si="11"/>
        <v>35</v>
      </c>
      <c r="Q32" s="45">
        <f t="shared" si="12"/>
        <v>74</v>
      </c>
      <c r="R32" s="48"/>
    </row>
    <row r="33" spans="3:18" x14ac:dyDescent="0.2">
      <c r="C33" s="43" t="str">
        <f>VLOOKUP(D33,[4]DBASE!$B$3:$P$923,2,FALSE)</f>
        <v>Sumuragung</v>
      </c>
      <c r="D33" s="47">
        <f>[4]jan!C37</f>
        <v>350123037</v>
      </c>
      <c r="E33" s="45">
        <f t="shared" si="0"/>
        <v>24</v>
      </c>
      <c r="F33" s="45">
        <f t="shared" si="1"/>
        <v>70</v>
      </c>
      <c r="G33" s="45">
        <f t="shared" si="2"/>
        <v>46</v>
      </c>
      <c r="H33" s="45">
        <f t="shared" si="3"/>
        <v>95</v>
      </c>
      <c r="I33" s="45">
        <f t="shared" si="4"/>
        <v>43</v>
      </c>
      <c r="J33" s="45">
        <f t="shared" si="5"/>
        <v>30</v>
      </c>
      <c r="K33" s="45">
        <f t="shared" si="6"/>
        <v>38</v>
      </c>
      <c r="L33" s="45">
        <f t="shared" si="7"/>
        <v>85</v>
      </c>
      <c r="M33" s="45">
        <f t="shared" si="8"/>
        <v>2</v>
      </c>
      <c r="N33" s="45">
        <f t="shared" si="9"/>
        <v>57</v>
      </c>
      <c r="O33" s="45">
        <f t="shared" si="10"/>
        <v>43</v>
      </c>
      <c r="P33" s="45">
        <f t="shared" si="11"/>
        <v>59</v>
      </c>
      <c r="Q33" s="45">
        <f t="shared" si="12"/>
        <v>95</v>
      </c>
      <c r="R33" s="48"/>
    </row>
    <row r="34" spans="3:18" x14ac:dyDescent="0.2">
      <c r="C34" s="43" t="str">
        <f>VLOOKUP(D34,[4]DBASE!$B$3:$P$923,2,FALSE)</f>
        <v>Tahulu</v>
      </c>
      <c r="D34" s="47">
        <f>[4]jan!C38</f>
        <v>350123036</v>
      </c>
      <c r="E34" s="45">
        <f t="shared" si="0"/>
        <v>45</v>
      </c>
      <c r="F34" s="45">
        <f t="shared" si="1"/>
        <v>65</v>
      </c>
      <c r="G34" s="45">
        <f t="shared" si="2"/>
        <v>69</v>
      </c>
      <c r="H34" s="45">
        <f t="shared" si="3"/>
        <v>25</v>
      </c>
      <c r="I34" s="45">
        <f t="shared" si="4"/>
        <v>93</v>
      </c>
      <c r="J34" s="45">
        <f t="shared" si="5"/>
        <v>35</v>
      </c>
      <c r="K34" s="45">
        <f t="shared" si="6"/>
        <v>40</v>
      </c>
      <c r="L34" s="45">
        <f t="shared" si="7"/>
        <v>32</v>
      </c>
      <c r="M34" s="45">
        <f t="shared" si="8"/>
        <v>35</v>
      </c>
      <c r="N34" s="45">
        <f t="shared" si="9"/>
        <v>66</v>
      </c>
      <c r="O34" s="45">
        <f t="shared" si="10"/>
        <v>62</v>
      </c>
      <c r="P34" s="45">
        <f t="shared" si="11"/>
        <v>56</v>
      </c>
      <c r="Q34" s="45">
        <f t="shared" si="12"/>
        <v>93</v>
      </c>
      <c r="R34" s="48"/>
    </row>
    <row r="35" spans="3:18" x14ac:dyDescent="0.2">
      <c r="C35" s="43" t="str">
        <f>VLOOKUP(D35,[4]DBASE!$B$3:$P$923,2,FALSE)</f>
        <v>Wukirharjo</v>
      </c>
      <c r="D35" s="47">
        <f>[4]jan!C39</f>
        <v>350123035</v>
      </c>
      <c r="E35" s="45">
        <f t="shared" si="0"/>
        <v>55</v>
      </c>
      <c r="F35" s="45">
        <f t="shared" si="1"/>
        <v>148</v>
      </c>
      <c r="G35" s="45">
        <f t="shared" si="2"/>
        <v>76</v>
      </c>
      <c r="H35" s="45">
        <f t="shared" si="3"/>
        <v>155</v>
      </c>
      <c r="I35" s="45">
        <f t="shared" si="4"/>
        <v>143</v>
      </c>
      <c r="J35" s="45">
        <f t="shared" si="5"/>
        <v>157</v>
      </c>
      <c r="K35" s="45">
        <f t="shared" si="6"/>
        <v>52</v>
      </c>
      <c r="L35" s="45">
        <f t="shared" si="7"/>
        <v>76</v>
      </c>
      <c r="M35" s="45">
        <f t="shared" si="8"/>
        <v>35</v>
      </c>
      <c r="N35" s="45">
        <f t="shared" si="9"/>
        <v>100</v>
      </c>
      <c r="O35" s="45">
        <f t="shared" si="10"/>
        <v>71</v>
      </c>
      <c r="P35" s="45">
        <f t="shared" si="11"/>
        <v>70</v>
      </c>
      <c r="Q35" s="45">
        <f t="shared" si="12"/>
        <v>157</v>
      </c>
      <c r="R35" s="48"/>
    </row>
    <row r="36" spans="3:18" x14ac:dyDescent="0.2">
      <c r="C36" s="43" t="str">
        <f>VLOOKUP(D36,[4]DBASE!$B$3:$P$923,2,FALSE)</f>
        <v>Ngimbang Tuban</v>
      </c>
      <c r="D36" s="47">
        <f>[4]jan!C40</f>
        <v>350123034</v>
      </c>
      <c r="E36" s="45">
        <f t="shared" si="0"/>
        <v>20</v>
      </c>
      <c r="F36" s="45">
        <f t="shared" si="1"/>
        <v>36</v>
      </c>
      <c r="G36" s="45">
        <f t="shared" si="2"/>
        <v>56</v>
      </c>
      <c r="H36" s="45">
        <f t="shared" si="3"/>
        <v>92</v>
      </c>
      <c r="I36" s="45">
        <f t="shared" si="4"/>
        <v>82</v>
      </c>
      <c r="J36" s="45">
        <f t="shared" si="5"/>
        <v>33</v>
      </c>
      <c r="K36" s="45">
        <f t="shared" si="6"/>
        <v>71</v>
      </c>
      <c r="L36" s="45">
        <f t="shared" si="7"/>
        <v>16</v>
      </c>
      <c r="M36" s="45">
        <f t="shared" si="8"/>
        <v>0</v>
      </c>
      <c r="N36" s="45">
        <f t="shared" si="9"/>
        <v>74</v>
      </c>
      <c r="O36" s="45">
        <f t="shared" si="10"/>
        <v>80</v>
      </c>
      <c r="P36" s="45">
        <f t="shared" si="11"/>
        <v>68</v>
      </c>
      <c r="Q36" s="45">
        <f t="shared" si="12"/>
        <v>92</v>
      </c>
      <c r="R36" s="48"/>
    </row>
    <row r="37" spans="3:18" x14ac:dyDescent="0.2">
      <c r="C37" s="43" t="str">
        <f>VLOOKUP(D37,[4]DBASE!$B$3:$P$923,2,FALSE)</f>
        <v>Dermawuharjo</v>
      </c>
      <c r="D37" s="47">
        <f>[4]jan!C41</f>
        <v>350123033</v>
      </c>
      <c r="E37" s="45">
        <f t="shared" si="0"/>
        <v>41</v>
      </c>
      <c r="F37" s="45">
        <f t="shared" si="1"/>
        <v>40</v>
      </c>
      <c r="G37" s="45">
        <f t="shared" si="2"/>
        <v>130</v>
      </c>
      <c r="H37" s="45">
        <f t="shared" si="3"/>
        <v>74</v>
      </c>
      <c r="I37" s="45">
        <f t="shared" si="4"/>
        <v>44</v>
      </c>
      <c r="J37" s="45">
        <f t="shared" si="5"/>
        <v>47</v>
      </c>
      <c r="K37" s="45">
        <f t="shared" si="6"/>
        <v>68</v>
      </c>
      <c r="L37" s="45">
        <f t="shared" si="7"/>
        <v>80</v>
      </c>
      <c r="M37" s="45">
        <f t="shared" si="8"/>
        <v>41.5</v>
      </c>
      <c r="N37" s="45">
        <f t="shared" si="9"/>
        <v>74</v>
      </c>
      <c r="O37" s="45">
        <f t="shared" si="10"/>
        <v>55</v>
      </c>
      <c r="P37" s="45">
        <f t="shared" si="11"/>
        <v>64</v>
      </c>
      <c r="Q37" s="45">
        <f t="shared" si="12"/>
        <v>130</v>
      </c>
      <c r="R37" s="48"/>
    </row>
    <row r="38" spans="3:18" x14ac:dyDescent="0.2">
      <c r="C38" s="43" t="str">
        <f>VLOOKUP(D38,[4]DBASE!$B$3:$P$923,2,FALSE)</f>
        <v>Sugihwaras</v>
      </c>
      <c r="D38" s="47">
        <f>[4]jan!C42</f>
        <v>350123032</v>
      </c>
      <c r="E38" s="45">
        <f t="shared" si="0"/>
        <v>34</v>
      </c>
      <c r="F38" s="45">
        <f t="shared" si="1"/>
        <v>132</v>
      </c>
      <c r="G38" s="45">
        <f t="shared" si="2"/>
        <v>43</v>
      </c>
      <c r="H38" s="45">
        <f t="shared" si="3"/>
        <v>69</v>
      </c>
      <c r="I38" s="45">
        <f t="shared" si="4"/>
        <v>145</v>
      </c>
      <c r="J38" s="45">
        <f t="shared" si="5"/>
        <v>54</v>
      </c>
      <c r="K38" s="45">
        <f t="shared" si="6"/>
        <v>45</v>
      </c>
      <c r="L38" s="45">
        <f t="shared" si="7"/>
        <v>77</v>
      </c>
      <c r="M38" s="45">
        <f t="shared" si="8"/>
        <v>16</v>
      </c>
      <c r="N38" s="45">
        <f t="shared" si="9"/>
        <v>103</v>
      </c>
      <c r="O38" s="45">
        <f t="shared" si="10"/>
        <v>111</v>
      </c>
      <c r="P38" s="45">
        <f t="shared" si="11"/>
        <v>87</v>
      </c>
      <c r="Q38" s="45">
        <f t="shared" si="12"/>
        <v>145</v>
      </c>
      <c r="R38" s="48"/>
    </row>
    <row r="39" spans="3:18" x14ac:dyDescent="0.2">
      <c r="C39" s="43" t="str">
        <f>VLOOKUP(D39,[4]DBASE!$B$3:$P$923,2,FALSE)</f>
        <v>Widang</v>
      </c>
      <c r="D39" s="47">
        <f>[4]jan!C43</f>
        <v>350123031</v>
      </c>
      <c r="E39" s="45">
        <f t="shared" si="0"/>
        <v>66</v>
      </c>
      <c r="F39" s="45">
        <f t="shared" si="1"/>
        <v>46</v>
      </c>
      <c r="G39" s="45">
        <f t="shared" si="2"/>
        <v>79</v>
      </c>
      <c r="H39" s="45">
        <f t="shared" si="3"/>
        <v>57</v>
      </c>
      <c r="I39" s="45">
        <f t="shared" si="4"/>
        <v>40</v>
      </c>
      <c r="J39" s="45">
        <f t="shared" si="5"/>
        <v>54</v>
      </c>
      <c r="K39" s="45">
        <f t="shared" si="6"/>
        <v>64</v>
      </c>
      <c r="L39" s="45">
        <f t="shared" si="7"/>
        <v>33</v>
      </c>
      <c r="M39" s="45">
        <f t="shared" si="8"/>
        <v>74</v>
      </c>
      <c r="N39" s="45">
        <f t="shared" si="9"/>
        <v>61</v>
      </c>
      <c r="O39" s="45">
        <f t="shared" si="10"/>
        <v>43</v>
      </c>
      <c r="P39" s="45">
        <f t="shared" si="11"/>
        <v>21</v>
      </c>
      <c r="Q39" s="45">
        <f t="shared" si="12"/>
        <v>79</v>
      </c>
      <c r="R39" s="48"/>
    </row>
    <row r="40" spans="3:18" x14ac:dyDescent="0.2">
      <c r="C40" s="43" t="str">
        <f>VLOOKUP(D40,[4]DBASE!$B$3:$P$923,2,FALSE)</f>
        <v>Tuwiwiyan</v>
      </c>
      <c r="D40" s="47">
        <f>[4]jan!C44</f>
        <v>350123030</v>
      </c>
      <c r="E40" s="45">
        <f t="shared" si="0"/>
        <v>33</v>
      </c>
      <c r="F40" s="45">
        <f t="shared" si="1"/>
        <v>49</v>
      </c>
      <c r="G40" s="45">
        <f t="shared" si="2"/>
        <v>100</v>
      </c>
      <c r="H40" s="45">
        <f t="shared" si="3"/>
        <v>32</v>
      </c>
      <c r="I40" s="45">
        <f t="shared" si="4"/>
        <v>57</v>
      </c>
      <c r="J40" s="45">
        <f t="shared" si="5"/>
        <v>28</v>
      </c>
      <c r="K40" s="45">
        <f t="shared" si="6"/>
        <v>30</v>
      </c>
      <c r="L40" s="45">
        <f t="shared" si="7"/>
        <v>34</v>
      </c>
      <c r="M40" s="45">
        <f t="shared" si="8"/>
        <v>21</v>
      </c>
      <c r="N40" s="45">
        <f t="shared" si="9"/>
        <v>60</v>
      </c>
      <c r="O40" s="45">
        <f t="shared" si="10"/>
        <v>54</v>
      </c>
      <c r="P40" s="45">
        <f t="shared" si="11"/>
        <v>57</v>
      </c>
      <c r="Q40" s="45">
        <f t="shared" si="12"/>
        <v>100</v>
      </c>
      <c r="R40" s="48"/>
    </row>
    <row r="41" spans="3:18" x14ac:dyDescent="0.2">
      <c r="C41" s="43" t="str">
        <f>VLOOKUP(D41,[4]DBASE!$B$3:$P$923,2,FALSE)</f>
        <v>Tuban</v>
      </c>
      <c r="D41" s="47">
        <f>[4]jan!C45</f>
        <v>350123029</v>
      </c>
      <c r="E41" s="45">
        <f t="shared" si="0"/>
        <v>30</v>
      </c>
      <c r="F41" s="45">
        <f t="shared" si="1"/>
        <v>39</v>
      </c>
      <c r="G41" s="45">
        <f t="shared" si="2"/>
        <v>47</v>
      </c>
      <c r="H41" s="45">
        <f t="shared" si="3"/>
        <v>19</v>
      </c>
      <c r="I41" s="45">
        <f t="shared" si="4"/>
        <v>91</v>
      </c>
      <c r="J41" s="45">
        <f t="shared" si="5"/>
        <v>22</v>
      </c>
      <c r="K41" s="45">
        <f t="shared" si="6"/>
        <v>79</v>
      </c>
      <c r="L41" s="45">
        <f t="shared" si="7"/>
        <v>22</v>
      </c>
      <c r="M41" s="45">
        <f t="shared" si="8"/>
        <v>3</v>
      </c>
      <c r="N41" s="45">
        <f t="shared" si="9"/>
        <v>105</v>
      </c>
      <c r="O41" s="45">
        <f t="shared" si="10"/>
        <v>46</v>
      </c>
      <c r="P41" s="45">
        <f t="shared" si="11"/>
        <v>68</v>
      </c>
      <c r="Q41" s="45">
        <f t="shared" si="12"/>
        <v>105</v>
      </c>
      <c r="R41" s="48"/>
    </row>
    <row r="42" spans="3:18" x14ac:dyDescent="0.2">
      <c r="C42" s="43" t="str">
        <f>VLOOKUP(D42,[4]DBASE!$B$3:$P$923,2,FALSE)</f>
        <v>Tegalrejo</v>
      </c>
      <c r="D42" s="47">
        <f>[4]jan!C46</f>
        <v>350123028</v>
      </c>
      <c r="E42" s="45">
        <f t="shared" si="0"/>
        <v>34</v>
      </c>
      <c r="F42" s="45">
        <f t="shared" si="1"/>
        <v>109</v>
      </c>
      <c r="G42" s="45">
        <f t="shared" si="2"/>
        <v>60</v>
      </c>
      <c r="H42" s="45">
        <f t="shared" si="3"/>
        <v>67</v>
      </c>
      <c r="I42" s="45">
        <f t="shared" si="4"/>
        <v>80</v>
      </c>
      <c r="J42" s="45">
        <f t="shared" si="5"/>
        <v>30</v>
      </c>
      <c r="K42" s="45">
        <f t="shared" si="6"/>
        <v>28</v>
      </c>
      <c r="L42" s="45">
        <f t="shared" si="7"/>
        <v>26</v>
      </c>
      <c r="M42" s="45">
        <f t="shared" si="8"/>
        <v>31</v>
      </c>
      <c r="N42" s="45">
        <f t="shared" si="9"/>
        <v>92</v>
      </c>
      <c r="O42" s="45">
        <f t="shared" si="10"/>
        <v>38</v>
      </c>
      <c r="P42" s="45">
        <f t="shared" si="11"/>
        <v>79</v>
      </c>
      <c r="Q42" s="45">
        <f t="shared" si="12"/>
        <v>109</v>
      </c>
      <c r="R42" s="48"/>
    </row>
    <row r="43" spans="3:18" x14ac:dyDescent="0.2">
      <c r="C43" s="43" t="str">
        <f>VLOOKUP(D43,[4]DBASE!$B$3:$P$923,2,FALSE)</f>
        <v>Kaligede</v>
      </c>
      <c r="D43" s="47">
        <f>[4]jan!C47</f>
        <v>350123027</v>
      </c>
      <c r="E43" s="45">
        <f t="shared" si="0"/>
        <v>47</v>
      </c>
      <c r="F43" s="45">
        <f t="shared" si="1"/>
        <v>49</v>
      </c>
      <c r="G43" s="45">
        <f t="shared" si="2"/>
        <v>114</v>
      </c>
      <c r="H43" s="45">
        <f t="shared" si="3"/>
        <v>73</v>
      </c>
      <c r="I43" s="45">
        <f t="shared" si="4"/>
        <v>47</v>
      </c>
      <c r="J43" s="45">
        <f t="shared" si="5"/>
        <v>49</v>
      </c>
      <c r="K43" s="45">
        <f t="shared" si="6"/>
        <v>41</v>
      </c>
      <c r="L43" s="45">
        <f t="shared" si="7"/>
        <v>89</v>
      </c>
      <c r="M43" s="45">
        <f t="shared" si="8"/>
        <v>39</v>
      </c>
      <c r="N43" s="45">
        <f t="shared" si="9"/>
        <v>56</v>
      </c>
      <c r="O43" s="57">
        <f t="shared" si="10"/>
        <v>211</v>
      </c>
      <c r="P43" s="45">
        <f t="shared" si="11"/>
        <v>49</v>
      </c>
      <c r="Q43" s="57">
        <f t="shared" si="12"/>
        <v>211</v>
      </c>
      <c r="R43" s="48"/>
    </row>
    <row r="44" spans="3:18" x14ac:dyDescent="0.2">
      <c r="C44" s="43" t="str">
        <f>VLOOKUP(D44,[4]DBASE!$B$3:$P$923,2,FALSE)</f>
        <v>Soko</v>
      </c>
      <c r="D44" s="47">
        <f>[4]jan!C48</f>
        <v>350123026</v>
      </c>
      <c r="E44" s="45">
        <f t="shared" si="0"/>
        <v>45</v>
      </c>
      <c r="F44" s="45">
        <f t="shared" si="1"/>
        <v>54</v>
      </c>
      <c r="G44" s="45">
        <f t="shared" si="2"/>
        <v>60</v>
      </c>
      <c r="H44" s="45">
        <f t="shared" si="3"/>
        <v>42</v>
      </c>
      <c r="I44" s="45">
        <f t="shared" si="4"/>
        <v>35</v>
      </c>
      <c r="J44" s="45">
        <f t="shared" si="5"/>
        <v>22</v>
      </c>
      <c r="K44" s="45">
        <f t="shared" si="6"/>
        <v>24</v>
      </c>
      <c r="L44" s="45">
        <f t="shared" si="7"/>
        <v>50</v>
      </c>
      <c r="M44" s="45">
        <f t="shared" si="8"/>
        <v>13</v>
      </c>
      <c r="N44" s="45">
        <f t="shared" si="9"/>
        <v>62</v>
      </c>
      <c r="O44" s="45">
        <f t="shared" si="10"/>
        <v>79</v>
      </c>
      <c r="P44" s="45">
        <f t="shared" si="11"/>
        <v>39</v>
      </c>
      <c r="Q44" s="45">
        <f t="shared" si="12"/>
        <v>79</v>
      </c>
      <c r="R44" s="48"/>
    </row>
    <row r="45" spans="3:18" x14ac:dyDescent="0.2">
      <c r="C45" s="43" t="str">
        <f>VLOOKUP(D45,[4]DBASE!$B$3:$P$923,2,FALSE)</f>
        <v>Simo</v>
      </c>
      <c r="D45" s="47">
        <f>[4]jan!C49</f>
        <v>350123025</v>
      </c>
      <c r="E45" s="45">
        <f t="shared" si="0"/>
        <v>90</v>
      </c>
      <c r="F45" s="45">
        <f t="shared" si="1"/>
        <v>76</v>
      </c>
      <c r="G45" s="45">
        <f t="shared" si="2"/>
        <v>100</v>
      </c>
      <c r="H45" s="45">
        <f t="shared" si="3"/>
        <v>114</v>
      </c>
      <c r="I45" s="45">
        <f t="shared" si="4"/>
        <v>80</v>
      </c>
      <c r="J45" s="45">
        <f t="shared" si="5"/>
        <v>36</v>
      </c>
      <c r="K45" s="45">
        <f t="shared" si="6"/>
        <v>92</v>
      </c>
      <c r="L45" s="45">
        <f t="shared" si="7"/>
        <v>40</v>
      </c>
      <c r="M45" s="45">
        <f t="shared" si="8"/>
        <v>18</v>
      </c>
      <c r="N45" s="45">
        <f t="shared" si="9"/>
        <v>80</v>
      </c>
      <c r="O45" s="45">
        <f t="shared" si="10"/>
        <v>58</v>
      </c>
      <c r="P45" s="45">
        <f t="shared" si="11"/>
        <v>82</v>
      </c>
      <c r="Q45" s="45">
        <f t="shared" si="12"/>
        <v>114</v>
      </c>
      <c r="R45" s="48"/>
    </row>
    <row r="46" spans="3:18" x14ac:dyDescent="0.2">
      <c r="C46" s="43" t="str">
        <f>VLOOKUP(D46,[4]DBASE!$B$3:$P$923,2,FALSE)</f>
        <v>Parangbatu</v>
      </c>
      <c r="D46" s="47">
        <f>[4]jan!C50</f>
        <v>350123024</v>
      </c>
      <c r="E46" s="45">
        <f t="shared" si="0"/>
        <v>52</v>
      </c>
      <c r="F46" s="45">
        <f t="shared" si="1"/>
        <v>65</v>
      </c>
      <c r="G46" s="45">
        <f t="shared" si="2"/>
        <v>45</v>
      </c>
      <c r="H46" s="45">
        <f t="shared" si="3"/>
        <v>96</v>
      </c>
      <c r="I46" s="45">
        <f t="shared" si="4"/>
        <v>110</v>
      </c>
      <c r="J46" s="45">
        <f t="shared" si="5"/>
        <v>37</v>
      </c>
      <c r="K46" s="45">
        <f t="shared" si="6"/>
        <v>31</v>
      </c>
      <c r="L46" s="45">
        <f t="shared" si="7"/>
        <v>70</v>
      </c>
      <c r="M46" s="45">
        <f t="shared" si="8"/>
        <v>13.5</v>
      </c>
      <c r="N46" s="45">
        <f t="shared" si="9"/>
        <v>87</v>
      </c>
      <c r="O46" s="45">
        <f t="shared" si="10"/>
        <v>102</v>
      </c>
      <c r="P46" s="45">
        <f t="shared" si="11"/>
        <v>64</v>
      </c>
      <c r="Q46" s="45">
        <f t="shared" si="12"/>
        <v>110</v>
      </c>
      <c r="R46" s="48"/>
    </row>
    <row r="47" spans="3:18" x14ac:dyDescent="0.2">
      <c r="C47" s="43" t="str">
        <f>VLOOKUP(D47,[4]DBASE!$B$3:$P$923,2,FALSE)</f>
        <v>Sekaran</v>
      </c>
      <c r="D47" s="47">
        <f>[4]jan!C51</f>
        <v>350123023</v>
      </c>
      <c r="E47" s="45">
        <f t="shared" si="0"/>
        <v>35</v>
      </c>
      <c r="F47" s="45">
        <f t="shared" si="1"/>
        <v>59</v>
      </c>
      <c r="G47" s="45">
        <f t="shared" si="2"/>
        <v>40</v>
      </c>
      <c r="H47" s="45">
        <f t="shared" si="3"/>
        <v>37</v>
      </c>
      <c r="I47" s="45">
        <f t="shared" si="4"/>
        <v>45</v>
      </c>
      <c r="J47" s="45">
        <f t="shared" si="5"/>
        <v>45</v>
      </c>
      <c r="K47" s="45">
        <f t="shared" si="6"/>
        <v>12</v>
      </c>
      <c r="L47" s="45">
        <f t="shared" si="7"/>
        <v>17</v>
      </c>
      <c r="M47" s="45">
        <f t="shared" si="8"/>
        <v>9</v>
      </c>
      <c r="N47" s="45">
        <f t="shared" si="9"/>
        <v>77</v>
      </c>
      <c r="O47" s="45">
        <f t="shared" si="10"/>
        <v>76</v>
      </c>
      <c r="P47" s="45">
        <f t="shared" si="11"/>
        <v>26</v>
      </c>
      <c r="Q47" s="45">
        <f t="shared" si="12"/>
        <v>77</v>
      </c>
      <c r="R47" s="48"/>
    </row>
    <row r="48" spans="3:18" x14ac:dyDescent="0.2">
      <c r="C48" s="43" t="str">
        <f>VLOOKUP(D48,[4]DBASE!$B$3:$P$923,2,FALSE)</f>
        <v>Rengel</v>
      </c>
      <c r="D48" s="47">
        <f>[4]jan!C52</f>
        <v>350123022</v>
      </c>
      <c r="E48" s="45">
        <f t="shared" si="0"/>
        <v>62</v>
      </c>
      <c r="F48" s="45">
        <f t="shared" si="1"/>
        <v>70</v>
      </c>
      <c r="G48" s="45">
        <f t="shared" si="2"/>
        <v>58</v>
      </c>
      <c r="H48" s="45">
        <f t="shared" si="3"/>
        <v>75</v>
      </c>
      <c r="I48" s="45">
        <f t="shared" si="4"/>
        <v>25</v>
      </c>
      <c r="J48" s="45">
        <f t="shared" si="5"/>
        <v>59</v>
      </c>
      <c r="K48" s="45">
        <f t="shared" si="6"/>
        <v>62</v>
      </c>
      <c r="L48" s="45">
        <f t="shared" si="7"/>
        <v>75</v>
      </c>
      <c r="M48" s="45">
        <f t="shared" si="8"/>
        <v>68</v>
      </c>
      <c r="N48" s="45">
        <f t="shared" si="9"/>
        <v>54</v>
      </c>
      <c r="O48" s="45">
        <f t="shared" si="10"/>
        <v>45</v>
      </c>
      <c r="P48" s="45">
        <f t="shared" si="11"/>
        <v>40</v>
      </c>
      <c r="Q48" s="45">
        <f t="shared" si="12"/>
        <v>75</v>
      </c>
      <c r="R48" s="48"/>
    </row>
    <row r="49" spans="3:18" x14ac:dyDescent="0.2">
      <c r="C49" s="43" t="str">
        <f>VLOOKUP(D49,[4]DBASE!$B$3:$P$923,2,FALSE)</f>
        <v>Plajan / katerban</v>
      </c>
      <c r="D49" s="47">
        <f>[4]jan!C53</f>
        <v>350123021</v>
      </c>
      <c r="E49" s="45">
        <f t="shared" si="0"/>
        <v>35</v>
      </c>
      <c r="F49" s="45">
        <f t="shared" si="1"/>
        <v>46</v>
      </c>
      <c r="G49" s="45">
        <f t="shared" si="2"/>
        <v>42</v>
      </c>
      <c r="H49" s="45">
        <f t="shared" si="3"/>
        <v>55</v>
      </c>
      <c r="I49" s="45">
        <f t="shared" si="4"/>
        <v>72</v>
      </c>
      <c r="J49" s="45">
        <f t="shared" si="5"/>
        <v>24</v>
      </c>
      <c r="K49" s="45">
        <f t="shared" si="6"/>
        <v>82</v>
      </c>
      <c r="L49" s="45">
        <f t="shared" si="7"/>
        <v>96</v>
      </c>
      <c r="M49" s="45">
        <f t="shared" si="8"/>
        <v>10</v>
      </c>
      <c r="N49" s="45">
        <f t="shared" si="9"/>
        <v>93</v>
      </c>
      <c r="O49" s="45">
        <f t="shared" si="10"/>
        <v>93</v>
      </c>
      <c r="P49" s="45">
        <f t="shared" si="11"/>
        <v>97</v>
      </c>
      <c r="Q49" s="45">
        <f t="shared" si="12"/>
        <v>97</v>
      </c>
      <c r="R49" s="48"/>
    </row>
    <row r="50" spans="3:18" x14ac:dyDescent="0.2">
      <c r="C50" s="43" t="str">
        <f>VLOOKUP(D50,[4]DBASE!$B$3:$P$923,2,FALSE)</f>
        <v>Ngolahan</v>
      </c>
      <c r="D50" s="47">
        <f>[4]jan!C54</f>
        <v>350123020</v>
      </c>
      <c r="E50" s="45">
        <f t="shared" si="0"/>
        <v>68</v>
      </c>
      <c r="F50" s="45">
        <f t="shared" si="1"/>
        <v>69</v>
      </c>
      <c r="G50" s="45">
        <f t="shared" si="2"/>
        <v>55</v>
      </c>
      <c r="H50" s="45">
        <f t="shared" si="3"/>
        <v>63</v>
      </c>
      <c r="I50" s="45">
        <f t="shared" si="4"/>
        <v>52</v>
      </c>
      <c r="J50" s="45">
        <f t="shared" si="5"/>
        <v>52</v>
      </c>
      <c r="K50" s="45">
        <f t="shared" si="6"/>
        <v>33</v>
      </c>
      <c r="L50" s="45">
        <f t="shared" si="7"/>
        <v>33</v>
      </c>
      <c r="M50" s="45">
        <f t="shared" si="8"/>
        <v>4</v>
      </c>
      <c r="N50" s="45">
        <f t="shared" si="9"/>
        <v>79</v>
      </c>
      <c r="O50" s="45">
        <f t="shared" si="10"/>
        <v>34</v>
      </c>
      <c r="P50" s="45">
        <f t="shared" si="11"/>
        <v>80</v>
      </c>
      <c r="Q50" s="45">
        <f t="shared" si="12"/>
        <v>80</v>
      </c>
      <c r="R50" s="48"/>
    </row>
    <row r="51" spans="3:18" x14ac:dyDescent="0.2">
      <c r="C51" s="43" t="str">
        <f>VLOOKUP(D51,[4]DBASE!$B$3:$P$923,2,FALSE)</f>
        <v>Ngabongan</v>
      </c>
      <c r="D51" s="47">
        <f>[4]jan!C55</f>
        <v>350123019</v>
      </c>
      <c r="E51" s="45">
        <f t="shared" si="0"/>
        <v>27</v>
      </c>
      <c r="F51" s="45">
        <f t="shared" si="1"/>
        <v>28</v>
      </c>
      <c r="G51" s="45">
        <f t="shared" si="2"/>
        <v>45</v>
      </c>
      <c r="H51" s="45">
        <f t="shared" si="3"/>
        <v>47</v>
      </c>
      <c r="I51" s="45">
        <f t="shared" si="4"/>
        <v>26</v>
      </c>
      <c r="J51" s="45">
        <f t="shared" si="5"/>
        <v>46</v>
      </c>
      <c r="K51" s="45">
        <f t="shared" si="6"/>
        <v>36</v>
      </c>
      <c r="L51" s="45">
        <f t="shared" si="7"/>
        <v>56</v>
      </c>
      <c r="M51" s="45">
        <f t="shared" si="8"/>
        <v>25</v>
      </c>
      <c r="N51" s="45">
        <f t="shared" si="9"/>
        <v>64</v>
      </c>
      <c r="O51" s="45">
        <f t="shared" si="10"/>
        <v>83</v>
      </c>
      <c r="P51" s="45">
        <f t="shared" si="11"/>
        <v>50</v>
      </c>
      <c r="Q51" s="45">
        <f t="shared" si="12"/>
        <v>83</v>
      </c>
      <c r="R51" s="48"/>
    </row>
    <row r="52" spans="3:18" x14ac:dyDescent="0.2">
      <c r="C52" s="43" t="str">
        <f>VLOOKUP(D52,[4]DBASE!$B$3:$P$923,2,FALSE)</f>
        <v>Mundri</v>
      </c>
      <c r="D52" s="47">
        <f>[4]jan!C56</f>
        <v>350123018</v>
      </c>
      <c r="E52" s="45">
        <f t="shared" si="0"/>
        <v>83</v>
      </c>
      <c r="F52" s="45">
        <f t="shared" si="1"/>
        <v>42</v>
      </c>
      <c r="G52" s="45">
        <f t="shared" si="2"/>
        <v>43</v>
      </c>
      <c r="H52" s="45">
        <f t="shared" si="3"/>
        <v>32</v>
      </c>
      <c r="I52" s="45">
        <f t="shared" si="4"/>
        <v>29</v>
      </c>
      <c r="J52" s="45">
        <f t="shared" si="5"/>
        <v>29</v>
      </c>
      <c r="K52" s="45">
        <f t="shared" si="6"/>
        <v>47</v>
      </c>
      <c r="L52" s="45">
        <f t="shared" si="7"/>
        <v>58</v>
      </c>
      <c r="M52" s="45">
        <f t="shared" si="8"/>
        <v>35</v>
      </c>
      <c r="N52" s="45">
        <f t="shared" si="9"/>
        <v>76</v>
      </c>
      <c r="O52" s="45">
        <f t="shared" si="10"/>
        <v>96</v>
      </c>
      <c r="P52" s="45">
        <f t="shared" si="11"/>
        <v>53</v>
      </c>
      <c r="Q52" s="45">
        <f t="shared" si="12"/>
        <v>96</v>
      </c>
      <c r="R52" s="48"/>
    </row>
    <row r="53" spans="3:18" x14ac:dyDescent="0.2">
      <c r="C53" s="43" t="str">
        <f>VLOOKUP(D53,[4]DBASE!$B$3:$P$923,2,FALSE)</f>
        <v>Montong</v>
      </c>
      <c r="D53" s="47">
        <f>[4]jan!C57</f>
        <v>350123017</v>
      </c>
      <c r="E53" s="45">
        <f t="shared" si="0"/>
        <v>18</v>
      </c>
      <c r="F53" s="45">
        <f t="shared" si="1"/>
        <v>35</v>
      </c>
      <c r="G53" s="45">
        <f t="shared" si="2"/>
        <v>96</v>
      </c>
      <c r="H53" s="45">
        <f t="shared" si="3"/>
        <v>71</v>
      </c>
      <c r="I53" s="45">
        <f t="shared" si="4"/>
        <v>38</v>
      </c>
      <c r="J53" s="45">
        <f t="shared" si="5"/>
        <v>16</v>
      </c>
      <c r="K53" s="45">
        <f t="shared" si="6"/>
        <v>20</v>
      </c>
      <c r="L53" s="45">
        <f t="shared" si="7"/>
        <v>79</v>
      </c>
      <c r="M53" s="45">
        <f t="shared" si="8"/>
        <v>56</v>
      </c>
      <c r="N53" s="45">
        <f t="shared" si="9"/>
        <v>126</v>
      </c>
      <c r="O53" s="45">
        <f t="shared" si="10"/>
        <v>43</v>
      </c>
      <c r="P53" s="45">
        <f t="shared" si="11"/>
        <v>86</v>
      </c>
      <c r="Q53" s="45">
        <f t="shared" si="12"/>
        <v>126</v>
      </c>
      <c r="R53" s="48"/>
    </row>
    <row r="54" spans="3:18" x14ac:dyDescent="0.2">
      <c r="C54" s="43" t="str">
        <f>VLOOKUP(D54,[4]DBASE!$B$3:$P$923,2,FALSE)</f>
        <v>Tluwe</v>
      </c>
      <c r="D54" s="47">
        <f>[4]jan!C58</f>
        <v>350123016</v>
      </c>
      <c r="E54" s="45">
        <f t="shared" si="0"/>
        <v>26</v>
      </c>
      <c r="F54" s="45">
        <f t="shared" si="1"/>
        <v>58</v>
      </c>
      <c r="G54" s="45">
        <f t="shared" si="2"/>
        <v>49.5</v>
      </c>
      <c r="H54" s="45">
        <f t="shared" si="3"/>
        <v>46</v>
      </c>
      <c r="I54" s="45">
        <f t="shared" si="4"/>
        <v>55</v>
      </c>
      <c r="J54" s="45">
        <f t="shared" si="5"/>
        <v>22</v>
      </c>
      <c r="K54" s="45">
        <f t="shared" si="6"/>
        <v>53</v>
      </c>
      <c r="L54" s="45">
        <f t="shared" si="7"/>
        <v>60</v>
      </c>
      <c r="M54" s="45">
        <f t="shared" si="8"/>
        <v>20</v>
      </c>
      <c r="N54" s="45">
        <f t="shared" si="9"/>
        <v>80</v>
      </c>
      <c r="O54" s="45">
        <f t="shared" si="10"/>
        <v>55</v>
      </c>
      <c r="P54" s="45">
        <f t="shared" si="11"/>
        <v>66</v>
      </c>
      <c r="Q54" s="45">
        <f t="shared" si="12"/>
        <v>80</v>
      </c>
      <c r="R54" s="48"/>
    </row>
    <row r="55" spans="3:18" x14ac:dyDescent="0.2">
      <c r="C55" s="43" t="str">
        <f>VLOOKUP(D55,[4]DBASE!$B$3:$P$923,2,FALSE)</f>
        <v>Laju</v>
      </c>
      <c r="D55" s="47">
        <f>[4]jan!C59</f>
        <v>350123015</v>
      </c>
      <c r="E55" s="45">
        <f t="shared" si="0"/>
        <v>57</v>
      </c>
      <c r="F55" s="45">
        <f t="shared" si="1"/>
        <v>37</v>
      </c>
      <c r="G55" s="45">
        <f t="shared" si="2"/>
        <v>37</v>
      </c>
      <c r="H55" s="45">
        <f t="shared" si="3"/>
        <v>32</v>
      </c>
      <c r="I55" s="45">
        <f t="shared" si="4"/>
        <v>32</v>
      </c>
      <c r="J55" s="45">
        <f t="shared" si="5"/>
        <v>22</v>
      </c>
      <c r="K55" s="45">
        <f t="shared" si="6"/>
        <v>26</v>
      </c>
      <c r="L55" s="45">
        <f t="shared" si="7"/>
        <v>8</v>
      </c>
      <c r="M55" s="45">
        <f t="shared" si="8"/>
        <v>7</v>
      </c>
      <c r="N55" s="45">
        <f t="shared" si="9"/>
        <v>43</v>
      </c>
      <c r="O55" s="45">
        <f t="shared" si="10"/>
        <v>58</v>
      </c>
      <c r="P55" s="45">
        <f t="shared" si="11"/>
        <v>31</v>
      </c>
      <c r="Q55" s="45">
        <f t="shared" si="12"/>
        <v>58</v>
      </c>
      <c r="R55" s="48"/>
    </row>
    <row r="56" spans="3:18" x14ac:dyDescent="0.2">
      <c r="C56" s="43" t="str">
        <f>VLOOKUP(D56,[4]DBASE!$B$3:$P$923,2,FALSE)</f>
        <v>Kwasen</v>
      </c>
      <c r="D56" s="47">
        <f>[4]jan!C60</f>
        <v>350123014</v>
      </c>
      <c r="E56" s="45">
        <f t="shared" si="0"/>
        <v>24</v>
      </c>
      <c r="F56" s="45">
        <f t="shared" si="1"/>
        <v>38</v>
      </c>
      <c r="G56" s="45">
        <f t="shared" si="2"/>
        <v>48</v>
      </c>
      <c r="H56" s="45">
        <f t="shared" si="3"/>
        <v>38</v>
      </c>
      <c r="I56" s="45">
        <f t="shared" si="4"/>
        <v>38</v>
      </c>
      <c r="J56" s="45">
        <f t="shared" si="5"/>
        <v>38</v>
      </c>
      <c r="K56" s="45">
        <f t="shared" si="6"/>
        <v>34</v>
      </c>
      <c r="L56" s="45">
        <f t="shared" si="7"/>
        <v>48</v>
      </c>
      <c r="M56" s="45">
        <f t="shared" si="8"/>
        <v>6</v>
      </c>
      <c r="N56" s="45">
        <f t="shared" si="9"/>
        <v>64</v>
      </c>
      <c r="O56" s="45">
        <f t="shared" si="10"/>
        <v>48</v>
      </c>
      <c r="P56" s="45">
        <f t="shared" si="11"/>
        <v>52</v>
      </c>
      <c r="Q56" s="45">
        <f t="shared" si="12"/>
        <v>64</v>
      </c>
      <c r="R56" s="48"/>
    </row>
    <row r="57" spans="3:18" x14ac:dyDescent="0.2">
      <c r="C57" s="43" t="str">
        <f>VLOOKUP(D57,[4]DBASE!$B$3:$P$923,2,FALSE)</f>
        <v>Klotok/Sembungrejo</v>
      </c>
      <c r="D57" s="47">
        <f>[4]jan!C61</f>
        <v>350123013</v>
      </c>
      <c r="E57" s="45">
        <f t="shared" si="0"/>
        <v>41</v>
      </c>
      <c r="F57" s="45">
        <f t="shared" si="1"/>
        <v>44</v>
      </c>
      <c r="G57" s="45">
        <f t="shared" si="2"/>
        <v>48</v>
      </c>
      <c r="H57" s="45">
        <f t="shared" si="3"/>
        <v>65</v>
      </c>
      <c r="I57" s="45">
        <f t="shared" si="4"/>
        <v>32</v>
      </c>
      <c r="J57" s="45">
        <f t="shared" si="5"/>
        <v>38</v>
      </c>
      <c r="K57" s="45">
        <f t="shared" si="6"/>
        <v>23</v>
      </c>
      <c r="L57" s="45">
        <f t="shared" si="7"/>
        <v>72</v>
      </c>
      <c r="M57" s="45">
        <f t="shared" si="8"/>
        <v>40</v>
      </c>
      <c r="N57" s="45">
        <f t="shared" si="9"/>
        <v>69</v>
      </c>
      <c r="O57" s="45">
        <f t="shared" si="10"/>
        <v>63</v>
      </c>
      <c r="P57" s="45">
        <f t="shared" si="11"/>
        <v>39</v>
      </c>
      <c r="Q57" s="45">
        <f t="shared" si="12"/>
        <v>72</v>
      </c>
      <c r="R57" s="48"/>
    </row>
    <row r="58" spans="3:18" x14ac:dyDescent="0.2">
      <c r="C58" s="43" t="str">
        <f>VLOOKUP(D58,[4]DBASE!$B$3:$P$923,2,FALSE)</f>
        <v>Kerek</v>
      </c>
      <c r="D58" s="47">
        <f>[4]jan!C62</f>
        <v>350123012</v>
      </c>
      <c r="E58" s="45">
        <f t="shared" si="0"/>
        <v>24</v>
      </c>
      <c r="F58" s="45">
        <f t="shared" si="1"/>
        <v>79</v>
      </c>
      <c r="G58" s="45">
        <f t="shared" si="2"/>
        <v>103</v>
      </c>
      <c r="H58" s="45">
        <f t="shared" si="3"/>
        <v>82</v>
      </c>
      <c r="I58" s="45">
        <f t="shared" si="4"/>
        <v>138</v>
      </c>
      <c r="J58" s="45">
        <f t="shared" si="5"/>
        <v>61</v>
      </c>
      <c r="K58" s="45">
        <f t="shared" si="6"/>
        <v>31</v>
      </c>
      <c r="L58" s="45">
        <f t="shared" si="7"/>
        <v>28</v>
      </c>
      <c r="M58" s="45">
        <f t="shared" si="8"/>
        <v>7</v>
      </c>
      <c r="N58" s="45">
        <f t="shared" si="9"/>
        <v>85</v>
      </c>
      <c r="O58" s="45">
        <f t="shared" si="10"/>
        <v>42</v>
      </c>
      <c r="P58" s="45">
        <f t="shared" si="11"/>
        <v>60</v>
      </c>
      <c r="Q58" s="45">
        <f t="shared" si="12"/>
        <v>138</v>
      </c>
      <c r="R58" s="48"/>
    </row>
    <row r="59" spans="3:18" x14ac:dyDescent="0.2">
      <c r="C59" s="43" t="str">
        <f>VLOOKUP(D59,[4]DBASE!$B$3:$P$923,2,FALSE)</f>
        <v>Kepet</v>
      </c>
      <c r="D59" s="47">
        <f>[4]jan!C63</f>
        <v>350123011</v>
      </c>
      <c r="E59" s="45">
        <f t="shared" si="0"/>
        <v>54</v>
      </c>
      <c r="F59" s="45">
        <f t="shared" si="1"/>
        <v>52</v>
      </c>
      <c r="G59" s="45">
        <f t="shared" si="2"/>
        <v>35</v>
      </c>
      <c r="H59" s="45">
        <f t="shared" si="3"/>
        <v>28</v>
      </c>
      <c r="I59" s="45">
        <f t="shared" si="4"/>
        <v>28</v>
      </c>
      <c r="J59" s="45">
        <f t="shared" si="5"/>
        <v>33</v>
      </c>
      <c r="K59" s="45">
        <f t="shared" si="6"/>
        <v>65</v>
      </c>
      <c r="L59" s="45">
        <f t="shared" si="7"/>
        <v>26</v>
      </c>
      <c r="M59" s="45">
        <f t="shared" si="8"/>
        <v>3</v>
      </c>
      <c r="N59" s="45">
        <f t="shared" si="9"/>
        <v>54</v>
      </c>
      <c r="O59" s="45">
        <f t="shared" si="10"/>
        <v>37</v>
      </c>
      <c r="P59" s="45">
        <f t="shared" si="11"/>
        <v>75</v>
      </c>
      <c r="Q59" s="45">
        <f t="shared" si="12"/>
        <v>75</v>
      </c>
      <c r="R59" s="48"/>
    </row>
    <row r="60" spans="3:18" x14ac:dyDescent="0.2">
      <c r="C60" s="43" t="str">
        <f>VLOOKUP(D60,[4]DBASE!$B$3:$P$923,2,FALSE)</f>
        <v>Kejuron</v>
      </c>
      <c r="D60" s="47">
        <f>[4]jan!C64</f>
        <v>350123010</v>
      </c>
      <c r="E60" s="45">
        <f t="shared" si="0"/>
        <v>82</v>
      </c>
      <c r="F60" s="45">
        <f t="shared" si="1"/>
        <v>48</v>
      </c>
      <c r="G60" s="45">
        <f t="shared" si="2"/>
        <v>32</v>
      </c>
      <c r="H60" s="45">
        <f t="shared" si="3"/>
        <v>52</v>
      </c>
      <c r="I60" s="45">
        <f t="shared" si="4"/>
        <v>22</v>
      </c>
      <c r="J60" s="45">
        <f t="shared" si="5"/>
        <v>19</v>
      </c>
      <c r="K60" s="45">
        <f t="shared" si="6"/>
        <v>29</v>
      </c>
      <c r="L60" s="45">
        <f t="shared" si="7"/>
        <v>52</v>
      </c>
      <c r="M60" s="45">
        <f t="shared" si="8"/>
        <v>16</v>
      </c>
      <c r="N60" s="45">
        <f t="shared" si="9"/>
        <v>37</v>
      </c>
      <c r="O60" s="45">
        <f t="shared" si="10"/>
        <v>101</v>
      </c>
      <c r="P60" s="45">
        <f t="shared" si="11"/>
        <v>52</v>
      </c>
      <c r="Q60" s="45">
        <f t="shared" si="12"/>
        <v>101</v>
      </c>
      <c r="R60" s="48"/>
    </row>
    <row r="61" spans="3:18" x14ac:dyDescent="0.2">
      <c r="C61" s="43" t="str">
        <f>VLOOKUP(D61,[4]DBASE!$B$3:$P$923,2,FALSE)</f>
        <v>Kebonharjo/paseyan</v>
      </c>
      <c r="D61" s="47">
        <f>[4]jan!C65</f>
        <v>350123009</v>
      </c>
      <c r="E61" s="45">
        <f t="shared" si="0"/>
        <v>16</v>
      </c>
      <c r="F61" s="45">
        <f t="shared" si="1"/>
        <v>58</v>
      </c>
      <c r="G61" s="45">
        <f t="shared" si="2"/>
        <v>35</v>
      </c>
      <c r="H61" s="45">
        <f t="shared" si="3"/>
        <v>64</v>
      </c>
      <c r="I61" s="45">
        <f t="shared" si="4"/>
        <v>41.5</v>
      </c>
      <c r="J61" s="45">
        <f t="shared" si="5"/>
        <v>32</v>
      </c>
      <c r="K61" s="45">
        <f t="shared" si="6"/>
        <v>27</v>
      </c>
      <c r="L61" s="45">
        <f t="shared" si="7"/>
        <v>40</v>
      </c>
      <c r="M61" s="45">
        <f t="shared" si="8"/>
        <v>8</v>
      </c>
      <c r="N61" s="45">
        <f t="shared" si="9"/>
        <v>86</v>
      </c>
      <c r="O61" s="45">
        <f t="shared" si="10"/>
        <v>82</v>
      </c>
      <c r="P61" s="45">
        <f t="shared" si="11"/>
        <v>52</v>
      </c>
      <c r="Q61" s="45">
        <f t="shared" si="12"/>
        <v>86</v>
      </c>
      <c r="R61" s="48"/>
    </row>
    <row r="62" spans="3:18" x14ac:dyDescent="0.2">
      <c r="C62" s="43" t="str">
        <f>VLOOKUP(D62,[4]DBASE!$B$3:$P$923,2,FALSE)</f>
        <v>Kebonagung TBN</v>
      </c>
      <c r="D62" s="47">
        <f>[4]jan!C66</f>
        <v>350123008</v>
      </c>
      <c r="E62" s="45">
        <f t="shared" si="0"/>
        <v>45</v>
      </c>
      <c r="F62" s="45">
        <f t="shared" si="1"/>
        <v>36</v>
      </c>
      <c r="G62" s="45">
        <f t="shared" si="2"/>
        <v>110</v>
      </c>
      <c r="H62" s="45">
        <f t="shared" si="3"/>
        <v>80</v>
      </c>
      <c r="I62" s="45">
        <f t="shared" si="4"/>
        <v>40</v>
      </c>
      <c r="J62" s="45">
        <f t="shared" si="5"/>
        <v>28</v>
      </c>
      <c r="K62" s="45">
        <f t="shared" si="6"/>
        <v>25</v>
      </c>
      <c r="L62" s="45">
        <f t="shared" si="7"/>
        <v>65</v>
      </c>
      <c r="M62" s="45">
        <f t="shared" si="8"/>
        <v>45</v>
      </c>
      <c r="N62" s="45">
        <f t="shared" si="9"/>
        <v>78</v>
      </c>
      <c r="O62" s="45">
        <f t="shared" si="10"/>
        <v>56</v>
      </c>
      <c r="P62" s="45">
        <f t="shared" si="11"/>
        <v>53</v>
      </c>
      <c r="Q62" s="45">
        <f t="shared" si="12"/>
        <v>110</v>
      </c>
      <c r="R62" s="48"/>
    </row>
    <row r="63" spans="3:18" x14ac:dyDescent="0.2">
      <c r="C63" s="43" t="str">
        <f>VLOOKUP(D63,[4]DBASE!$B$3:$P$923,2,FALSE)</f>
        <v>Kayenjoho</v>
      </c>
      <c r="D63" s="47">
        <f>[4]jan!C67</f>
        <v>350123007</v>
      </c>
      <c r="E63" s="45">
        <f t="shared" si="0"/>
        <v>67</v>
      </c>
      <c r="F63" s="45">
        <f t="shared" si="1"/>
        <v>54</v>
      </c>
      <c r="G63" s="45">
        <f t="shared" si="2"/>
        <v>75</v>
      </c>
      <c r="H63" s="45">
        <f t="shared" si="3"/>
        <v>48</v>
      </c>
      <c r="I63" s="45">
        <f t="shared" si="4"/>
        <v>60</v>
      </c>
      <c r="J63" s="45">
        <f t="shared" si="5"/>
        <v>23</v>
      </c>
      <c r="K63" s="45">
        <f t="shared" si="6"/>
        <v>34</v>
      </c>
      <c r="L63" s="45">
        <f t="shared" si="7"/>
        <v>20</v>
      </c>
      <c r="M63" s="45">
        <f t="shared" si="8"/>
        <v>1</v>
      </c>
      <c r="N63" s="45">
        <f t="shared" si="9"/>
        <v>53</v>
      </c>
      <c r="O63" s="45">
        <f t="shared" si="10"/>
        <v>44</v>
      </c>
      <c r="P63" s="45">
        <f t="shared" si="11"/>
        <v>50</v>
      </c>
      <c r="Q63" s="45">
        <f t="shared" si="12"/>
        <v>75</v>
      </c>
      <c r="R63" s="48"/>
    </row>
    <row r="64" spans="3:18" x14ac:dyDescent="0.2">
      <c r="C64" s="43" t="str">
        <f>VLOOKUP(D64,[4]DBASE!$B$3:$P$923,2,FALSE)</f>
        <v>Jojogan</v>
      </c>
      <c r="D64" s="47">
        <f>[4]jan!C68</f>
        <v>350123006</v>
      </c>
      <c r="E64" s="45">
        <f t="shared" si="0"/>
        <v>21</v>
      </c>
      <c r="F64" s="45">
        <f t="shared" si="1"/>
        <v>52</v>
      </c>
      <c r="G64" s="45">
        <f t="shared" si="2"/>
        <v>21</v>
      </c>
      <c r="H64" s="45">
        <f t="shared" si="3"/>
        <v>49</v>
      </c>
      <c r="I64" s="45">
        <f t="shared" si="4"/>
        <v>58</v>
      </c>
      <c r="J64" s="45">
        <f t="shared" si="5"/>
        <v>32</v>
      </c>
      <c r="K64" s="45">
        <f t="shared" si="6"/>
        <v>21</v>
      </c>
      <c r="L64" s="45">
        <f t="shared" si="7"/>
        <v>45</v>
      </c>
      <c r="M64" s="45">
        <f t="shared" si="8"/>
        <v>21</v>
      </c>
      <c r="N64" s="45">
        <f t="shared" si="9"/>
        <v>62</v>
      </c>
      <c r="O64" s="45">
        <f t="shared" si="10"/>
        <v>59</v>
      </c>
      <c r="P64" s="45">
        <f t="shared" si="11"/>
        <v>84</v>
      </c>
      <c r="Q64" s="45">
        <f t="shared" si="12"/>
        <v>84</v>
      </c>
      <c r="R64" s="48"/>
    </row>
    <row r="65" spans="3:18" x14ac:dyDescent="0.2">
      <c r="C65" s="43" t="str">
        <f>VLOOKUP(D65,[4]DBASE!$B$3:$P$923,2,FALSE)</f>
        <v>Grabagan</v>
      </c>
      <c r="D65" s="47">
        <f>[4]jan!C69</f>
        <v>350123005</v>
      </c>
      <c r="E65" s="45">
        <f t="shared" si="0"/>
        <v>67</v>
      </c>
      <c r="F65" s="45">
        <f t="shared" si="1"/>
        <v>42</v>
      </c>
      <c r="G65" s="45">
        <f t="shared" si="2"/>
        <v>45</v>
      </c>
      <c r="H65" s="45">
        <f t="shared" si="3"/>
        <v>139</v>
      </c>
      <c r="I65" s="45">
        <f t="shared" si="4"/>
        <v>46</v>
      </c>
      <c r="J65" s="45">
        <f t="shared" si="5"/>
        <v>26</v>
      </c>
      <c r="K65" s="45">
        <f t="shared" si="6"/>
        <v>21</v>
      </c>
      <c r="L65" s="45">
        <f t="shared" si="7"/>
        <v>72</v>
      </c>
      <c r="M65" s="45">
        <f t="shared" si="8"/>
        <v>70</v>
      </c>
      <c r="N65" s="45">
        <f t="shared" si="9"/>
        <v>79</v>
      </c>
      <c r="O65" s="45">
        <f t="shared" si="10"/>
        <v>43</v>
      </c>
      <c r="P65" s="45">
        <f t="shared" si="11"/>
        <v>66</v>
      </c>
      <c r="Q65" s="45">
        <f t="shared" si="12"/>
        <v>139</v>
      </c>
      <c r="R65" s="48"/>
    </row>
    <row r="66" spans="3:18" x14ac:dyDescent="0.2">
      <c r="C66" s="43" t="str">
        <f>VLOOKUP(D66,[4]DBASE!$B$3:$P$923,2,FALSE)</f>
        <v>Gaplok</v>
      </c>
      <c r="D66" s="47">
        <f>[4]jan!C70</f>
        <v>350123004</v>
      </c>
      <c r="E66" s="45">
        <f t="shared" si="0"/>
        <v>31</v>
      </c>
      <c r="F66" s="45">
        <f t="shared" si="1"/>
        <v>77</v>
      </c>
      <c r="G66" s="45">
        <f t="shared" si="2"/>
        <v>72</v>
      </c>
      <c r="H66" s="45">
        <f t="shared" si="3"/>
        <v>75</v>
      </c>
      <c r="I66" s="45">
        <f t="shared" si="4"/>
        <v>50</v>
      </c>
      <c r="J66" s="45">
        <f t="shared" si="5"/>
        <v>29</v>
      </c>
      <c r="K66" s="45">
        <f t="shared" si="6"/>
        <v>51</v>
      </c>
      <c r="L66" s="45">
        <f t="shared" si="7"/>
        <v>48</v>
      </c>
      <c r="M66" s="45">
        <f t="shared" si="8"/>
        <v>14</v>
      </c>
      <c r="N66" s="45">
        <f t="shared" si="9"/>
        <v>99</v>
      </c>
      <c r="O66" s="45">
        <f t="shared" si="10"/>
        <v>32</v>
      </c>
      <c r="P66" s="45">
        <f t="shared" si="11"/>
        <v>78</v>
      </c>
      <c r="Q66" s="45">
        <f t="shared" si="12"/>
        <v>99</v>
      </c>
      <c r="R66" s="48"/>
    </row>
    <row r="67" spans="3:18" x14ac:dyDescent="0.2">
      <c r="C67" s="43" t="str">
        <f>VLOOKUP(D67,[4]DBASE!$B$3:$P$923,2,FALSE)</f>
        <v>Boropetung</v>
      </c>
      <c r="D67" s="47">
        <f>[4]jan!C71</f>
        <v>350123003</v>
      </c>
      <c r="E67" s="45">
        <f t="shared" si="0"/>
        <v>52</v>
      </c>
      <c r="F67" s="45">
        <f t="shared" si="1"/>
        <v>38</v>
      </c>
      <c r="G67" s="45">
        <f t="shared" si="2"/>
        <v>74</v>
      </c>
      <c r="H67" s="45">
        <f t="shared" si="3"/>
        <v>157</v>
      </c>
      <c r="I67" s="45">
        <f t="shared" si="4"/>
        <v>74</v>
      </c>
      <c r="J67" s="45">
        <f t="shared" si="5"/>
        <v>20</v>
      </c>
      <c r="K67" s="45">
        <f t="shared" si="6"/>
        <v>64</v>
      </c>
      <c r="L67" s="45">
        <f t="shared" si="7"/>
        <v>48</v>
      </c>
      <c r="M67" s="45">
        <f t="shared" si="8"/>
        <v>21</v>
      </c>
      <c r="N67" s="45">
        <f t="shared" si="9"/>
        <v>72</v>
      </c>
      <c r="O67" s="45">
        <f t="shared" si="10"/>
        <v>38</v>
      </c>
      <c r="P67" s="45">
        <f t="shared" si="11"/>
        <v>70</v>
      </c>
      <c r="Q67" s="45">
        <f t="shared" si="12"/>
        <v>157</v>
      </c>
      <c r="R67" s="48"/>
    </row>
    <row r="68" spans="3:18" x14ac:dyDescent="0.2">
      <c r="C68" s="43" t="str">
        <f>VLOOKUP(D68,[4]DBASE!$B$3:$P$923,2,FALSE)</f>
        <v>Belikanget</v>
      </c>
      <c r="D68" s="47">
        <f>[4]jan!C72</f>
        <v>350123002</v>
      </c>
      <c r="E68" s="45">
        <f t="shared" ref="E68:E131" si="13">VLOOKUP($D68,jan,34,FALSE)</f>
        <v>22</v>
      </c>
      <c r="F68" s="45">
        <f t="shared" ref="F68:F131" si="14">VLOOKUP($D68,peb,34,FALSE)</f>
        <v>45</v>
      </c>
      <c r="G68" s="45">
        <f t="shared" ref="G68:G131" si="15">VLOOKUP($D68,mar,34,FALSE)</f>
        <v>46</v>
      </c>
      <c r="H68" s="45">
        <f t="shared" ref="H68:H131" si="16">VLOOKUP($D68,apr,34,FALSE)</f>
        <v>63</v>
      </c>
      <c r="I68" s="45">
        <f t="shared" ref="I68:I131" si="17">VLOOKUP($D68,mei,34,FALSE)</f>
        <v>45</v>
      </c>
      <c r="J68" s="45">
        <f t="shared" ref="J68:J131" si="18">VLOOKUP($D68,jun,34,FALSE)</f>
        <v>20</v>
      </c>
      <c r="K68" s="45">
        <f t="shared" ref="K68:K131" si="19">VLOOKUP($D68,jul,34,FALSE)</f>
        <v>60</v>
      </c>
      <c r="L68" s="45">
        <f t="shared" ref="L68:L131" si="20">VLOOKUP($D68,ags,34,FALSE)</f>
        <v>27</v>
      </c>
      <c r="M68" s="45">
        <f t="shared" ref="M68:M131" si="21">VLOOKUP($D68,sep,34,FALSE)</f>
        <v>0</v>
      </c>
      <c r="N68" s="45">
        <f t="shared" ref="N68:N131" si="22">VLOOKUP($D68,okt,34,FALSE)</f>
        <v>41</v>
      </c>
      <c r="O68" s="45">
        <f t="shared" ref="O68:O131" si="23">VLOOKUP($D68,nop,34,FALSE)</f>
        <v>46</v>
      </c>
      <c r="P68" s="45">
        <f t="shared" ref="P68:P131" si="24">VLOOKUP($D68,des,34,FALSE)</f>
        <v>88</v>
      </c>
      <c r="Q68" s="45">
        <f t="shared" si="12"/>
        <v>88</v>
      </c>
      <c r="R68" s="48"/>
    </row>
    <row r="69" spans="3:18" x14ac:dyDescent="0.2">
      <c r="C69" s="43" t="str">
        <f>VLOOKUP(D69,[4]DBASE!$B$3:$P$923,2,FALSE)</f>
        <v>Sidomukti</v>
      </c>
      <c r="D69" s="47">
        <f>[4]jan!C73</f>
        <v>350123001</v>
      </c>
      <c r="E69" s="45">
        <f t="shared" si="13"/>
        <v>25</v>
      </c>
      <c r="F69" s="45">
        <f t="shared" si="14"/>
        <v>29</v>
      </c>
      <c r="G69" s="45">
        <f t="shared" si="15"/>
        <v>52</v>
      </c>
      <c r="H69" s="45">
        <f t="shared" si="16"/>
        <v>72</v>
      </c>
      <c r="I69" s="45">
        <f t="shared" si="17"/>
        <v>85</v>
      </c>
      <c r="J69" s="45">
        <f t="shared" si="18"/>
        <v>82</v>
      </c>
      <c r="K69" s="45">
        <f t="shared" si="19"/>
        <v>33</v>
      </c>
      <c r="L69" s="45">
        <f t="shared" si="20"/>
        <v>34</v>
      </c>
      <c r="M69" s="45">
        <f t="shared" si="21"/>
        <v>7</v>
      </c>
      <c r="N69" s="45">
        <f t="shared" si="22"/>
        <v>78</v>
      </c>
      <c r="O69" s="45">
        <f t="shared" si="23"/>
        <v>91</v>
      </c>
      <c r="P69" s="45">
        <f t="shared" si="24"/>
        <v>89</v>
      </c>
      <c r="Q69" s="45">
        <f t="shared" ref="Q69:Q132" si="25">MAX(E69:P69)</f>
        <v>91</v>
      </c>
      <c r="R69" s="48"/>
    </row>
    <row r="70" spans="3:18" x14ac:dyDescent="0.2">
      <c r="C70" s="43" t="str">
        <f>VLOOKUP(D70,[4]DBASE!$B$3:$P$923,2,FALSE)</f>
        <v>Sumberejo/malo</v>
      </c>
      <c r="D70" s="47">
        <f>[4]jan!C74</f>
        <v>350122031</v>
      </c>
      <c r="E70" s="45">
        <f t="shared" si="13"/>
        <v>45</v>
      </c>
      <c r="F70" s="45">
        <f t="shared" si="14"/>
        <v>64</v>
      </c>
      <c r="G70" s="45">
        <f t="shared" si="15"/>
        <v>48</v>
      </c>
      <c r="H70" s="45">
        <f t="shared" si="16"/>
        <v>68</v>
      </c>
      <c r="I70" s="45">
        <f t="shared" si="17"/>
        <v>65</v>
      </c>
      <c r="J70" s="45">
        <f t="shared" si="18"/>
        <v>14</v>
      </c>
      <c r="K70" s="45">
        <f t="shared" si="19"/>
        <v>26</v>
      </c>
      <c r="L70" s="45">
        <f t="shared" si="20"/>
        <v>67</v>
      </c>
      <c r="M70" s="45">
        <f t="shared" si="21"/>
        <v>18</v>
      </c>
      <c r="N70" s="45">
        <f t="shared" si="22"/>
        <v>120</v>
      </c>
      <c r="O70" s="45">
        <f t="shared" si="23"/>
        <v>115</v>
      </c>
      <c r="P70" s="45">
        <f t="shared" si="24"/>
        <v>86</v>
      </c>
      <c r="Q70" s="45">
        <f t="shared" si="25"/>
        <v>120</v>
      </c>
      <c r="R70" s="48"/>
    </row>
    <row r="71" spans="3:18" x14ac:dyDescent="0.2">
      <c r="C71" s="43" t="str">
        <f>VLOOKUP(D71,[4]DBASE!$B$3:$P$923,2,FALSE)</f>
        <v>Cancung</v>
      </c>
      <c r="D71" s="47">
        <f>[4]jan!C75</f>
        <v>350122030</v>
      </c>
      <c r="E71" s="45">
        <f t="shared" si="13"/>
        <v>56</v>
      </c>
      <c r="F71" s="45">
        <f t="shared" si="14"/>
        <v>39</v>
      </c>
      <c r="G71" s="45">
        <f t="shared" si="15"/>
        <v>152</v>
      </c>
      <c r="H71" s="45">
        <f t="shared" si="16"/>
        <v>63</v>
      </c>
      <c r="I71" s="45">
        <f t="shared" si="17"/>
        <v>112</v>
      </c>
      <c r="J71" s="45">
        <f t="shared" si="18"/>
        <v>32</v>
      </c>
      <c r="K71" s="45">
        <f t="shared" si="19"/>
        <v>35</v>
      </c>
      <c r="L71" s="45">
        <f t="shared" si="20"/>
        <v>23</v>
      </c>
      <c r="M71" s="45">
        <f t="shared" si="21"/>
        <v>20</v>
      </c>
      <c r="N71" s="45">
        <f t="shared" si="22"/>
        <v>62</v>
      </c>
      <c r="O71" s="45">
        <f t="shared" si="23"/>
        <v>69</v>
      </c>
      <c r="P71" s="45">
        <f t="shared" si="24"/>
        <v>43</v>
      </c>
      <c r="Q71" s="45">
        <f t="shared" si="25"/>
        <v>152</v>
      </c>
      <c r="R71" s="48"/>
    </row>
    <row r="72" spans="3:18" x14ac:dyDescent="0.2">
      <c r="C72" s="43" t="str">
        <f>VLOOKUP(D72,[4]DBASE!$B$3:$P$923,2,FALSE)</f>
        <v>Kali sumber</v>
      </c>
      <c r="D72" s="47">
        <f>[4]jan!C76</f>
        <v>350122029</v>
      </c>
      <c r="E72" s="45">
        <f t="shared" si="13"/>
        <v>71</v>
      </c>
      <c r="F72" s="45">
        <f t="shared" si="14"/>
        <v>70</v>
      </c>
      <c r="G72" s="45">
        <f t="shared" si="15"/>
        <v>58</v>
      </c>
      <c r="H72" s="45">
        <f t="shared" si="16"/>
        <v>52</v>
      </c>
      <c r="I72" s="45">
        <f t="shared" si="17"/>
        <v>39</v>
      </c>
      <c r="J72" s="45">
        <f t="shared" si="18"/>
        <v>67</v>
      </c>
      <c r="K72" s="45">
        <f t="shared" si="19"/>
        <v>31</v>
      </c>
      <c r="L72" s="45">
        <f t="shared" si="20"/>
        <v>45</v>
      </c>
      <c r="M72" s="45">
        <f t="shared" si="21"/>
        <v>34</v>
      </c>
      <c r="N72" s="45">
        <f t="shared" si="22"/>
        <v>91</v>
      </c>
      <c r="O72" s="45">
        <f t="shared" si="23"/>
        <v>50</v>
      </c>
      <c r="P72" s="45">
        <f t="shared" si="24"/>
        <v>39</v>
      </c>
      <c r="Q72" s="45">
        <f t="shared" si="25"/>
        <v>91</v>
      </c>
      <c r="R72" s="48"/>
    </row>
    <row r="73" spans="3:18" x14ac:dyDescent="0.2">
      <c r="C73" s="43" t="str">
        <f>VLOOKUP(D73,[4]DBASE!$B$3:$P$923,2,FALSE)</f>
        <v>Butoh</v>
      </c>
      <c r="D73" s="47">
        <f>[4]jan!C77</f>
        <v>350122028</v>
      </c>
      <c r="E73" s="45">
        <f t="shared" si="13"/>
        <v>50</v>
      </c>
      <c r="F73" s="45">
        <f t="shared" si="14"/>
        <v>40</v>
      </c>
      <c r="G73" s="45">
        <f t="shared" si="15"/>
        <v>60</v>
      </c>
      <c r="H73" s="45">
        <f t="shared" si="16"/>
        <v>37</v>
      </c>
      <c r="I73" s="45">
        <f t="shared" si="17"/>
        <v>72</v>
      </c>
      <c r="J73" s="45">
        <f t="shared" si="18"/>
        <v>40</v>
      </c>
      <c r="K73" s="45">
        <f t="shared" si="19"/>
        <v>8</v>
      </c>
      <c r="L73" s="45">
        <f t="shared" si="20"/>
        <v>32</v>
      </c>
      <c r="M73" s="45">
        <f t="shared" si="21"/>
        <v>21</v>
      </c>
      <c r="N73" s="45">
        <f t="shared" si="22"/>
        <v>86</v>
      </c>
      <c r="O73" s="45">
        <f t="shared" si="23"/>
        <v>115</v>
      </c>
      <c r="P73" s="45">
        <f t="shared" si="24"/>
        <v>70</v>
      </c>
      <c r="Q73" s="45">
        <f t="shared" si="25"/>
        <v>115</v>
      </c>
      <c r="R73" s="48"/>
    </row>
    <row r="74" spans="3:18" x14ac:dyDescent="0.2">
      <c r="C74" s="43" t="str">
        <f>VLOOKUP(D74,[4]DBASE!$B$3:$P$923,2,FALSE)</f>
        <v>Kalitidu</v>
      </c>
      <c r="D74" s="47">
        <f>[4]jan!C78</f>
        <v>350122027</v>
      </c>
      <c r="E74" s="45">
        <f t="shared" si="13"/>
        <v>39</v>
      </c>
      <c r="F74" s="45">
        <f t="shared" si="14"/>
        <v>50.5</v>
      </c>
      <c r="G74" s="45">
        <f t="shared" si="15"/>
        <v>71</v>
      </c>
      <c r="H74" s="45">
        <f t="shared" si="16"/>
        <v>90</v>
      </c>
      <c r="I74" s="45">
        <f t="shared" si="17"/>
        <v>61</v>
      </c>
      <c r="J74" s="45">
        <f t="shared" si="18"/>
        <v>27</v>
      </c>
      <c r="K74" s="45">
        <f t="shared" si="19"/>
        <v>61</v>
      </c>
      <c r="L74" s="45">
        <f t="shared" si="20"/>
        <v>77</v>
      </c>
      <c r="M74" s="45">
        <f t="shared" si="21"/>
        <v>9</v>
      </c>
      <c r="N74" s="45">
        <f t="shared" si="22"/>
        <v>65</v>
      </c>
      <c r="O74" s="45">
        <f t="shared" si="23"/>
        <v>99</v>
      </c>
      <c r="P74" s="45">
        <f t="shared" si="24"/>
        <v>71</v>
      </c>
      <c r="Q74" s="45">
        <f t="shared" si="25"/>
        <v>99</v>
      </c>
      <c r="R74" s="48"/>
    </row>
    <row r="75" spans="3:18" x14ac:dyDescent="0.2">
      <c r="C75" s="43" t="str">
        <f>VLOOKUP(D75,[4]DBASE!$B$3:$P$923,2,FALSE)</f>
        <v>Pajeng</v>
      </c>
      <c r="D75" s="47">
        <f>[4]jan!C79</f>
        <v>350122026</v>
      </c>
      <c r="E75" s="45">
        <f t="shared" si="13"/>
        <v>84.5</v>
      </c>
      <c r="F75" s="45">
        <f t="shared" si="14"/>
        <v>43</v>
      </c>
      <c r="G75" s="45">
        <f t="shared" si="15"/>
        <v>88.5</v>
      </c>
      <c r="H75" s="45">
        <f t="shared" si="16"/>
        <v>118</v>
      </c>
      <c r="I75" s="45">
        <f t="shared" si="17"/>
        <v>58</v>
      </c>
      <c r="J75" s="45">
        <f t="shared" si="18"/>
        <v>56</v>
      </c>
      <c r="K75" s="45">
        <f t="shared" si="19"/>
        <v>6.5</v>
      </c>
      <c r="L75" s="45">
        <f t="shared" si="20"/>
        <v>27.5</v>
      </c>
      <c r="M75" s="45">
        <f t="shared" si="21"/>
        <v>82.5</v>
      </c>
      <c r="N75" s="45">
        <f t="shared" si="22"/>
        <v>67</v>
      </c>
      <c r="O75" s="45">
        <f t="shared" si="23"/>
        <v>73.5</v>
      </c>
      <c r="P75" s="45">
        <f t="shared" si="24"/>
        <v>38</v>
      </c>
      <c r="Q75" s="45">
        <f t="shared" si="25"/>
        <v>118</v>
      </c>
      <c r="R75" s="48"/>
    </row>
    <row r="76" spans="3:18" x14ac:dyDescent="0.2">
      <c r="C76" s="43" t="str">
        <f>VLOOKUP(D76,[4]DBASE!$B$3:$P$923,2,FALSE)</f>
        <v>Ngraho</v>
      </c>
      <c r="D76" s="47">
        <f>[4]jan!C80</f>
        <v>350122025</v>
      </c>
      <c r="E76" s="45">
        <f t="shared" si="13"/>
        <v>41</v>
      </c>
      <c r="F76" s="45">
        <f t="shared" si="14"/>
        <v>42</v>
      </c>
      <c r="G76" s="45">
        <f t="shared" si="15"/>
        <v>42</v>
      </c>
      <c r="H76" s="45">
        <f t="shared" si="16"/>
        <v>85</v>
      </c>
      <c r="I76" s="45">
        <f t="shared" si="17"/>
        <v>37</v>
      </c>
      <c r="J76" s="45">
        <f t="shared" si="18"/>
        <v>49</v>
      </c>
      <c r="K76" s="45">
        <f t="shared" si="19"/>
        <v>32</v>
      </c>
      <c r="L76" s="45">
        <f t="shared" si="20"/>
        <v>48</v>
      </c>
      <c r="M76" s="45">
        <f t="shared" si="21"/>
        <v>18</v>
      </c>
      <c r="N76" s="45">
        <f t="shared" si="22"/>
        <v>94</v>
      </c>
      <c r="O76" s="45">
        <f t="shared" si="23"/>
        <v>112</v>
      </c>
      <c r="P76" s="45">
        <f t="shared" si="24"/>
        <v>45</v>
      </c>
      <c r="Q76" s="45">
        <f t="shared" si="25"/>
        <v>112</v>
      </c>
      <c r="R76" s="48"/>
    </row>
    <row r="77" spans="3:18" x14ac:dyDescent="0.2">
      <c r="C77" s="43" t="str">
        <f>VLOOKUP(D77,[4]DBASE!$B$3:$P$923,2,FALSE)</f>
        <v>Wonocolo</v>
      </c>
      <c r="D77" s="47">
        <f>[4]jan!C81</f>
        <v>350122024</v>
      </c>
      <c r="E77" s="45">
        <f t="shared" si="13"/>
        <v>48</v>
      </c>
      <c r="F77" s="45">
        <f t="shared" si="14"/>
        <v>61</v>
      </c>
      <c r="G77" s="45">
        <f t="shared" si="15"/>
        <v>58</v>
      </c>
      <c r="H77" s="45">
        <f t="shared" si="16"/>
        <v>53</v>
      </c>
      <c r="I77" s="45">
        <f t="shared" si="17"/>
        <v>40</v>
      </c>
      <c r="J77" s="45">
        <f t="shared" si="18"/>
        <v>38</v>
      </c>
      <c r="K77" s="45">
        <f t="shared" si="19"/>
        <v>24</v>
      </c>
      <c r="L77" s="45">
        <f t="shared" si="20"/>
        <v>123</v>
      </c>
      <c r="M77" s="45">
        <f t="shared" si="21"/>
        <v>28</v>
      </c>
      <c r="N77" s="45">
        <f t="shared" si="22"/>
        <v>94</v>
      </c>
      <c r="O77" s="45">
        <f t="shared" si="23"/>
        <v>144</v>
      </c>
      <c r="P77" s="45">
        <f t="shared" si="24"/>
        <v>35</v>
      </c>
      <c r="Q77" s="45">
        <f t="shared" si="25"/>
        <v>144</v>
      </c>
      <c r="R77" s="48"/>
    </row>
    <row r="78" spans="3:18" x14ac:dyDescent="0.2">
      <c r="C78" s="43" t="str">
        <f>VLOOKUP(D78,[4]DBASE!$B$3:$P$923,2,FALSE)</f>
        <v>Tretes/pacal</v>
      </c>
      <c r="D78" s="47">
        <f>[4]jan!C82</f>
        <v>350122023</v>
      </c>
      <c r="E78" s="45">
        <f t="shared" si="13"/>
        <v>72</v>
      </c>
      <c r="F78" s="45">
        <f t="shared" si="14"/>
        <v>61</v>
      </c>
      <c r="G78" s="45">
        <f t="shared" si="15"/>
        <v>44.5</v>
      </c>
      <c r="H78" s="45">
        <f t="shared" si="16"/>
        <v>62</v>
      </c>
      <c r="I78" s="45">
        <f t="shared" si="17"/>
        <v>84</v>
      </c>
      <c r="J78" s="45">
        <f t="shared" si="18"/>
        <v>61.5</v>
      </c>
      <c r="K78" s="45">
        <f t="shared" si="19"/>
        <v>25</v>
      </c>
      <c r="L78" s="45">
        <f t="shared" si="20"/>
        <v>11</v>
      </c>
      <c r="M78" s="45">
        <f t="shared" si="21"/>
        <v>18</v>
      </c>
      <c r="N78" s="45">
        <f t="shared" si="22"/>
        <v>45.5</v>
      </c>
      <c r="O78" s="45">
        <f t="shared" si="23"/>
        <v>95</v>
      </c>
      <c r="P78" s="45">
        <f t="shared" si="24"/>
        <v>25</v>
      </c>
      <c r="Q78" s="45">
        <f t="shared" si="25"/>
        <v>95</v>
      </c>
      <c r="R78" s="48"/>
    </row>
    <row r="79" spans="3:18" x14ac:dyDescent="0.2">
      <c r="C79" s="43" t="str">
        <f>VLOOKUP(D79,[4]DBASE!$B$3:$P$923,2,FALSE)</f>
        <v>Sumberejo</v>
      </c>
      <c r="D79" s="47">
        <f>[4]jan!C83</f>
        <v>350122022</v>
      </c>
      <c r="E79" s="45">
        <f t="shared" si="13"/>
        <v>42</v>
      </c>
      <c r="F79" s="45">
        <f t="shared" si="14"/>
        <v>37</v>
      </c>
      <c r="G79" s="45">
        <f t="shared" si="15"/>
        <v>72</v>
      </c>
      <c r="H79" s="45">
        <f t="shared" si="16"/>
        <v>49</v>
      </c>
      <c r="I79" s="45">
        <f t="shared" si="17"/>
        <v>39</v>
      </c>
      <c r="J79" s="45">
        <f t="shared" si="18"/>
        <v>38</v>
      </c>
      <c r="K79" s="45">
        <f t="shared" si="19"/>
        <v>19</v>
      </c>
      <c r="L79" s="45">
        <f t="shared" si="20"/>
        <v>52</v>
      </c>
      <c r="M79" s="45">
        <f t="shared" si="21"/>
        <v>35</v>
      </c>
      <c r="N79" s="45">
        <f t="shared" si="22"/>
        <v>36</v>
      </c>
      <c r="O79" s="45">
        <f t="shared" si="23"/>
        <v>67</v>
      </c>
      <c r="P79" s="45">
        <f t="shared" si="24"/>
        <v>27</v>
      </c>
      <c r="Q79" s="45">
        <f t="shared" si="25"/>
        <v>72</v>
      </c>
      <c r="R79" s="48"/>
    </row>
    <row r="80" spans="3:18" x14ac:dyDescent="0.2">
      <c r="C80" s="43" t="str">
        <f>VLOOKUP(D80,[4]DBASE!$B$3:$P$923,2,FALSE)</f>
        <v>Sukun</v>
      </c>
      <c r="D80" s="47">
        <f>[4]jan!C84</f>
        <v>350122021</v>
      </c>
      <c r="E80" s="45">
        <f t="shared" si="13"/>
        <v>64</v>
      </c>
      <c r="F80" s="45">
        <f t="shared" si="14"/>
        <v>76</v>
      </c>
      <c r="G80" s="45">
        <f t="shared" si="15"/>
        <v>96</v>
      </c>
      <c r="H80" s="45">
        <f t="shared" si="16"/>
        <v>65</v>
      </c>
      <c r="I80" s="45">
        <f t="shared" si="17"/>
        <v>62</v>
      </c>
      <c r="J80" s="45">
        <f t="shared" si="18"/>
        <v>51</v>
      </c>
      <c r="K80" s="45">
        <f t="shared" si="19"/>
        <v>14.5</v>
      </c>
      <c r="L80" s="45">
        <f t="shared" si="20"/>
        <v>82</v>
      </c>
      <c r="M80" s="45">
        <f t="shared" si="21"/>
        <v>42.5</v>
      </c>
      <c r="N80" s="45">
        <f t="shared" si="22"/>
        <v>64</v>
      </c>
      <c r="O80" s="45">
        <f t="shared" si="23"/>
        <v>111</v>
      </c>
      <c r="P80" s="45">
        <f t="shared" si="24"/>
        <v>46</v>
      </c>
      <c r="Q80" s="45">
        <f t="shared" si="25"/>
        <v>111</v>
      </c>
      <c r="R80" s="48"/>
    </row>
    <row r="81" spans="3:18" x14ac:dyDescent="0.2">
      <c r="C81" s="43" t="str">
        <f>VLOOKUP(D81,[4]DBASE!$B$3:$P$923,2,FALSE)</f>
        <v>Sugihan</v>
      </c>
      <c r="D81" s="47">
        <f>[4]jan!C85</f>
        <v>350122020</v>
      </c>
      <c r="E81" s="45">
        <f t="shared" si="13"/>
        <v>59</v>
      </c>
      <c r="F81" s="45">
        <f t="shared" si="14"/>
        <v>97</v>
      </c>
      <c r="G81" s="45">
        <f t="shared" si="15"/>
        <v>57</v>
      </c>
      <c r="H81" s="45">
        <f t="shared" si="16"/>
        <v>38</v>
      </c>
      <c r="I81" s="45">
        <f t="shared" si="17"/>
        <v>68</v>
      </c>
      <c r="J81" s="45">
        <f t="shared" si="18"/>
        <v>31</v>
      </c>
      <c r="K81" s="45">
        <f t="shared" si="19"/>
        <v>16</v>
      </c>
      <c r="L81" s="45">
        <f t="shared" si="20"/>
        <v>41</v>
      </c>
      <c r="M81" s="45">
        <f t="shared" si="21"/>
        <v>51</v>
      </c>
      <c r="N81" s="45">
        <f t="shared" si="22"/>
        <v>58</v>
      </c>
      <c r="O81" s="45">
        <f t="shared" si="23"/>
        <v>81</v>
      </c>
      <c r="P81" s="45">
        <f t="shared" si="24"/>
        <v>22</v>
      </c>
      <c r="Q81" s="45">
        <f t="shared" si="25"/>
        <v>97</v>
      </c>
      <c r="R81" s="48"/>
    </row>
    <row r="82" spans="3:18" x14ac:dyDescent="0.2">
      <c r="C82" s="43" t="str">
        <f>VLOOKUP(D82,[4]DBASE!$B$3:$P$923,2,FALSE)</f>
        <v>Setren</v>
      </c>
      <c r="D82" s="47">
        <f>[4]jan!C86</f>
        <v>350122019</v>
      </c>
      <c r="E82" s="45">
        <f t="shared" si="13"/>
        <v>34</v>
      </c>
      <c r="F82" s="45">
        <f t="shared" si="14"/>
        <v>48</v>
      </c>
      <c r="G82" s="45">
        <f t="shared" si="15"/>
        <v>62</v>
      </c>
      <c r="H82" s="45">
        <f t="shared" si="16"/>
        <v>46</v>
      </c>
      <c r="I82" s="45">
        <f t="shared" si="17"/>
        <v>47</v>
      </c>
      <c r="J82" s="45">
        <f t="shared" si="18"/>
        <v>62</v>
      </c>
      <c r="K82" s="45">
        <f t="shared" si="19"/>
        <v>17.5</v>
      </c>
      <c r="L82" s="45">
        <f t="shared" si="20"/>
        <v>65</v>
      </c>
      <c r="M82" s="45">
        <f t="shared" si="21"/>
        <v>12</v>
      </c>
      <c r="N82" s="45">
        <f t="shared" si="22"/>
        <v>54</v>
      </c>
      <c r="O82" s="45">
        <f t="shared" si="23"/>
        <v>67</v>
      </c>
      <c r="P82" s="45">
        <f t="shared" si="24"/>
        <v>60</v>
      </c>
      <c r="Q82" s="45">
        <f t="shared" si="25"/>
        <v>67</v>
      </c>
      <c r="R82" s="48"/>
    </row>
    <row r="83" spans="3:18" x14ac:dyDescent="0.2">
      <c r="C83" s="43" t="str">
        <f>VLOOKUP(D83,[4]DBASE!$B$3:$P$923,2,FALSE)</f>
        <v>Panjang</v>
      </c>
      <c r="D83" s="47">
        <f>[4]jan!C87</f>
        <v>350122018</v>
      </c>
      <c r="E83" s="45">
        <f t="shared" si="13"/>
        <v>72</v>
      </c>
      <c r="F83" s="45">
        <f t="shared" si="14"/>
        <v>65</v>
      </c>
      <c r="G83" s="45">
        <f t="shared" si="15"/>
        <v>132</v>
      </c>
      <c r="H83" s="45">
        <f t="shared" si="16"/>
        <v>40</v>
      </c>
      <c r="I83" s="45">
        <f t="shared" si="17"/>
        <v>36</v>
      </c>
      <c r="J83" s="45">
        <f t="shared" si="18"/>
        <v>28</v>
      </c>
      <c r="K83" s="45">
        <f t="shared" si="19"/>
        <v>14</v>
      </c>
      <c r="L83" s="45">
        <f t="shared" si="20"/>
        <v>52</v>
      </c>
      <c r="M83" s="45">
        <f t="shared" si="21"/>
        <v>67</v>
      </c>
      <c r="N83" s="45">
        <f t="shared" si="22"/>
        <v>57</v>
      </c>
      <c r="O83" s="45">
        <f t="shared" si="23"/>
        <v>69</v>
      </c>
      <c r="P83" s="45">
        <f t="shared" si="24"/>
        <v>43</v>
      </c>
      <c r="Q83" s="45">
        <f t="shared" si="25"/>
        <v>132</v>
      </c>
      <c r="R83" s="48"/>
    </row>
    <row r="84" spans="3:18" x14ac:dyDescent="0.2">
      <c r="C84" s="43" t="str">
        <f>VLOOKUP(D84,[4]DBASE!$B$3:$P$923,2,FALSE)</f>
        <v>Deling</v>
      </c>
      <c r="D84" s="47">
        <f>[4]jan!C88</f>
        <v>350122017</v>
      </c>
      <c r="E84" s="45">
        <f t="shared" si="13"/>
        <v>125</v>
      </c>
      <c r="F84" s="45">
        <f t="shared" si="14"/>
        <v>107</v>
      </c>
      <c r="G84" s="45">
        <f t="shared" si="15"/>
        <v>91</v>
      </c>
      <c r="H84" s="45">
        <f t="shared" si="16"/>
        <v>97</v>
      </c>
      <c r="I84" s="45">
        <f t="shared" si="17"/>
        <v>69</v>
      </c>
      <c r="J84" s="45">
        <f t="shared" si="18"/>
        <v>30</v>
      </c>
      <c r="K84" s="45">
        <f t="shared" si="19"/>
        <v>74</v>
      </c>
      <c r="L84" s="45">
        <f t="shared" si="20"/>
        <v>70</v>
      </c>
      <c r="M84" s="45">
        <f t="shared" si="21"/>
        <v>26</v>
      </c>
      <c r="N84" s="45">
        <f t="shared" si="22"/>
        <v>101</v>
      </c>
      <c r="O84" s="45">
        <f t="shared" si="23"/>
        <v>137</v>
      </c>
      <c r="P84" s="45">
        <f t="shared" si="24"/>
        <v>108</v>
      </c>
      <c r="Q84" s="45">
        <f t="shared" si="25"/>
        <v>137</v>
      </c>
      <c r="R84" s="48"/>
    </row>
    <row r="85" spans="3:18" x14ac:dyDescent="0.2">
      <c r="C85" s="43" t="str">
        <f>VLOOKUP(D85,[4]DBASE!$B$3:$P$923,2,FALSE)</f>
        <v>Mekuris</v>
      </c>
      <c r="D85" s="47">
        <f>[4]jan!C89</f>
        <v>350122016</v>
      </c>
      <c r="E85" s="45">
        <f t="shared" si="13"/>
        <v>54</v>
      </c>
      <c r="F85" s="45">
        <f t="shared" si="14"/>
        <v>51</v>
      </c>
      <c r="G85" s="45">
        <f t="shared" si="15"/>
        <v>90</v>
      </c>
      <c r="H85" s="45">
        <f t="shared" si="16"/>
        <v>38</v>
      </c>
      <c r="I85" s="45">
        <f t="shared" si="17"/>
        <v>34</v>
      </c>
      <c r="J85" s="45">
        <f t="shared" si="18"/>
        <v>32</v>
      </c>
      <c r="K85" s="45">
        <f t="shared" si="19"/>
        <v>45</v>
      </c>
      <c r="L85" s="45">
        <f t="shared" si="20"/>
        <v>72</v>
      </c>
      <c r="M85" s="45">
        <f t="shared" si="21"/>
        <v>32</v>
      </c>
      <c r="N85" s="45">
        <f t="shared" si="22"/>
        <v>74</v>
      </c>
      <c r="O85" s="45">
        <f t="shared" si="23"/>
        <v>51</v>
      </c>
      <c r="P85" s="45">
        <f t="shared" si="24"/>
        <v>38</v>
      </c>
      <c r="Q85" s="45">
        <f t="shared" si="25"/>
        <v>90</v>
      </c>
      <c r="R85" s="48"/>
    </row>
    <row r="86" spans="3:18" x14ac:dyDescent="0.2">
      <c r="C86" s="43" t="str">
        <f>VLOOKUP(D86,[4]DBASE!$B$3:$P$923,2,FALSE)</f>
        <v>Leran</v>
      </c>
      <c r="D86" s="47">
        <f>[4]jan!C90</f>
        <v>350122015</v>
      </c>
      <c r="E86" s="45">
        <f t="shared" si="13"/>
        <v>31</v>
      </c>
      <c r="F86" s="45">
        <f t="shared" si="14"/>
        <v>67</v>
      </c>
      <c r="G86" s="45">
        <f t="shared" si="15"/>
        <v>61</v>
      </c>
      <c r="H86" s="45">
        <f t="shared" si="16"/>
        <v>39</v>
      </c>
      <c r="I86" s="45">
        <f t="shared" si="17"/>
        <v>74</v>
      </c>
      <c r="J86" s="45">
        <f t="shared" si="18"/>
        <v>30</v>
      </c>
      <c r="K86" s="45">
        <f t="shared" si="19"/>
        <v>19</v>
      </c>
      <c r="L86" s="45">
        <f t="shared" si="20"/>
        <v>89</v>
      </c>
      <c r="M86" s="45">
        <f t="shared" si="21"/>
        <v>27</v>
      </c>
      <c r="N86" s="45">
        <f t="shared" si="22"/>
        <v>64</v>
      </c>
      <c r="O86" s="45">
        <f t="shared" si="23"/>
        <v>96</v>
      </c>
      <c r="P86" s="45">
        <f t="shared" si="24"/>
        <v>39</v>
      </c>
      <c r="Q86" s="45">
        <f t="shared" si="25"/>
        <v>96</v>
      </c>
      <c r="R86" s="48"/>
    </row>
    <row r="87" spans="3:18" x14ac:dyDescent="0.2">
      <c r="C87" s="43" t="str">
        <f>VLOOKUP(D87,[4]DBASE!$B$3:$P$923,2,FALSE)</f>
        <v>Klepek</v>
      </c>
      <c r="D87" s="47">
        <f>[4]jan!C91</f>
        <v>350122014</v>
      </c>
      <c r="E87" s="45">
        <f t="shared" si="13"/>
        <v>56</v>
      </c>
      <c r="F87" s="45">
        <f t="shared" si="14"/>
        <v>62</v>
      </c>
      <c r="G87" s="45">
        <f t="shared" si="15"/>
        <v>60</v>
      </c>
      <c r="H87" s="45">
        <f t="shared" si="16"/>
        <v>65</v>
      </c>
      <c r="I87" s="45">
        <f t="shared" si="17"/>
        <v>35</v>
      </c>
      <c r="J87" s="45">
        <f t="shared" si="18"/>
        <v>30</v>
      </c>
      <c r="K87" s="45">
        <f t="shared" si="19"/>
        <v>21</v>
      </c>
      <c r="L87" s="45">
        <f t="shared" si="20"/>
        <v>60</v>
      </c>
      <c r="M87" s="45">
        <f t="shared" si="21"/>
        <v>70</v>
      </c>
      <c r="N87" s="45">
        <f t="shared" si="22"/>
        <v>76</v>
      </c>
      <c r="O87" s="45">
        <f t="shared" si="23"/>
        <v>43</v>
      </c>
      <c r="P87" s="45">
        <f t="shared" si="24"/>
        <v>22</v>
      </c>
      <c r="Q87" s="45">
        <f t="shared" si="25"/>
        <v>76</v>
      </c>
      <c r="R87" s="48"/>
    </row>
    <row r="88" spans="3:18" x14ac:dyDescent="0.2">
      <c r="C88" s="43" t="str">
        <f>VLOOKUP(D88,[4]DBASE!$B$3:$P$923,2,FALSE)</f>
        <v>Kerjo</v>
      </c>
      <c r="D88" s="47">
        <f>[4]jan!C92</f>
        <v>350122013</v>
      </c>
      <c r="E88" s="45">
        <f t="shared" si="13"/>
        <v>34</v>
      </c>
      <c r="F88" s="45">
        <f t="shared" si="14"/>
        <v>55</v>
      </c>
      <c r="G88" s="45">
        <f t="shared" si="15"/>
        <v>68</v>
      </c>
      <c r="H88" s="45">
        <f t="shared" si="16"/>
        <v>86</v>
      </c>
      <c r="I88" s="45">
        <f t="shared" si="17"/>
        <v>46</v>
      </c>
      <c r="J88" s="45">
        <f t="shared" si="18"/>
        <v>21</v>
      </c>
      <c r="K88" s="45">
        <f t="shared" si="19"/>
        <v>44</v>
      </c>
      <c r="L88" s="45">
        <f t="shared" si="20"/>
        <v>92</v>
      </c>
      <c r="M88" s="45">
        <f t="shared" si="21"/>
        <v>46</v>
      </c>
      <c r="N88" s="45">
        <f t="shared" si="22"/>
        <v>86</v>
      </c>
      <c r="O88" s="45">
        <f t="shared" si="23"/>
        <v>87</v>
      </c>
      <c r="P88" s="45">
        <f t="shared" si="24"/>
        <v>36</v>
      </c>
      <c r="Q88" s="45">
        <f t="shared" si="25"/>
        <v>92</v>
      </c>
      <c r="R88" s="48"/>
    </row>
    <row r="89" spans="3:18" x14ac:dyDescent="0.2">
      <c r="C89" s="43" t="str">
        <f>VLOOKUP(D89,[4]DBASE!$B$3:$P$923,2,FALSE)</f>
        <v>Kendung</v>
      </c>
      <c r="D89" s="47">
        <f>[4]jan!C93</f>
        <v>350122012</v>
      </c>
      <c r="E89" s="45">
        <f t="shared" si="13"/>
        <v>85</v>
      </c>
      <c r="F89" s="45">
        <f t="shared" si="14"/>
        <v>26</v>
      </c>
      <c r="G89" s="45">
        <f t="shared" si="15"/>
        <v>51</v>
      </c>
      <c r="H89" s="45">
        <f t="shared" si="16"/>
        <v>84</v>
      </c>
      <c r="I89" s="45">
        <f t="shared" si="17"/>
        <v>59</v>
      </c>
      <c r="J89" s="45">
        <f t="shared" si="18"/>
        <v>47</v>
      </c>
      <c r="K89" s="45">
        <f t="shared" si="19"/>
        <v>84</v>
      </c>
      <c r="L89" s="45">
        <f t="shared" si="20"/>
        <v>110</v>
      </c>
      <c r="M89" s="45">
        <f t="shared" si="21"/>
        <v>25</v>
      </c>
      <c r="N89" s="45">
        <f t="shared" si="22"/>
        <v>55</v>
      </c>
      <c r="O89" s="45">
        <f t="shared" si="23"/>
        <v>125</v>
      </c>
      <c r="P89" s="45">
        <f t="shared" si="24"/>
        <v>50</v>
      </c>
      <c r="Q89" s="45">
        <f t="shared" si="25"/>
        <v>125</v>
      </c>
      <c r="R89" s="48"/>
    </row>
    <row r="90" spans="3:18" x14ac:dyDescent="0.2">
      <c r="C90" s="43" t="str">
        <f>VLOOKUP(D90,[4]DBASE!$B$3:$P$923,2,FALSE)</f>
        <v>Karangnongko</v>
      </c>
      <c r="D90" s="47">
        <f>[4]jan!C94</f>
        <v>350122011</v>
      </c>
      <c r="E90" s="45">
        <f t="shared" si="13"/>
        <v>82.5</v>
      </c>
      <c r="F90" s="45">
        <f t="shared" si="14"/>
        <v>20</v>
      </c>
      <c r="G90" s="45">
        <f t="shared" si="15"/>
        <v>32</v>
      </c>
      <c r="H90" s="45">
        <f t="shared" si="16"/>
        <v>93</v>
      </c>
      <c r="I90" s="45">
        <f t="shared" si="17"/>
        <v>46</v>
      </c>
      <c r="J90" s="45">
        <f t="shared" si="18"/>
        <v>56</v>
      </c>
      <c r="K90" s="45">
        <f t="shared" si="19"/>
        <v>33</v>
      </c>
      <c r="L90" s="45">
        <f t="shared" si="20"/>
        <v>50</v>
      </c>
      <c r="M90" s="45">
        <f t="shared" si="21"/>
        <v>37</v>
      </c>
      <c r="N90" s="45">
        <f t="shared" si="22"/>
        <v>111</v>
      </c>
      <c r="O90" s="45">
        <f t="shared" si="23"/>
        <v>151</v>
      </c>
      <c r="P90" s="45">
        <f t="shared" si="24"/>
        <v>66</v>
      </c>
      <c r="Q90" s="45">
        <f t="shared" si="25"/>
        <v>151</v>
      </c>
      <c r="R90" s="48"/>
    </row>
    <row r="91" spans="3:18" x14ac:dyDescent="0.2">
      <c r="C91" s="43" t="str">
        <f>VLOOKUP(D91,[4]DBASE!$B$3:$P$923,2,FALSE)</f>
        <v>Kapas</v>
      </c>
      <c r="D91" s="47">
        <f>[4]jan!C95</f>
        <v>350122010</v>
      </c>
      <c r="E91" s="45">
        <f t="shared" si="13"/>
        <v>31</v>
      </c>
      <c r="F91" s="45">
        <f t="shared" si="14"/>
        <v>46</v>
      </c>
      <c r="G91" s="45">
        <f t="shared" si="15"/>
        <v>51</v>
      </c>
      <c r="H91" s="45">
        <f t="shared" si="16"/>
        <v>49</v>
      </c>
      <c r="I91" s="45">
        <f t="shared" si="17"/>
        <v>54</v>
      </c>
      <c r="J91" s="45">
        <f t="shared" si="18"/>
        <v>40</v>
      </c>
      <c r="K91" s="45">
        <f t="shared" si="19"/>
        <v>18</v>
      </c>
      <c r="L91" s="45">
        <f t="shared" si="20"/>
        <v>121</v>
      </c>
      <c r="M91" s="45">
        <f t="shared" si="21"/>
        <v>32</v>
      </c>
      <c r="N91" s="45">
        <f t="shared" si="22"/>
        <v>89</v>
      </c>
      <c r="O91" s="45">
        <f t="shared" si="23"/>
        <v>93</v>
      </c>
      <c r="P91" s="45">
        <f t="shared" si="24"/>
        <v>40</v>
      </c>
      <c r="Q91" s="45">
        <f t="shared" si="25"/>
        <v>121</v>
      </c>
      <c r="R91" s="48"/>
    </row>
    <row r="92" spans="3:18" x14ac:dyDescent="0.2">
      <c r="C92" s="43" t="str">
        <f>VLOOKUP(D92,[4]DBASE!$B$3:$P$923,2,FALSE)</f>
        <v>Kanor</v>
      </c>
      <c r="D92" s="47">
        <f>[4]jan!C96</f>
        <v>350122009</v>
      </c>
      <c r="E92" s="45">
        <f t="shared" si="13"/>
        <v>53</v>
      </c>
      <c r="F92" s="45">
        <f t="shared" si="14"/>
        <v>31</v>
      </c>
      <c r="G92" s="45">
        <f t="shared" si="15"/>
        <v>38</v>
      </c>
      <c r="H92" s="45">
        <f t="shared" si="16"/>
        <v>79</v>
      </c>
      <c r="I92" s="45">
        <f t="shared" si="17"/>
        <v>10</v>
      </c>
      <c r="J92" s="45">
        <f t="shared" si="18"/>
        <v>38</v>
      </c>
      <c r="K92" s="45">
        <f t="shared" si="19"/>
        <v>69</v>
      </c>
      <c r="L92" s="45">
        <f t="shared" si="20"/>
        <v>85</v>
      </c>
      <c r="M92" s="45">
        <f t="shared" si="21"/>
        <v>37</v>
      </c>
      <c r="N92" s="45">
        <f t="shared" si="22"/>
        <v>65</v>
      </c>
      <c r="O92" s="45">
        <f t="shared" si="23"/>
        <v>66</v>
      </c>
      <c r="P92" s="45">
        <f t="shared" si="24"/>
        <v>47</v>
      </c>
      <c r="Q92" s="45">
        <f t="shared" si="25"/>
        <v>85</v>
      </c>
      <c r="R92" s="48"/>
    </row>
    <row r="93" spans="3:18" x14ac:dyDescent="0.2">
      <c r="C93" s="43" t="str">
        <f>VLOOKUP(D93,[4]DBASE!$B$3:$P$923,2,FALSE)</f>
        <v>Jatiblimbing</v>
      </c>
      <c r="D93" s="47">
        <f>[4]jan!C97</f>
        <v>350122008</v>
      </c>
      <c r="E93" s="45">
        <f t="shared" si="13"/>
        <v>64</v>
      </c>
      <c r="F93" s="45">
        <f t="shared" si="14"/>
        <v>71</v>
      </c>
      <c r="G93" s="45">
        <f t="shared" si="15"/>
        <v>73</v>
      </c>
      <c r="H93" s="45">
        <f t="shared" si="16"/>
        <v>57.5</v>
      </c>
      <c r="I93" s="45">
        <f t="shared" si="17"/>
        <v>42</v>
      </c>
      <c r="J93" s="45">
        <f t="shared" si="18"/>
        <v>14</v>
      </c>
      <c r="K93" s="45">
        <f t="shared" si="19"/>
        <v>49</v>
      </c>
      <c r="L93" s="45">
        <f t="shared" si="20"/>
        <v>28</v>
      </c>
      <c r="M93" s="45">
        <f t="shared" si="21"/>
        <v>62</v>
      </c>
      <c r="N93" s="45">
        <f t="shared" si="22"/>
        <v>62</v>
      </c>
      <c r="O93" s="45">
        <f t="shared" si="23"/>
        <v>83</v>
      </c>
      <c r="P93" s="45">
        <f t="shared" si="24"/>
        <v>20</v>
      </c>
      <c r="Q93" s="45">
        <f t="shared" si="25"/>
        <v>83</v>
      </c>
      <c r="R93" s="48"/>
    </row>
    <row r="94" spans="3:18" x14ac:dyDescent="0.2">
      <c r="C94" s="43" t="str">
        <f>VLOOKUP(D94,[4]DBASE!$B$3:$P$923,2,FALSE)</f>
        <v>Gondang BJNG</v>
      </c>
      <c r="D94" s="47">
        <f>[4]jan!C98</f>
        <v>350122007</v>
      </c>
      <c r="E94" s="45">
        <f t="shared" si="13"/>
        <v>23</v>
      </c>
      <c r="F94" s="45">
        <f t="shared" si="14"/>
        <v>90</v>
      </c>
      <c r="G94" s="45">
        <f t="shared" si="15"/>
        <v>77</v>
      </c>
      <c r="H94" s="45">
        <f t="shared" si="16"/>
        <v>82</v>
      </c>
      <c r="I94" s="45">
        <f t="shared" si="17"/>
        <v>70</v>
      </c>
      <c r="J94" s="45">
        <f t="shared" si="18"/>
        <v>46</v>
      </c>
      <c r="K94" s="45">
        <f t="shared" si="19"/>
        <v>24</v>
      </c>
      <c r="L94" s="45">
        <f t="shared" si="20"/>
        <v>26</v>
      </c>
      <c r="M94" s="45">
        <f t="shared" si="21"/>
        <v>62</v>
      </c>
      <c r="N94" s="45">
        <f t="shared" si="22"/>
        <v>58</v>
      </c>
      <c r="O94" s="45">
        <f t="shared" si="23"/>
        <v>137</v>
      </c>
      <c r="P94" s="45">
        <f t="shared" si="24"/>
        <v>41</v>
      </c>
      <c r="Q94" s="45">
        <f t="shared" si="25"/>
        <v>137</v>
      </c>
      <c r="R94" s="48"/>
    </row>
    <row r="95" spans="3:18" x14ac:dyDescent="0.2">
      <c r="C95" s="43" t="str">
        <f>VLOOKUP(D95,[4]DBASE!$B$3:$P$923,2,FALSE)</f>
        <v>Gangseng</v>
      </c>
      <c r="D95" s="47">
        <f>[4]jan!C99</f>
        <v>350122006</v>
      </c>
      <c r="E95" s="45">
        <f t="shared" si="13"/>
        <v>49</v>
      </c>
      <c r="F95" s="45">
        <f t="shared" si="14"/>
        <v>31</v>
      </c>
      <c r="G95" s="45">
        <f t="shared" si="15"/>
        <v>42</v>
      </c>
      <c r="H95" s="45">
        <f t="shared" si="16"/>
        <v>61</v>
      </c>
      <c r="I95" s="45">
        <f t="shared" si="17"/>
        <v>55</v>
      </c>
      <c r="J95" s="45">
        <f t="shared" si="18"/>
        <v>44</v>
      </c>
      <c r="K95" s="45">
        <f t="shared" si="19"/>
        <v>99</v>
      </c>
      <c r="L95" s="45">
        <f t="shared" si="20"/>
        <v>30</v>
      </c>
      <c r="M95" s="45">
        <f t="shared" si="21"/>
        <v>28</v>
      </c>
      <c r="N95" s="45">
        <f t="shared" si="22"/>
        <v>96</v>
      </c>
      <c r="O95" s="45">
        <f t="shared" si="23"/>
        <v>125</v>
      </c>
      <c r="P95" s="45">
        <f t="shared" si="24"/>
        <v>40</v>
      </c>
      <c r="Q95" s="45">
        <f t="shared" si="25"/>
        <v>125</v>
      </c>
      <c r="R95" s="48"/>
    </row>
    <row r="96" spans="3:18" x14ac:dyDescent="0.2">
      <c r="C96" s="43" t="str">
        <f>VLOOKUP(D96,[4]DBASE!$B$3:$P$923,2,FALSE)</f>
        <v>Dander</v>
      </c>
      <c r="D96" s="47">
        <f>[4]jan!C100</f>
        <v>350122005</v>
      </c>
      <c r="E96" s="45">
        <f t="shared" si="13"/>
        <v>33</v>
      </c>
      <c r="F96" s="45">
        <f t="shared" si="14"/>
        <v>97</v>
      </c>
      <c r="G96" s="45">
        <f t="shared" si="15"/>
        <v>57</v>
      </c>
      <c r="H96" s="45">
        <f t="shared" si="16"/>
        <v>68</v>
      </c>
      <c r="I96" s="45">
        <f t="shared" si="17"/>
        <v>44</v>
      </c>
      <c r="J96" s="45">
        <f t="shared" si="18"/>
        <v>32</v>
      </c>
      <c r="K96" s="45">
        <f t="shared" si="19"/>
        <v>59</v>
      </c>
      <c r="L96" s="45">
        <f t="shared" si="20"/>
        <v>29</v>
      </c>
      <c r="M96" s="45">
        <f t="shared" si="21"/>
        <v>35</v>
      </c>
      <c r="N96" s="45">
        <f t="shared" si="22"/>
        <v>66</v>
      </c>
      <c r="O96" s="45">
        <f t="shared" si="23"/>
        <v>88</v>
      </c>
      <c r="P96" s="45">
        <f t="shared" si="24"/>
        <v>30</v>
      </c>
      <c r="Q96" s="45">
        <f t="shared" si="25"/>
        <v>97</v>
      </c>
      <c r="R96" s="48"/>
    </row>
    <row r="97" spans="3:18" x14ac:dyDescent="0.2">
      <c r="C97" s="43" t="str">
        <f>VLOOKUP(D97,[4]DBASE!$B$3:$P$923,2,FALSE)</f>
        <v>Cawak / Simorejo</v>
      </c>
      <c r="D97" s="47">
        <f>[4]jan!C101</f>
        <v>350122004</v>
      </c>
      <c r="E97" s="45">
        <f t="shared" si="13"/>
        <v>84</v>
      </c>
      <c r="F97" s="45">
        <f t="shared" si="14"/>
        <v>62</v>
      </c>
      <c r="G97" s="45">
        <f t="shared" si="15"/>
        <v>68</v>
      </c>
      <c r="H97" s="45">
        <f t="shared" si="16"/>
        <v>64</v>
      </c>
      <c r="I97" s="45">
        <f t="shared" si="17"/>
        <v>59</v>
      </c>
      <c r="J97" s="45">
        <f t="shared" si="18"/>
        <v>43</v>
      </c>
      <c r="K97" s="45">
        <f t="shared" si="19"/>
        <v>41</v>
      </c>
      <c r="L97" s="45">
        <f t="shared" si="20"/>
        <v>118</v>
      </c>
      <c r="M97" s="45">
        <f t="shared" si="21"/>
        <v>14</v>
      </c>
      <c r="N97" s="45">
        <f t="shared" si="22"/>
        <v>76</v>
      </c>
      <c r="O97" s="45">
        <f t="shared" si="23"/>
        <v>102</v>
      </c>
      <c r="P97" s="45">
        <f t="shared" si="24"/>
        <v>44</v>
      </c>
      <c r="Q97" s="45">
        <f t="shared" si="25"/>
        <v>118</v>
      </c>
      <c r="R97" s="48"/>
    </row>
    <row r="98" spans="3:18" x14ac:dyDescent="0.2">
      <c r="C98" s="43" t="str">
        <f>VLOOKUP(D98,[4]DBASE!$B$3:$P$923,2,FALSE)</f>
        <v>Bojonegoro</v>
      </c>
      <c r="D98" s="47">
        <f>[4]jan!C102</f>
        <v>350122003</v>
      </c>
      <c r="E98" s="45">
        <f t="shared" si="13"/>
        <v>30</v>
      </c>
      <c r="F98" s="45">
        <f t="shared" si="14"/>
        <v>103</v>
      </c>
      <c r="G98" s="45">
        <f t="shared" si="15"/>
        <v>42</v>
      </c>
      <c r="H98" s="45">
        <f t="shared" si="16"/>
        <v>28</v>
      </c>
      <c r="I98" s="45">
        <f t="shared" si="17"/>
        <v>84</v>
      </c>
      <c r="J98" s="45">
        <f t="shared" si="18"/>
        <v>34</v>
      </c>
      <c r="K98" s="45">
        <f t="shared" si="19"/>
        <v>31</v>
      </c>
      <c r="L98" s="45">
        <f t="shared" si="20"/>
        <v>18</v>
      </c>
      <c r="M98" s="45">
        <f t="shared" si="21"/>
        <v>5</v>
      </c>
      <c r="N98" s="45">
        <f t="shared" si="22"/>
        <v>84</v>
      </c>
      <c r="O98" s="45">
        <f t="shared" si="23"/>
        <v>128</v>
      </c>
      <c r="P98" s="45">
        <f t="shared" si="24"/>
        <v>61</v>
      </c>
      <c r="Q98" s="45">
        <f t="shared" si="25"/>
        <v>128</v>
      </c>
      <c r="R98" s="48"/>
    </row>
    <row r="99" spans="3:18" x14ac:dyDescent="0.2">
      <c r="C99" s="43" t="str">
        <f>VLOOKUP(D99,[4]DBASE!$B$3:$P$923,2,FALSE)</f>
        <v>Baureno</v>
      </c>
      <c r="D99" s="47">
        <f>[4]jan!C103</f>
        <v>350122002</v>
      </c>
      <c r="E99" s="45">
        <f t="shared" si="13"/>
        <v>54</v>
      </c>
      <c r="F99" s="45">
        <f t="shared" si="14"/>
        <v>44</v>
      </c>
      <c r="G99" s="45">
        <f t="shared" si="15"/>
        <v>47</v>
      </c>
      <c r="H99" s="45">
        <f t="shared" si="16"/>
        <v>54</v>
      </c>
      <c r="I99" s="45">
        <f t="shared" si="17"/>
        <v>77</v>
      </c>
      <c r="J99" s="45">
        <f t="shared" si="18"/>
        <v>83</v>
      </c>
      <c r="K99" s="45">
        <f t="shared" si="19"/>
        <v>75</v>
      </c>
      <c r="L99" s="45">
        <f t="shared" si="20"/>
        <v>60</v>
      </c>
      <c r="M99" s="45">
        <f t="shared" si="21"/>
        <v>47</v>
      </c>
      <c r="N99" s="45">
        <f t="shared" si="22"/>
        <v>50</v>
      </c>
      <c r="O99" s="45">
        <f t="shared" si="23"/>
        <v>70</v>
      </c>
      <c r="P99" s="45">
        <f t="shared" si="24"/>
        <v>30</v>
      </c>
      <c r="Q99" s="45">
        <f t="shared" si="25"/>
        <v>83</v>
      </c>
      <c r="R99" s="48"/>
    </row>
    <row r="100" spans="3:18" x14ac:dyDescent="0.2">
      <c r="C100" s="43" t="str">
        <f>VLOOKUP(D100,[4]DBASE!$B$3:$P$923,2,FALSE)</f>
        <v>Balen</v>
      </c>
      <c r="D100" s="47">
        <f>[4]jan!C104</f>
        <v>350122001</v>
      </c>
      <c r="E100" s="45">
        <f t="shared" si="13"/>
        <v>38</v>
      </c>
      <c r="F100" s="45">
        <f t="shared" si="14"/>
        <v>86</v>
      </c>
      <c r="G100" s="45">
        <f t="shared" si="15"/>
        <v>57</v>
      </c>
      <c r="H100" s="45">
        <f t="shared" si="16"/>
        <v>29</v>
      </c>
      <c r="I100" s="45">
        <f t="shared" si="17"/>
        <v>42</v>
      </c>
      <c r="J100" s="45">
        <f t="shared" si="18"/>
        <v>42</v>
      </c>
      <c r="K100" s="45">
        <f t="shared" si="19"/>
        <v>23</v>
      </c>
      <c r="L100" s="45">
        <f t="shared" si="20"/>
        <v>67</v>
      </c>
      <c r="M100" s="45">
        <f t="shared" si="21"/>
        <v>24</v>
      </c>
      <c r="N100" s="45">
        <f t="shared" si="22"/>
        <v>63</v>
      </c>
      <c r="O100" s="45">
        <f t="shared" si="23"/>
        <v>56</v>
      </c>
      <c r="P100" s="45">
        <f t="shared" si="24"/>
        <v>50</v>
      </c>
      <c r="Q100" s="45">
        <f t="shared" si="25"/>
        <v>86</v>
      </c>
      <c r="R100" s="48"/>
    </row>
    <row r="101" spans="3:18" x14ac:dyDescent="0.2">
      <c r="C101" s="43" t="str">
        <f>VLOOKUP(D101,[4]DBASE!$B$3:$P$923,2,FALSE)</f>
        <v>Kantor Madiun</v>
      </c>
      <c r="D101" s="47">
        <f>[4]jan!C105</f>
        <v>350619001</v>
      </c>
      <c r="E101" s="45">
        <f t="shared" si="13"/>
        <v>66.5</v>
      </c>
      <c r="F101" s="45">
        <f t="shared" si="14"/>
        <v>17.5</v>
      </c>
      <c r="G101" s="45">
        <f t="shared" si="15"/>
        <v>82</v>
      </c>
      <c r="H101" s="45">
        <f t="shared" si="16"/>
        <v>53</v>
      </c>
      <c r="I101" s="45">
        <f t="shared" si="17"/>
        <v>29</v>
      </c>
      <c r="J101" s="45">
        <f t="shared" si="18"/>
        <v>19</v>
      </c>
      <c r="K101" s="45">
        <f t="shared" si="19"/>
        <v>18</v>
      </c>
      <c r="L101" s="45">
        <f t="shared" si="20"/>
        <v>8</v>
      </c>
      <c r="M101" s="45">
        <f t="shared" si="21"/>
        <v>18</v>
      </c>
      <c r="N101" s="45">
        <f t="shared" si="22"/>
        <v>15.5</v>
      </c>
      <c r="O101" s="45">
        <f t="shared" si="23"/>
        <v>94</v>
      </c>
      <c r="P101" s="45">
        <f t="shared" si="24"/>
        <v>120</v>
      </c>
      <c r="Q101" s="45">
        <f t="shared" si="25"/>
        <v>120</v>
      </c>
      <c r="R101" s="48"/>
    </row>
    <row r="102" spans="3:18" x14ac:dyDescent="0.2">
      <c r="C102" s="43" t="str">
        <f>VLOOKUP(D102,[4]DBASE!$B$3:$P$923,2,FALSE)</f>
        <v>Pilang Kenceng</v>
      </c>
      <c r="D102" s="47">
        <f>[4]jan!C106</f>
        <v>350619002</v>
      </c>
      <c r="E102" s="45">
        <f t="shared" si="13"/>
        <v>60</v>
      </c>
      <c r="F102" s="45">
        <f t="shared" si="14"/>
        <v>67</v>
      </c>
      <c r="G102" s="45">
        <f t="shared" si="15"/>
        <v>98</v>
      </c>
      <c r="H102" s="45">
        <f t="shared" si="16"/>
        <v>32</v>
      </c>
      <c r="I102" s="45">
        <f t="shared" si="17"/>
        <v>57</v>
      </c>
      <c r="J102" s="45">
        <f t="shared" si="18"/>
        <v>37</v>
      </c>
      <c r="K102" s="45">
        <f t="shared" si="19"/>
        <v>4</v>
      </c>
      <c r="L102" s="45">
        <f t="shared" si="20"/>
        <v>46</v>
      </c>
      <c r="M102" s="45">
        <f t="shared" si="21"/>
        <v>39</v>
      </c>
      <c r="N102" s="45">
        <f t="shared" si="22"/>
        <v>62</v>
      </c>
      <c r="O102" s="45">
        <f t="shared" si="23"/>
        <v>84</v>
      </c>
      <c r="P102" s="45">
        <f t="shared" si="24"/>
        <v>35</v>
      </c>
      <c r="Q102" s="45">
        <f t="shared" si="25"/>
        <v>98</v>
      </c>
      <c r="R102" s="48"/>
    </row>
    <row r="103" spans="3:18" x14ac:dyDescent="0.2">
      <c r="C103" s="43" t="str">
        <f>VLOOKUP(D103,[4]DBASE!$B$3:$P$923,2,FALSE)</f>
        <v>Tulung</v>
      </c>
      <c r="D103" s="47">
        <f>[4]jan!C107</f>
        <v>350619003</v>
      </c>
      <c r="E103" s="45">
        <f t="shared" si="13"/>
        <v>137</v>
      </c>
      <c r="F103" s="45">
        <f t="shared" si="14"/>
        <v>35</v>
      </c>
      <c r="G103" s="45">
        <f t="shared" si="15"/>
        <v>100</v>
      </c>
      <c r="H103" s="45">
        <f t="shared" si="16"/>
        <v>47</v>
      </c>
      <c r="I103" s="45">
        <f t="shared" si="17"/>
        <v>30</v>
      </c>
      <c r="J103" s="45">
        <f t="shared" si="18"/>
        <v>38</v>
      </c>
      <c r="K103" s="45">
        <f t="shared" si="19"/>
        <v>0</v>
      </c>
      <c r="L103" s="45">
        <f t="shared" si="20"/>
        <v>41</v>
      </c>
      <c r="M103" s="45">
        <f t="shared" si="21"/>
        <v>52</v>
      </c>
      <c r="N103" s="45">
        <f t="shared" si="22"/>
        <v>32</v>
      </c>
      <c r="O103" s="45">
        <f t="shared" si="23"/>
        <v>56</v>
      </c>
      <c r="P103" s="45">
        <f t="shared" si="24"/>
        <v>59</v>
      </c>
      <c r="Q103" s="45">
        <f t="shared" si="25"/>
        <v>137</v>
      </c>
      <c r="R103" s="48"/>
    </row>
    <row r="104" spans="3:18" x14ac:dyDescent="0.2">
      <c r="C104" s="43" t="str">
        <f>VLOOKUP(D104,[4]DBASE!$B$3:$P$923,2,FALSE)</f>
        <v>Saradan</v>
      </c>
      <c r="D104" s="47">
        <f>[4]jan!C108</f>
        <v>350619004</v>
      </c>
      <c r="E104" s="45">
        <f t="shared" si="13"/>
        <v>70</v>
      </c>
      <c r="F104" s="45">
        <f t="shared" si="14"/>
        <v>27</v>
      </c>
      <c r="G104" s="45">
        <f t="shared" si="15"/>
        <v>58</v>
      </c>
      <c r="H104" s="45">
        <f t="shared" si="16"/>
        <v>57</v>
      </c>
      <c r="I104" s="45">
        <f t="shared" si="17"/>
        <v>26</v>
      </c>
      <c r="J104" s="45">
        <f t="shared" si="18"/>
        <v>43</v>
      </c>
      <c r="K104" s="45">
        <f t="shared" si="19"/>
        <v>0</v>
      </c>
      <c r="L104" s="45">
        <f t="shared" si="20"/>
        <v>9</v>
      </c>
      <c r="M104" s="45">
        <f t="shared" si="21"/>
        <v>37</v>
      </c>
      <c r="N104" s="45">
        <f t="shared" si="22"/>
        <v>70</v>
      </c>
      <c r="O104" s="45">
        <f t="shared" si="23"/>
        <v>54</v>
      </c>
      <c r="P104" s="45">
        <f t="shared" si="24"/>
        <v>113</v>
      </c>
      <c r="Q104" s="45">
        <f t="shared" si="25"/>
        <v>113</v>
      </c>
      <c r="R104" s="48"/>
    </row>
    <row r="105" spans="3:18" x14ac:dyDescent="0.2">
      <c r="C105" s="43" t="str">
        <f>VLOOKUP(D105,[4]DBASE!$B$3:$P$923,2,FALSE)</f>
        <v>Kedung Banteng</v>
      </c>
      <c r="D105" s="47">
        <f>[4]jan!C109</f>
        <v>350619005</v>
      </c>
      <c r="E105" s="45">
        <f t="shared" si="13"/>
        <v>75</v>
      </c>
      <c r="F105" s="45">
        <f t="shared" si="14"/>
        <v>95</v>
      </c>
      <c r="G105" s="45">
        <f t="shared" si="15"/>
        <v>110</v>
      </c>
      <c r="H105" s="45">
        <f t="shared" si="16"/>
        <v>40</v>
      </c>
      <c r="I105" s="45">
        <f t="shared" si="17"/>
        <v>65</v>
      </c>
      <c r="J105" s="45">
        <f t="shared" si="18"/>
        <v>35</v>
      </c>
      <c r="K105" s="45">
        <f t="shared" si="19"/>
        <v>6</v>
      </c>
      <c r="L105" s="45">
        <f t="shared" si="20"/>
        <v>55</v>
      </c>
      <c r="M105" s="45">
        <f t="shared" si="21"/>
        <v>50</v>
      </c>
      <c r="N105" s="45">
        <f t="shared" si="22"/>
        <v>35</v>
      </c>
      <c r="O105" s="45">
        <f t="shared" si="23"/>
        <v>110</v>
      </c>
      <c r="P105" s="45">
        <f t="shared" si="24"/>
        <v>30</v>
      </c>
      <c r="Q105" s="45">
        <f t="shared" si="25"/>
        <v>110</v>
      </c>
      <c r="R105" s="48"/>
    </row>
    <row r="106" spans="3:18" x14ac:dyDescent="0.2">
      <c r="C106" s="43" t="str">
        <f>VLOOKUP(D106,[4]DBASE!$B$3:$P$923,2,FALSE)</f>
        <v>Notopuro</v>
      </c>
      <c r="D106" s="47">
        <f>[4]jan!C110</f>
        <v>350619006</v>
      </c>
      <c r="E106" s="45">
        <f t="shared" si="13"/>
        <v>89</v>
      </c>
      <c r="F106" s="45">
        <f t="shared" si="14"/>
        <v>55</v>
      </c>
      <c r="G106" s="45">
        <f t="shared" si="15"/>
        <v>93</v>
      </c>
      <c r="H106" s="45">
        <f t="shared" si="16"/>
        <v>55</v>
      </c>
      <c r="I106" s="45">
        <f t="shared" si="17"/>
        <v>41</v>
      </c>
      <c r="J106" s="45">
        <f t="shared" si="18"/>
        <v>88</v>
      </c>
      <c r="K106" s="45">
        <f t="shared" si="19"/>
        <v>11</v>
      </c>
      <c r="L106" s="45">
        <f t="shared" si="20"/>
        <v>45</v>
      </c>
      <c r="M106" s="45">
        <f t="shared" si="21"/>
        <v>41</v>
      </c>
      <c r="N106" s="45">
        <f t="shared" si="22"/>
        <v>52</v>
      </c>
      <c r="O106" s="45">
        <f t="shared" si="23"/>
        <v>125</v>
      </c>
      <c r="P106" s="45">
        <f t="shared" si="24"/>
        <v>40</v>
      </c>
      <c r="Q106" s="45">
        <f t="shared" si="25"/>
        <v>125</v>
      </c>
      <c r="R106" s="48"/>
    </row>
    <row r="107" spans="3:18" x14ac:dyDescent="0.2">
      <c r="C107" s="43" t="str">
        <f>VLOOKUP(D107,[4]DBASE!$B$3:$P$923,2,FALSE)</f>
        <v>Sumbersari</v>
      </c>
      <c r="D107" s="47">
        <f>[4]jan!C111</f>
        <v>350619007</v>
      </c>
      <c r="E107" s="45">
        <f t="shared" si="13"/>
        <v>122</v>
      </c>
      <c r="F107" s="45">
        <f t="shared" si="14"/>
        <v>38</v>
      </c>
      <c r="G107" s="45">
        <f t="shared" si="15"/>
        <v>78</v>
      </c>
      <c r="H107" s="45">
        <f t="shared" si="16"/>
        <v>45</v>
      </c>
      <c r="I107" s="45">
        <f t="shared" si="17"/>
        <v>54</v>
      </c>
      <c r="J107" s="45">
        <f t="shared" si="18"/>
        <v>59</v>
      </c>
      <c r="K107" s="45">
        <f t="shared" si="19"/>
        <v>3</v>
      </c>
      <c r="L107" s="45">
        <f t="shared" si="20"/>
        <v>17</v>
      </c>
      <c r="M107" s="45">
        <f t="shared" si="21"/>
        <v>43</v>
      </c>
      <c r="N107" s="45">
        <f t="shared" si="22"/>
        <v>72</v>
      </c>
      <c r="O107" s="45">
        <f t="shared" si="23"/>
        <v>62</v>
      </c>
      <c r="P107" s="45">
        <f t="shared" si="24"/>
        <v>43</v>
      </c>
      <c r="Q107" s="45">
        <f t="shared" si="25"/>
        <v>122</v>
      </c>
      <c r="R107" s="48"/>
    </row>
    <row r="108" spans="3:18" x14ac:dyDescent="0.2">
      <c r="C108" s="43" t="str">
        <f>VLOOKUP(D108,[4]DBASE!$B$3:$P$923,2,FALSE)</f>
        <v>Kuwu</v>
      </c>
      <c r="D108" s="47">
        <f>[4]jan!C112</f>
        <v>350619008</v>
      </c>
      <c r="E108" s="45">
        <f t="shared" si="13"/>
        <v>59</v>
      </c>
      <c r="F108" s="45">
        <f t="shared" si="14"/>
        <v>125</v>
      </c>
      <c r="G108" s="45">
        <f t="shared" si="15"/>
        <v>85</v>
      </c>
      <c r="H108" s="45">
        <f t="shared" si="16"/>
        <v>24</v>
      </c>
      <c r="I108" s="45">
        <f t="shared" si="17"/>
        <v>45</v>
      </c>
      <c r="J108" s="45">
        <f t="shared" si="18"/>
        <v>48</v>
      </c>
      <c r="K108" s="45">
        <f t="shared" si="19"/>
        <v>6</v>
      </c>
      <c r="L108" s="45">
        <f t="shared" si="20"/>
        <v>48</v>
      </c>
      <c r="M108" s="45">
        <f t="shared" si="21"/>
        <v>60</v>
      </c>
      <c r="N108" s="45">
        <f t="shared" si="22"/>
        <v>20</v>
      </c>
      <c r="O108" s="45">
        <f t="shared" si="23"/>
        <v>98</v>
      </c>
      <c r="P108" s="45">
        <f t="shared" si="24"/>
        <v>70</v>
      </c>
      <c r="Q108" s="45">
        <f t="shared" si="25"/>
        <v>125</v>
      </c>
      <c r="R108" s="48"/>
    </row>
    <row r="109" spans="3:18" x14ac:dyDescent="0.2">
      <c r="C109" s="43" t="str">
        <f>VLOOKUP(D109,[4]DBASE!$B$3:$P$923,2,FALSE)</f>
        <v>Muneng Madiun</v>
      </c>
      <c r="D109" s="47">
        <f>[4]jan!C113</f>
        <v>350619009</v>
      </c>
      <c r="E109" s="45">
        <f t="shared" si="13"/>
        <v>34</v>
      </c>
      <c r="F109" s="45">
        <f t="shared" si="14"/>
        <v>100</v>
      </c>
      <c r="G109" s="45">
        <f t="shared" si="15"/>
        <v>47</v>
      </c>
      <c r="H109" s="45">
        <f t="shared" si="16"/>
        <v>24</v>
      </c>
      <c r="I109" s="45">
        <f t="shared" si="17"/>
        <v>25</v>
      </c>
      <c r="J109" s="45">
        <f t="shared" si="18"/>
        <v>32</v>
      </c>
      <c r="K109" s="45">
        <f t="shared" si="19"/>
        <v>5</v>
      </c>
      <c r="L109" s="45">
        <f t="shared" si="20"/>
        <v>28</v>
      </c>
      <c r="M109" s="45">
        <f t="shared" si="21"/>
        <v>65</v>
      </c>
      <c r="N109" s="45">
        <f t="shared" si="22"/>
        <v>23</v>
      </c>
      <c r="O109" s="45">
        <f t="shared" si="23"/>
        <v>100</v>
      </c>
      <c r="P109" s="45">
        <f t="shared" si="24"/>
        <v>35</v>
      </c>
      <c r="Q109" s="45">
        <f t="shared" si="25"/>
        <v>100</v>
      </c>
      <c r="R109" s="48"/>
    </row>
    <row r="110" spans="3:18" x14ac:dyDescent="0.2">
      <c r="C110" s="43" t="str">
        <f>VLOOKUP(D110,[4]DBASE!$B$3:$P$923,2,FALSE)</f>
        <v>Sogo</v>
      </c>
      <c r="D110" s="47">
        <f>[4]jan!C114</f>
        <v>350619010</v>
      </c>
      <c r="E110" s="45">
        <f t="shared" si="13"/>
        <v>67</v>
      </c>
      <c r="F110" s="45">
        <f t="shared" si="14"/>
        <v>96</v>
      </c>
      <c r="G110" s="45">
        <f t="shared" si="15"/>
        <v>69</v>
      </c>
      <c r="H110" s="45">
        <f t="shared" si="16"/>
        <v>26</v>
      </c>
      <c r="I110" s="45">
        <f t="shared" si="17"/>
        <v>35</v>
      </c>
      <c r="J110" s="45">
        <f t="shared" si="18"/>
        <v>39</v>
      </c>
      <c r="K110" s="45">
        <f t="shared" si="19"/>
        <v>0</v>
      </c>
      <c r="L110" s="45">
        <f t="shared" si="20"/>
        <v>20</v>
      </c>
      <c r="M110" s="45">
        <f t="shared" si="21"/>
        <v>52</v>
      </c>
      <c r="N110" s="45">
        <f t="shared" si="22"/>
        <v>25</v>
      </c>
      <c r="O110" s="45">
        <f t="shared" si="23"/>
        <v>96</v>
      </c>
      <c r="P110" s="45">
        <f t="shared" si="24"/>
        <v>39</v>
      </c>
      <c r="Q110" s="45">
        <f t="shared" si="25"/>
        <v>96</v>
      </c>
      <c r="R110" s="48"/>
    </row>
    <row r="111" spans="3:18" x14ac:dyDescent="0.2">
      <c r="C111" s="43" t="str">
        <f>VLOOKUP(D111,[4]DBASE!$B$3:$P$923,2,FALSE)</f>
        <v>Sumber Bendo</v>
      </c>
      <c r="D111" s="47">
        <f>[4]jan!C115</f>
        <v>350619011</v>
      </c>
      <c r="E111" s="45">
        <f t="shared" si="13"/>
        <v>118</v>
      </c>
      <c r="F111" s="45">
        <f t="shared" si="14"/>
        <v>29</v>
      </c>
      <c r="G111" s="45">
        <f t="shared" si="15"/>
        <v>66</v>
      </c>
      <c r="H111" s="45">
        <f t="shared" si="16"/>
        <v>16</v>
      </c>
      <c r="I111" s="45">
        <f t="shared" si="17"/>
        <v>37</v>
      </c>
      <c r="J111" s="45">
        <f t="shared" si="18"/>
        <v>54</v>
      </c>
      <c r="K111" s="45">
        <f t="shared" si="19"/>
        <v>18</v>
      </c>
      <c r="L111" s="45">
        <f t="shared" si="20"/>
        <v>43</v>
      </c>
      <c r="M111" s="45">
        <f t="shared" si="21"/>
        <v>28</v>
      </c>
      <c r="N111" s="45">
        <f t="shared" si="22"/>
        <v>103</v>
      </c>
      <c r="O111" s="45">
        <f t="shared" si="23"/>
        <v>63</v>
      </c>
      <c r="P111" s="45">
        <f t="shared" si="24"/>
        <v>78</v>
      </c>
      <c r="Q111" s="45">
        <f t="shared" si="25"/>
        <v>118</v>
      </c>
      <c r="R111" s="48"/>
    </row>
    <row r="112" spans="3:18" x14ac:dyDescent="0.2">
      <c r="C112" s="43" t="str">
        <f>VLOOKUP(D112,[4]DBASE!$B$3:$P$923,2,FALSE)</f>
        <v>Kedung Rejo</v>
      </c>
      <c r="D112" s="47">
        <f>[4]jan!C116</f>
        <v>350619012</v>
      </c>
      <c r="E112" s="45">
        <f t="shared" si="13"/>
        <v>102</v>
      </c>
      <c r="F112" s="45">
        <f t="shared" si="14"/>
        <v>61</v>
      </c>
      <c r="G112" s="45">
        <f t="shared" si="15"/>
        <v>76</v>
      </c>
      <c r="H112" s="45">
        <f t="shared" si="16"/>
        <v>29</v>
      </c>
      <c r="I112" s="45">
        <f t="shared" si="17"/>
        <v>34</v>
      </c>
      <c r="J112" s="45">
        <f t="shared" si="18"/>
        <v>44</v>
      </c>
      <c r="K112" s="45">
        <f t="shared" si="19"/>
        <v>7</v>
      </c>
      <c r="L112" s="45">
        <f t="shared" si="20"/>
        <v>40</v>
      </c>
      <c r="M112" s="45">
        <f t="shared" si="21"/>
        <v>55</v>
      </c>
      <c r="N112" s="45">
        <f t="shared" si="22"/>
        <v>59</v>
      </c>
      <c r="O112" s="45">
        <f t="shared" si="23"/>
        <v>70</v>
      </c>
      <c r="P112" s="45">
        <f t="shared" si="24"/>
        <v>100</v>
      </c>
      <c r="Q112" s="45">
        <f t="shared" si="25"/>
        <v>102</v>
      </c>
      <c r="R112" s="48"/>
    </row>
    <row r="113" spans="3:18" x14ac:dyDescent="0.2">
      <c r="C113" s="43" t="str">
        <f>VLOOKUP(D113,[4]DBASE!$B$3:$P$923,2,FALSE)</f>
        <v>Gemarang</v>
      </c>
      <c r="D113" s="47">
        <f>[4]jan!C117</f>
        <v>350619013</v>
      </c>
      <c r="E113" s="45">
        <f t="shared" si="13"/>
        <v>52</v>
      </c>
      <c r="F113" s="45">
        <f t="shared" si="14"/>
        <v>70</v>
      </c>
      <c r="G113" s="45">
        <f t="shared" si="15"/>
        <v>106</v>
      </c>
      <c r="H113" s="45">
        <f t="shared" si="16"/>
        <v>39</v>
      </c>
      <c r="I113" s="45">
        <f t="shared" si="17"/>
        <v>37</v>
      </c>
      <c r="J113" s="45">
        <f t="shared" si="18"/>
        <v>50</v>
      </c>
      <c r="K113" s="45">
        <f t="shared" si="19"/>
        <v>16</v>
      </c>
      <c r="L113" s="45">
        <f t="shared" si="20"/>
        <v>7</v>
      </c>
      <c r="M113" s="45">
        <f t="shared" si="21"/>
        <v>5</v>
      </c>
      <c r="N113" s="45">
        <f t="shared" si="22"/>
        <v>47</v>
      </c>
      <c r="O113" s="45">
        <f t="shared" si="23"/>
        <v>70</v>
      </c>
      <c r="P113" s="45">
        <f t="shared" si="24"/>
        <v>50</v>
      </c>
      <c r="Q113" s="45">
        <f t="shared" si="25"/>
        <v>106</v>
      </c>
      <c r="R113" s="48"/>
    </row>
    <row r="114" spans="3:18" x14ac:dyDescent="0.2">
      <c r="C114" s="43" t="str">
        <f>VLOOKUP(D114,[4]DBASE!$B$3:$P$923,2,FALSE)</f>
        <v>Sarangan</v>
      </c>
      <c r="D114" s="47">
        <f>[4]jan!C118</f>
        <v>350619014</v>
      </c>
      <c r="E114" s="45">
        <f t="shared" si="13"/>
        <v>55</v>
      </c>
      <c r="F114" s="45">
        <f t="shared" si="14"/>
        <v>55</v>
      </c>
      <c r="G114" s="45">
        <f t="shared" si="15"/>
        <v>35</v>
      </c>
      <c r="H114" s="45">
        <f t="shared" si="16"/>
        <v>15</v>
      </c>
      <c r="I114" s="45">
        <f t="shared" si="17"/>
        <v>11</v>
      </c>
      <c r="J114" s="45">
        <f t="shared" si="18"/>
        <v>12</v>
      </c>
      <c r="K114" s="45">
        <f t="shared" si="19"/>
        <v>0</v>
      </c>
      <c r="L114" s="45">
        <f t="shared" si="20"/>
        <v>6</v>
      </c>
      <c r="M114" s="45">
        <f t="shared" si="21"/>
        <v>36</v>
      </c>
      <c r="N114" s="45">
        <f t="shared" si="22"/>
        <v>13</v>
      </c>
      <c r="O114" s="45">
        <f t="shared" si="23"/>
        <v>44</v>
      </c>
      <c r="P114" s="45">
        <f t="shared" si="24"/>
        <v>88</v>
      </c>
      <c r="Q114" s="45">
        <f t="shared" si="25"/>
        <v>88</v>
      </c>
      <c r="R114" s="48"/>
    </row>
    <row r="115" spans="3:18" x14ac:dyDescent="0.2">
      <c r="C115" s="43" t="str">
        <f>VLOOKUP(D115,[4]DBASE!$B$3:$P$923,2,FALSE)</f>
        <v>Caruban</v>
      </c>
      <c r="D115" s="47">
        <f>[4]jan!C119</f>
        <v>350619015</v>
      </c>
      <c r="E115" s="45">
        <f t="shared" si="13"/>
        <v>124</v>
      </c>
      <c r="F115" s="45">
        <f t="shared" si="14"/>
        <v>52</v>
      </c>
      <c r="G115" s="45">
        <f t="shared" si="15"/>
        <v>66</v>
      </c>
      <c r="H115" s="45">
        <f t="shared" si="16"/>
        <v>32</v>
      </c>
      <c r="I115" s="45">
        <f t="shared" si="17"/>
        <v>24</v>
      </c>
      <c r="J115" s="45">
        <f t="shared" si="18"/>
        <v>26</v>
      </c>
      <c r="K115" s="45">
        <f t="shared" si="19"/>
        <v>3</v>
      </c>
      <c r="L115" s="45">
        <f t="shared" si="20"/>
        <v>9</v>
      </c>
      <c r="M115" s="45">
        <f t="shared" si="21"/>
        <v>78</v>
      </c>
      <c r="N115" s="45">
        <f t="shared" si="22"/>
        <v>25</v>
      </c>
      <c r="O115" s="45">
        <f t="shared" si="23"/>
        <v>58</v>
      </c>
      <c r="P115" s="45">
        <f t="shared" si="24"/>
        <v>67</v>
      </c>
      <c r="Q115" s="45">
        <f t="shared" si="25"/>
        <v>124</v>
      </c>
      <c r="R115" s="48"/>
    </row>
    <row r="116" spans="3:18" x14ac:dyDescent="0.2">
      <c r="C116" s="43" t="str">
        <f>VLOOKUP(D116,[4]DBASE!$B$3:$P$923,2,FALSE)</f>
        <v>Wates_MDN</v>
      </c>
      <c r="D116" s="47">
        <f>[4]jan!C120</f>
        <v>350619016</v>
      </c>
      <c r="E116" s="45">
        <f t="shared" si="13"/>
        <v>58</v>
      </c>
      <c r="F116" s="45">
        <f t="shared" si="14"/>
        <v>24</v>
      </c>
      <c r="G116" s="45">
        <f t="shared" si="15"/>
        <v>76</v>
      </c>
      <c r="H116" s="45">
        <f t="shared" si="16"/>
        <v>28</v>
      </c>
      <c r="I116" s="45">
        <f t="shared" si="17"/>
        <v>24</v>
      </c>
      <c r="J116" s="45">
        <f t="shared" si="18"/>
        <v>46</v>
      </c>
      <c r="K116" s="45">
        <f t="shared" si="19"/>
        <v>0</v>
      </c>
      <c r="L116" s="45">
        <f t="shared" si="20"/>
        <v>2</v>
      </c>
      <c r="M116" s="45">
        <f t="shared" si="21"/>
        <v>31</v>
      </c>
      <c r="N116" s="45">
        <f t="shared" si="22"/>
        <v>29</v>
      </c>
      <c r="O116" s="45">
        <f t="shared" si="23"/>
        <v>56</v>
      </c>
      <c r="P116" s="45">
        <f t="shared" si="24"/>
        <v>136</v>
      </c>
      <c r="Q116" s="45">
        <f t="shared" si="25"/>
        <v>136</v>
      </c>
      <c r="R116" s="48"/>
    </row>
    <row r="117" spans="3:18" x14ac:dyDescent="0.2">
      <c r="C117" s="43" t="str">
        <f>VLOOKUP(D117,[4]DBASE!$B$3:$P$923,2,FALSE)</f>
        <v>Balerejo</v>
      </c>
      <c r="D117" s="47">
        <f>[4]jan!C121</f>
        <v>350619017</v>
      </c>
      <c r="E117" s="45">
        <f t="shared" si="13"/>
        <v>55</v>
      </c>
      <c r="F117" s="45">
        <f t="shared" si="14"/>
        <v>57</v>
      </c>
      <c r="G117" s="45">
        <f t="shared" si="15"/>
        <v>40</v>
      </c>
      <c r="H117" s="45">
        <f t="shared" si="16"/>
        <v>18</v>
      </c>
      <c r="I117" s="45">
        <f t="shared" si="17"/>
        <v>12</v>
      </c>
      <c r="J117" s="45">
        <f t="shared" si="18"/>
        <v>30</v>
      </c>
      <c r="K117" s="45">
        <f t="shared" si="19"/>
        <v>0</v>
      </c>
      <c r="L117" s="45">
        <f t="shared" si="20"/>
        <v>5</v>
      </c>
      <c r="M117" s="45">
        <f t="shared" si="21"/>
        <v>38</v>
      </c>
      <c r="N117" s="45">
        <f t="shared" si="22"/>
        <v>40</v>
      </c>
      <c r="O117" s="45">
        <f t="shared" si="23"/>
        <v>68</v>
      </c>
      <c r="P117" s="45">
        <f t="shared" si="24"/>
        <v>28</v>
      </c>
      <c r="Q117" s="45">
        <f t="shared" si="25"/>
        <v>68</v>
      </c>
      <c r="R117" s="48"/>
    </row>
    <row r="118" spans="3:18" x14ac:dyDescent="0.2">
      <c r="C118" s="43" t="str">
        <f>VLOOKUP(D118,[4]DBASE!$B$3:$P$923,2,FALSE)</f>
        <v>Cermo</v>
      </c>
      <c r="D118" s="47">
        <f>[4]jan!C122</f>
        <v>350619018</v>
      </c>
      <c r="E118" s="45">
        <f t="shared" si="13"/>
        <v>117</v>
      </c>
      <c r="F118" s="45">
        <f t="shared" si="14"/>
        <v>28</v>
      </c>
      <c r="G118" s="45">
        <f t="shared" si="15"/>
        <v>120</v>
      </c>
      <c r="H118" s="45">
        <f t="shared" si="16"/>
        <v>105</v>
      </c>
      <c r="I118" s="45">
        <f t="shared" si="17"/>
        <v>14</v>
      </c>
      <c r="J118" s="45">
        <f t="shared" si="18"/>
        <v>62</v>
      </c>
      <c r="K118" s="45">
        <f t="shared" si="19"/>
        <v>10</v>
      </c>
      <c r="L118" s="45">
        <f t="shared" si="20"/>
        <v>10</v>
      </c>
      <c r="M118" s="45">
        <f t="shared" si="21"/>
        <v>5</v>
      </c>
      <c r="N118" s="45">
        <f t="shared" si="22"/>
        <v>34</v>
      </c>
      <c r="O118" s="45">
        <f t="shared" si="23"/>
        <v>21</v>
      </c>
      <c r="P118" s="45">
        <f t="shared" si="24"/>
        <v>56</v>
      </c>
      <c r="Q118" s="45">
        <f t="shared" si="25"/>
        <v>120</v>
      </c>
      <c r="R118" s="48"/>
    </row>
    <row r="119" spans="3:18" x14ac:dyDescent="0.2">
      <c r="C119" s="43" t="str">
        <f>VLOOKUP(D119,[4]DBASE!$B$3:$P$923,2,FALSE)</f>
        <v>Dawuhan</v>
      </c>
      <c r="D119" s="47">
        <f>[4]jan!C123</f>
        <v>350619019</v>
      </c>
      <c r="E119" s="45">
        <f t="shared" si="13"/>
        <v>54</v>
      </c>
      <c r="F119" s="45">
        <f t="shared" si="14"/>
        <v>54</v>
      </c>
      <c r="G119" s="45">
        <f t="shared" si="15"/>
        <v>38</v>
      </c>
      <c r="H119" s="45">
        <f t="shared" si="16"/>
        <v>51</v>
      </c>
      <c r="I119" s="45">
        <f t="shared" si="17"/>
        <v>15</v>
      </c>
      <c r="J119" s="45">
        <f t="shared" si="18"/>
        <v>11</v>
      </c>
      <c r="K119" s="45">
        <f t="shared" si="19"/>
        <v>3</v>
      </c>
      <c r="L119" s="45">
        <f t="shared" si="20"/>
        <v>6</v>
      </c>
      <c r="M119" s="45">
        <f t="shared" si="21"/>
        <v>37</v>
      </c>
      <c r="N119" s="45">
        <f t="shared" si="22"/>
        <v>12</v>
      </c>
      <c r="O119" s="45">
        <f t="shared" si="23"/>
        <v>45</v>
      </c>
      <c r="P119" s="45">
        <f t="shared" si="24"/>
        <v>89</v>
      </c>
      <c r="Q119" s="45">
        <f t="shared" si="25"/>
        <v>89</v>
      </c>
      <c r="R119" s="48"/>
    </row>
    <row r="120" spans="3:18" x14ac:dyDescent="0.2">
      <c r="C120" s="43" t="str">
        <f>VLOOKUP(D120,[4]DBASE!$B$3:$P$923,2,FALSE)</f>
        <v>Babadan MDN</v>
      </c>
      <c r="D120" s="47">
        <f>[4]jan!C124</f>
        <v>350619020</v>
      </c>
      <c r="E120" s="45">
        <f t="shared" si="13"/>
        <v>85</v>
      </c>
      <c r="F120" s="45">
        <f t="shared" si="14"/>
        <v>28</v>
      </c>
      <c r="G120" s="45">
        <f t="shared" si="15"/>
        <v>45</v>
      </c>
      <c r="H120" s="45">
        <f t="shared" si="16"/>
        <v>37</v>
      </c>
      <c r="I120" s="45">
        <f t="shared" si="17"/>
        <v>21</v>
      </c>
      <c r="J120" s="45">
        <f t="shared" si="18"/>
        <v>35</v>
      </c>
      <c r="K120" s="45">
        <f t="shared" si="19"/>
        <v>0</v>
      </c>
      <c r="L120" s="45">
        <f t="shared" si="20"/>
        <v>0</v>
      </c>
      <c r="M120" s="45">
        <f t="shared" si="21"/>
        <v>37</v>
      </c>
      <c r="N120" s="45">
        <f t="shared" si="22"/>
        <v>26</v>
      </c>
      <c r="O120" s="45">
        <f t="shared" si="23"/>
        <v>160</v>
      </c>
      <c r="P120" s="45">
        <f t="shared" si="24"/>
        <v>113</v>
      </c>
      <c r="Q120" s="45">
        <f t="shared" si="25"/>
        <v>160</v>
      </c>
      <c r="R120" s="48"/>
    </row>
    <row r="121" spans="3:18" x14ac:dyDescent="0.2">
      <c r="C121" s="43" t="str">
        <f>VLOOKUP(D121,[4]DBASE!$B$3:$P$923,2,FALSE)</f>
        <v>Cau</v>
      </c>
      <c r="D121" s="47">
        <f>[4]jan!C125</f>
        <v>350619021</v>
      </c>
      <c r="E121" s="45">
        <f t="shared" si="13"/>
        <v>69</v>
      </c>
      <c r="F121" s="45">
        <f t="shared" si="14"/>
        <v>36</v>
      </c>
      <c r="G121" s="45">
        <f t="shared" si="15"/>
        <v>84</v>
      </c>
      <c r="H121" s="45">
        <f t="shared" si="16"/>
        <v>44</v>
      </c>
      <c r="I121" s="45">
        <f t="shared" si="17"/>
        <v>23</v>
      </c>
      <c r="J121" s="45">
        <f t="shared" si="18"/>
        <v>41</v>
      </c>
      <c r="K121" s="45">
        <f t="shared" si="19"/>
        <v>16</v>
      </c>
      <c r="L121" s="45">
        <f t="shared" si="20"/>
        <v>32</v>
      </c>
      <c r="M121" s="45">
        <f t="shared" si="21"/>
        <v>8</v>
      </c>
      <c r="N121" s="45">
        <f t="shared" si="22"/>
        <v>78</v>
      </c>
      <c r="O121" s="45">
        <f t="shared" si="23"/>
        <v>66</v>
      </c>
      <c r="P121" s="45">
        <f t="shared" si="24"/>
        <v>51</v>
      </c>
      <c r="Q121" s="45">
        <f t="shared" si="25"/>
        <v>84</v>
      </c>
      <c r="R121" s="48"/>
    </row>
    <row r="122" spans="3:18" x14ac:dyDescent="0.2">
      <c r="C122" s="43" t="str">
        <f>VLOOKUP(D122,[4]DBASE!$B$3:$P$923,2,FALSE)</f>
        <v>Kandangan</v>
      </c>
      <c r="D122" s="47">
        <f>[4]jan!C126</f>
        <v>350619022</v>
      </c>
      <c r="E122" s="45">
        <f t="shared" si="13"/>
        <v>57</v>
      </c>
      <c r="F122" s="45">
        <f t="shared" si="14"/>
        <v>117</v>
      </c>
      <c r="G122" s="45">
        <f t="shared" si="15"/>
        <v>112</v>
      </c>
      <c r="H122" s="45">
        <f t="shared" si="16"/>
        <v>78</v>
      </c>
      <c r="I122" s="45">
        <f t="shared" si="17"/>
        <v>61</v>
      </c>
      <c r="J122" s="45">
        <f t="shared" si="18"/>
        <v>45</v>
      </c>
      <c r="K122" s="45">
        <f t="shared" si="19"/>
        <v>23</v>
      </c>
      <c r="L122" s="45">
        <f t="shared" si="20"/>
        <v>59</v>
      </c>
      <c r="M122" s="45">
        <f t="shared" si="21"/>
        <v>48</v>
      </c>
      <c r="N122" s="45">
        <f t="shared" si="22"/>
        <v>109</v>
      </c>
      <c r="O122" s="45">
        <f t="shared" si="23"/>
        <v>71</v>
      </c>
      <c r="P122" s="45">
        <f t="shared" si="24"/>
        <v>43</v>
      </c>
      <c r="Q122" s="45">
        <f t="shared" si="25"/>
        <v>117</v>
      </c>
      <c r="R122" s="48"/>
    </row>
    <row r="123" spans="3:18" x14ac:dyDescent="0.2">
      <c r="C123" s="43" t="str">
        <f>VLOOKUP(D123,[4]DBASE!$B$3:$P$923,2,FALSE)</f>
        <v>Catur</v>
      </c>
      <c r="D123" s="47">
        <f>[4]jan!C127</f>
        <v>350619023</v>
      </c>
      <c r="E123" s="45">
        <f t="shared" si="13"/>
        <v>43</v>
      </c>
      <c r="F123" s="45">
        <f t="shared" si="14"/>
        <v>65</v>
      </c>
      <c r="G123" s="45">
        <f t="shared" si="15"/>
        <v>69</v>
      </c>
      <c r="H123" s="45">
        <f t="shared" si="16"/>
        <v>43</v>
      </c>
      <c r="I123" s="45">
        <f t="shared" si="17"/>
        <v>47</v>
      </c>
      <c r="J123" s="45">
        <f t="shared" si="18"/>
        <v>32</v>
      </c>
      <c r="K123" s="45">
        <f t="shared" si="19"/>
        <v>7</v>
      </c>
      <c r="L123" s="45">
        <f t="shared" si="20"/>
        <v>21</v>
      </c>
      <c r="M123" s="45">
        <f t="shared" si="21"/>
        <v>10</v>
      </c>
      <c r="N123" s="45">
        <f t="shared" si="22"/>
        <v>53</v>
      </c>
      <c r="O123" s="45">
        <f t="shared" si="23"/>
        <v>52</v>
      </c>
      <c r="P123" s="45">
        <f t="shared" si="24"/>
        <v>39</v>
      </c>
      <c r="Q123" s="45">
        <f t="shared" si="25"/>
        <v>69</v>
      </c>
      <c r="R123" s="48"/>
    </row>
    <row r="124" spans="3:18" x14ac:dyDescent="0.2">
      <c r="C124" s="43" t="str">
        <f>VLOOKUP(D124,[4]DBASE!$B$3:$P$923,2,FALSE)</f>
        <v>Giringan</v>
      </c>
      <c r="D124" s="47">
        <f>[4]jan!C128</f>
        <v>350619024</v>
      </c>
      <c r="E124" s="45">
        <f t="shared" si="13"/>
        <v>71</v>
      </c>
      <c r="F124" s="45">
        <f t="shared" si="14"/>
        <v>31</v>
      </c>
      <c r="G124" s="45">
        <f t="shared" si="15"/>
        <v>78</v>
      </c>
      <c r="H124" s="45">
        <f t="shared" si="16"/>
        <v>52</v>
      </c>
      <c r="I124" s="45">
        <f t="shared" si="17"/>
        <v>30</v>
      </c>
      <c r="J124" s="45">
        <f t="shared" si="18"/>
        <v>38</v>
      </c>
      <c r="K124" s="45">
        <f t="shared" si="19"/>
        <v>13</v>
      </c>
      <c r="L124" s="45">
        <f t="shared" si="20"/>
        <v>43</v>
      </c>
      <c r="M124" s="45">
        <f t="shared" si="21"/>
        <v>7</v>
      </c>
      <c r="N124" s="45">
        <f t="shared" si="22"/>
        <v>70</v>
      </c>
      <c r="O124" s="45">
        <f t="shared" si="23"/>
        <v>79</v>
      </c>
      <c r="P124" s="45">
        <f t="shared" si="24"/>
        <v>48</v>
      </c>
      <c r="Q124" s="45">
        <f t="shared" si="25"/>
        <v>79</v>
      </c>
      <c r="R124" s="48"/>
    </row>
    <row r="125" spans="3:18" x14ac:dyDescent="0.2">
      <c r="C125" s="43" t="str">
        <f>VLOOKUP(D125,[4]DBASE!$B$3:$P$923,2,FALSE)</f>
        <v>Dungus</v>
      </c>
      <c r="D125" s="47">
        <f>[4]jan!C129</f>
        <v>350619025</v>
      </c>
      <c r="E125" s="45">
        <f t="shared" si="13"/>
        <v>107</v>
      </c>
      <c r="F125" s="45">
        <f t="shared" si="14"/>
        <v>37</v>
      </c>
      <c r="G125" s="45">
        <f t="shared" si="15"/>
        <v>72</v>
      </c>
      <c r="H125" s="45">
        <f t="shared" si="16"/>
        <v>45</v>
      </c>
      <c r="I125" s="45">
        <f t="shared" si="17"/>
        <v>20</v>
      </c>
      <c r="J125" s="45">
        <f t="shared" si="18"/>
        <v>68</v>
      </c>
      <c r="K125" s="45">
        <f t="shared" si="19"/>
        <v>15</v>
      </c>
      <c r="L125" s="45">
        <f t="shared" si="20"/>
        <v>20</v>
      </c>
      <c r="M125" s="45">
        <f t="shared" si="21"/>
        <v>14</v>
      </c>
      <c r="N125" s="45">
        <f t="shared" si="22"/>
        <v>145</v>
      </c>
      <c r="O125" s="45">
        <f t="shared" si="23"/>
        <v>159</v>
      </c>
      <c r="P125" s="45">
        <f t="shared" si="24"/>
        <v>68</v>
      </c>
      <c r="Q125" s="45">
        <f t="shared" si="25"/>
        <v>159</v>
      </c>
      <c r="R125" s="48"/>
    </row>
    <row r="126" spans="3:18" x14ac:dyDescent="0.2">
      <c r="C126" s="43" t="str">
        <f>VLOOKUP(D126,[4]DBASE!$B$3:$P$923,2,FALSE)</f>
        <v>Kare</v>
      </c>
      <c r="D126" s="47">
        <f>[4]jan!C130</f>
        <v>350619026</v>
      </c>
      <c r="E126" s="45">
        <f t="shared" si="13"/>
        <v>75</v>
      </c>
      <c r="F126" s="45">
        <f t="shared" si="14"/>
        <v>60</v>
      </c>
      <c r="G126" s="45">
        <f t="shared" si="15"/>
        <v>85</v>
      </c>
      <c r="H126" s="45">
        <f t="shared" si="16"/>
        <v>60</v>
      </c>
      <c r="I126" s="45">
        <f t="shared" si="17"/>
        <v>25</v>
      </c>
      <c r="J126" s="45">
        <f t="shared" si="18"/>
        <v>67</v>
      </c>
      <c r="K126" s="45">
        <f t="shared" si="19"/>
        <v>0</v>
      </c>
      <c r="L126" s="45">
        <f t="shared" si="20"/>
        <v>45</v>
      </c>
      <c r="M126" s="45">
        <f t="shared" si="21"/>
        <v>17</v>
      </c>
      <c r="N126" s="45">
        <f t="shared" si="22"/>
        <v>81</v>
      </c>
      <c r="O126" s="45">
        <f t="shared" si="23"/>
        <v>78</v>
      </c>
      <c r="P126" s="45">
        <f t="shared" si="24"/>
        <v>51</v>
      </c>
      <c r="Q126" s="45">
        <f t="shared" si="25"/>
        <v>85</v>
      </c>
      <c r="R126" s="48"/>
    </row>
    <row r="127" spans="3:18" x14ac:dyDescent="0.2">
      <c r="C127" s="43" t="str">
        <f>VLOOKUP(D127,[4]DBASE!$B$3:$P$923,2,FALSE)</f>
        <v>Pg. Rejoagung</v>
      </c>
      <c r="D127" s="47">
        <f>[4]jan!C131</f>
        <v>350619027</v>
      </c>
      <c r="E127" s="45">
        <f t="shared" si="13"/>
        <v>42</v>
      </c>
      <c r="F127" s="45">
        <f t="shared" si="14"/>
        <v>42</v>
      </c>
      <c r="G127" s="45">
        <f t="shared" si="15"/>
        <v>70</v>
      </c>
      <c r="H127" s="45">
        <f t="shared" si="16"/>
        <v>30</v>
      </c>
      <c r="I127" s="45">
        <f t="shared" si="17"/>
        <v>33</v>
      </c>
      <c r="J127" s="45">
        <f t="shared" si="18"/>
        <v>12</v>
      </c>
      <c r="K127" s="45">
        <f t="shared" si="19"/>
        <v>16</v>
      </c>
      <c r="L127" s="45">
        <f t="shared" si="20"/>
        <v>7</v>
      </c>
      <c r="M127" s="45">
        <f t="shared" si="21"/>
        <v>27</v>
      </c>
      <c r="N127" s="45">
        <f t="shared" si="22"/>
        <v>26</v>
      </c>
      <c r="O127" s="45">
        <f t="shared" si="23"/>
        <v>90</v>
      </c>
      <c r="P127" s="45">
        <f t="shared" si="24"/>
        <v>84</v>
      </c>
      <c r="Q127" s="45">
        <f t="shared" si="25"/>
        <v>90</v>
      </c>
      <c r="R127" s="48"/>
    </row>
    <row r="128" spans="3:18" x14ac:dyDescent="0.2">
      <c r="C128" s="43" t="str">
        <f>VLOOKUP(D128,[4]DBASE!$B$3:$P$923,2,FALSE)</f>
        <v>Pg.Kanigoro</v>
      </c>
      <c r="D128" s="47">
        <f>[4]jan!C132</f>
        <v>350619028</v>
      </c>
      <c r="E128" s="45">
        <f t="shared" si="13"/>
        <v>45</v>
      </c>
      <c r="F128" s="45">
        <f t="shared" si="14"/>
        <v>43</v>
      </c>
      <c r="G128" s="45">
        <f t="shared" si="15"/>
        <v>65</v>
      </c>
      <c r="H128" s="45">
        <f t="shared" si="16"/>
        <v>42</v>
      </c>
      <c r="I128" s="45">
        <f t="shared" si="17"/>
        <v>30</v>
      </c>
      <c r="J128" s="45">
        <f t="shared" si="18"/>
        <v>24</v>
      </c>
      <c r="K128" s="45">
        <f t="shared" si="19"/>
        <v>6</v>
      </c>
      <c r="L128" s="45">
        <f t="shared" si="20"/>
        <v>7</v>
      </c>
      <c r="M128" s="45">
        <f t="shared" si="21"/>
        <v>32</v>
      </c>
      <c r="N128" s="45">
        <f t="shared" si="22"/>
        <v>43</v>
      </c>
      <c r="O128" s="45">
        <f t="shared" si="23"/>
        <v>81</v>
      </c>
      <c r="P128" s="45">
        <f t="shared" si="24"/>
        <v>65</v>
      </c>
      <c r="Q128" s="45">
        <f t="shared" si="25"/>
        <v>81</v>
      </c>
      <c r="R128" s="48"/>
    </row>
    <row r="129" spans="3:18" x14ac:dyDescent="0.2">
      <c r="C129" s="43" t="str">
        <f>VLOOKUP(D129,[4]DBASE!$B$3:$P$923,2,FALSE)</f>
        <v>Kertobanyon</v>
      </c>
      <c r="D129" s="47">
        <f>[4]jan!C133</f>
        <v>350619029</v>
      </c>
      <c r="E129" s="45">
        <f t="shared" si="13"/>
        <v>38</v>
      </c>
      <c r="F129" s="45">
        <f t="shared" si="14"/>
        <v>36</v>
      </c>
      <c r="G129" s="45">
        <f t="shared" si="15"/>
        <v>65</v>
      </c>
      <c r="H129" s="45">
        <f t="shared" si="16"/>
        <v>45</v>
      </c>
      <c r="I129" s="45">
        <f t="shared" si="17"/>
        <v>17</v>
      </c>
      <c r="J129" s="45">
        <f t="shared" si="18"/>
        <v>27</v>
      </c>
      <c r="K129" s="45">
        <f t="shared" si="19"/>
        <v>4</v>
      </c>
      <c r="L129" s="45">
        <f t="shared" si="20"/>
        <v>5</v>
      </c>
      <c r="M129" s="45">
        <f t="shared" si="21"/>
        <v>18</v>
      </c>
      <c r="N129" s="45">
        <f t="shared" si="22"/>
        <v>33</v>
      </c>
      <c r="O129" s="45">
        <f t="shared" si="23"/>
        <v>92</v>
      </c>
      <c r="P129" s="45">
        <f t="shared" si="24"/>
        <v>64</v>
      </c>
      <c r="Q129" s="45">
        <f t="shared" si="25"/>
        <v>92</v>
      </c>
      <c r="R129" s="48"/>
    </row>
    <row r="130" spans="3:18" x14ac:dyDescent="0.2">
      <c r="C130" s="43" t="str">
        <f>VLOOKUP(D130,[4]DBASE!$B$3:$P$923,2,FALSE)</f>
        <v>Klegen</v>
      </c>
      <c r="D130" s="47">
        <f>[4]jan!C134</f>
        <v>350619030</v>
      </c>
      <c r="E130" s="45">
        <f t="shared" si="13"/>
        <v>60</v>
      </c>
      <c r="F130" s="45">
        <f t="shared" si="14"/>
        <v>15</v>
      </c>
      <c r="G130" s="45">
        <f t="shared" si="15"/>
        <v>40</v>
      </c>
      <c r="H130" s="45">
        <f t="shared" si="16"/>
        <v>35</v>
      </c>
      <c r="I130" s="45">
        <f t="shared" si="17"/>
        <v>53</v>
      </c>
      <c r="J130" s="45">
        <f t="shared" si="18"/>
        <v>25</v>
      </c>
      <c r="K130" s="45">
        <f t="shared" si="19"/>
        <v>10</v>
      </c>
      <c r="L130" s="45">
        <f t="shared" si="20"/>
        <v>10</v>
      </c>
      <c r="M130" s="45">
        <f t="shared" si="21"/>
        <v>28</v>
      </c>
      <c r="N130" s="45">
        <f t="shared" si="22"/>
        <v>12</v>
      </c>
      <c r="O130" s="45">
        <f t="shared" si="23"/>
        <v>65</v>
      </c>
      <c r="P130" s="45">
        <f t="shared" si="24"/>
        <v>62</v>
      </c>
      <c r="Q130" s="45">
        <f t="shared" si="25"/>
        <v>65</v>
      </c>
      <c r="R130" s="48"/>
    </row>
    <row r="131" spans="3:18" x14ac:dyDescent="0.2">
      <c r="C131" s="43" t="str">
        <f>VLOOKUP(D131,[4]DBASE!$B$3:$P$923,2,FALSE)</f>
        <v>Pg.Pagotan</v>
      </c>
      <c r="D131" s="47">
        <f>[4]jan!C135</f>
        <v>350619031</v>
      </c>
      <c r="E131" s="45">
        <f t="shared" si="13"/>
        <v>31</v>
      </c>
      <c r="F131" s="45">
        <f t="shared" si="14"/>
        <v>24</v>
      </c>
      <c r="G131" s="45">
        <f t="shared" si="15"/>
        <v>72</v>
      </c>
      <c r="H131" s="45">
        <f t="shared" si="16"/>
        <v>41</v>
      </c>
      <c r="I131" s="45">
        <f t="shared" si="17"/>
        <v>10</v>
      </c>
      <c r="J131" s="45">
        <f t="shared" si="18"/>
        <v>27</v>
      </c>
      <c r="K131" s="45">
        <f t="shared" si="19"/>
        <v>11</v>
      </c>
      <c r="L131" s="45">
        <f t="shared" si="20"/>
        <v>4</v>
      </c>
      <c r="M131" s="45">
        <f t="shared" si="21"/>
        <v>26</v>
      </c>
      <c r="N131" s="45">
        <f t="shared" si="22"/>
        <v>43</v>
      </c>
      <c r="O131" s="45">
        <f t="shared" si="23"/>
        <v>86</v>
      </c>
      <c r="P131" s="45">
        <f t="shared" si="24"/>
        <v>46</v>
      </c>
      <c r="Q131" s="45">
        <f t="shared" si="25"/>
        <v>86</v>
      </c>
      <c r="R131" s="48"/>
    </row>
    <row r="132" spans="3:18" x14ac:dyDescent="0.2">
      <c r="C132" s="43" t="str">
        <f>VLOOKUP(D132,[4]DBASE!$B$3:$P$923,2,FALSE)</f>
        <v>Gombal</v>
      </c>
      <c r="D132" s="47">
        <f>[4]jan!C136</f>
        <v>350619032</v>
      </c>
      <c r="E132" s="45">
        <f t="shared" ref="E132:E195" si="26">VLOOKUP($D132,jan,34,FALSE)</f>
        <v>60</v>
      </c>
      <c r="F132" s="45">
        <f t="shared" ref="F132:F195" si="27">VLOOKUP($D132,peb,34,FALSE)</f>
        <v>25</v>
      </c>
      <c r="G132" s="45">
        <f t="shared" ref="G132:G195" si="28">VLOOKUP($D132,mar,34,FALSE)</f>
        <v>58</v>
      </c>
      <c r="H132" s="45">
        <f t="shared" ref="H132:H195" si="29">VLOOKUP($D132,apr,34,FALSE)</f>
        <v>63</v>
      </c>
      <c r="I132" s="45">
        <f t="shared" ref="I132:I195" si="30">VLOOKUP($D132,mei,34,FALSE)</f>
        <v>48</v>
      </c>
      <c r="J132" s="45">
        <f t="shared" ref="J132:J195" si="31">VLOOKUP($D132,jun,34,FALSE)</f>
        <v>25</v>
      </c>
      <c r="K132" s="45">
        <f t="shared" ref="K132:K195" si="32">VLOOKUP($D132,jul,34,FALSE)</f>
        <v>15</v>
      </c>
      <c r="L132" s="45">
        <f t="shared" ref="L132:L195" si="33">VLOOKUP($D132,ags,34,FALSE)</f>
        <v>3</v>
      </c>
      <c r="M132" s="45">
        <f t="shared" ref="M132:M195" si="34">VLOOKUP($D132,sep,34,FALSE)</f>
        <v>30</v>
      </c>
      <c r="N132" s="45">
        <f t="shared" ref="N132:N195" si="35">VLOOKUP($D132,okt,34,FALSE)</f>
        <v>46</v>
      </c>
      <c r="O132" s="45">
        <f t="shared" ref="O132:O195" si="36">VLOOKUP($D132,nop,34,FALSE)</f>
        <v>73</v>
      </c>
      <c r="P132" s="45">
        <f t="shared" ref="P132:P195" si="37">VLOOKUP($D132,des,34,FALSE)</f>
        <v>50</v>
      </c>
      <c r="Q132" s="45">
        <f t="shared" si="25"/>
        <v>73</v>
      </c>
      <c r="R132" s="48"/>
    </row>
    <row r="133" spans="3:18" x14ac:dyDescent="0.2">
      <c r="C133" s="43" t="str">
        <f>VLOOKUP(D133,[4]DBASE!$B$3:$P$923,2,FALSE)</f>
        <v>Sareng</v>
      </c>
      <c r="D133" s="47">
        <f>[4]jan!C137</f>
        <v>350619033</v>
      </c>
      <c r="E133" s="45">
        <f t="shared" si="26"/>
        <v>52</v>
      </c>
      <c r="F133" s="45">
        <f t="shared" si="27"/>
        <v>45</v>
      </c>
      <c r="G133" s="45">
        <f t="shared" si="28"/>
        <v>67</v>
      </c>
      <c r="H133" s="45">
        <f t="shared" si="29"/>
        <v>72</v>
      </c>
      <c r="I133" s="45">
        <f t="shared" si="30"/>
        <v>23</v>
      </c>
      <c r="J133" s="45">
        <f t="shared" si="31"/>
        <v>46</v>
      </c>
      <c r="K133" s="45">
        <f t="shared" si="32"/>
        <v>16</v>
      </c>
      <c r="L133" s="45">
        <f t="shared" si="33"/>
        <v>7</v>
      </c>
      <c r="M133" s="45">
        <f t="shared" si="34"/>
        <v>12</v>
      </c>
      <c r="N133" s="45">
        <f t="shared" si="35"/>
        <v>54</v>
      </c>
      <c r="O133" s="45">
        <f t="shared" si="36"/>
        <v>57</v>
      </c>
      <c r="P133" s="45">
        <f t="shared" si="37"/>
        <v>60</v>
      </c>
      <c r="Q133" s="45">
        <f t="shared" ref="Q133:Q196" si="38">MAX(E133:P133)</f>
        <v>72</v>
      </c>
      <c r="R133" s="48"/>
    </row>
    <row r="134" spans="3:18" x14ac:dyDescent="0.2">
      <c r="C134" s="43" t="str">
        <f>VLOOKUP(D134,[4]DBASE!$B$3:$P$923,2,FALSE)</f>
        <v>Dolopo</v>
      </c>
      <c r="D134" s="47">
        <f>[4]jan!C138</f>
        <v>350619034</v>
      </c>
      <c r="E134" s="45">
        <f t="shared" si="26"/>
        <v>35</v>
      </c>
      <c r="F134" s="45">
        <f t="shared" si="27"/>
        <v>44</v>
      </c>
      <c r="G134" s="45">
        <f t="shared" si="28"/>
        <v>51</v>
      </c>
      <c r="H134" s="45">
        <f t="shared" si="29"/>
        <v>45</v>
      </c>
      <c r="I134" s="45">
        <f t="shared" si="30"/>
        <v>16</v>
      </c>
      <c r="J134" s="45">
        <f t="shared" si="31"/>
        <v>45</v>
      </c>
      <c r="K134" s="45">
        <f t="shared" si="32"/>
        <v>10</v>
      </c>
      <c r="L134" s="45">
        <f t="shared" si="33"/>
        <v>4</v>
      </c>
      <c r="M134" s="45">
        <f t="shared" si="34"/>
        <v>18</v>
      </c>
      <c r="N134" s="45">
        <f t="shared" si="35"/>
        <v>31</v>
      </c>
      <c r="O134" s="45">
        <f t="shared" si="36"/>
        <v>45</v>
      </c>
      <c r="P134" s="45">
        <f t="shared" si="37"/>
        <v>65</v>
      </c>
      <c r="Q134" s="45">
        <f t="shared" si="38"/>
        <v>65</v>
      </c>
      <c r="R134" s="48"/>
    </row>
    <row r="135" spans="3:18" x14ac:dyDescent="0.2">
      <c r="C135" s="43" t="str">
        <f>VLOOKUP(D135,[4]DBASE!$B$3:$P$923,2,FALSE)</f>
        <v>Karanganyar</v>
      </c>
      <c r="D135" s="47">
        <f>[4]jan!C139</f>
        <v>350619035</v>
      </c>
      <c r="E135" s="45">
        <f t="shared" si="26"/>
        <v>28</v>
      </c>
      <c r="F135" s="45">
        <f t="shared" si="27"/>
        <v>25</v>
      </c>
      <c r="G135" s="45">
        <f t="shared" si="28"/>
        <v>24</v>
      </c>
      <c r="H135" s="45">
        <f t="shared" si="29"/>
        <v>22</v>
      </c>
      <c r="I135" s="45">
        <f t="shared" si="30"/>
        <v>26</v>
      </c>
      <c r="J135" s="45">
        <f t="shared" si="31"/>
        <v>23</v>
      </c>
      <c r="K135" s="45">
        <f t="shared" si="32"/>
        <v>18</v>
      </c>
      <c r="L135" s="45">
        <f t="shared" si="33"/>
        <v>16</v>
      </c>
      <c r="M135" s="45">
        <f t="shared" si="34"/>
        <v>19</v>
      </c>
      <c r="N135" s="45">
        <f t="shared" si="35"/>
        <v>26</v>
      </c>
      <c r="O135" s="45">
        <f t="shared" si="36"/>
        <v>30</v>
      </c>
      <c r="P135" s="45">
        <f t="shared" si="37"/>
        <v>30</v>
      </c>
      <c r="Q135" s="45">
        <f t="shared" si="38"/>
        <v>30</v>
      </c>
      <c r="R135" s="48"/>
    </row>
    <row r="136" spans="3:18" x14ac:dyDescent="0.2">
      <c r="C136" s="43" t="str">
        <f>VLOOKUP(D136,[4]DBASE!$B$3:$P$923,2,FALSE)</f>
        <v>Krangkeng</v>
      </c>
      <c r="D136" s="47">
        <f>[4]jan!C140</f>
        <v>350619036</v>
      </c>
      <c r="E136" s="45">
        <f t="shared" si="26"/>
        <v>65</v>
      </c>
      <c r="F136" s="45">
        <f t="shared" si="27"/>
        <v>32</v>
      </c>
      <c r="G136" s="45">
        <f t="shared" si="28"/>
        <v>64</v>
      </c>
      <c r="H136" s="45">
        <f t="shared" si="29"/>
        <v>39</v>
      </c>
      <c r="I136" s="45">
        <f t="shared" si="30"/>
        <v>28</v>
      </c>
      <c r="J136" s="45">
        <f t="shared" si="31"/>
        <v>28</v>
      </c>
      <c r="K136" s="45">
        <f t="shared" si="32"/>
        <v>10</v>
      </c>
      <c r="L136" s="45">
        <f t="shared" si="33"/>
        <v>9</v>
      </c>
      <c r="M136" s="45">
        <f t="shared" si="34"/>
        <v>41</v>
      </c>
      <c r="N136" s="45">
        <f t="shared" si="35"/>
        <v>49</v>
      </c>
      <c r="O136" s="45">
        <f t="shared" si="36"/>
        <v>52</v>
      </c>
      <c r="P136" s="45">
        <f t="shared" si="37"/>
        <v>62</v>
      </c>
      <c r="Q136" s="45">
        <f t="shared" si="38"/>
        <v>65</v>
      </c>
      <c r="R136" s="48"/>
    </row>
    <row r="137" spans="3:18" x14ac:dyDescent="0.2">
      <c r="C137" s="43" t="str">
        <f>VLOOKUP(D137,[4]DBASE!$B$3:$P$923,2,FALSE)</f>
        <v>Kantor Barat</v>
      </c>
      <c r="D137" s="47">
        <f>[4]jan!C141</f>
        <v>350620001</v>
      </c>
      <c r="E137" s="45">
        <f t="shared" si="26"/>
        <v>38</v>
      </c>
      <c r="F137" s="45">
        <f t="shared" si="27"/>
        <v>28</v>
      </c>
      <c r="G137" s="45">
        <f t="shared" si="28"/>
        <v>56</v>
      </c>
      <c r="H137" s="45">
        <f t="shared" si="29"/>
        <v>82</v>
      </c>
      <c r="I137" s="45">
        <f t="shared" si="30"/>
        <v>23</v>
      </c>
      <c r="J137" s="45">
        <f t="shared" si="31"/>
        <v>31</v>
      </c>
      <c r="K137" s="45">
        <f t="shared" si="32"/>
        <v>17</v>
      </c>
      <c r="L137" s="45">
        <f t="shared" si="33"/>
        <v>52</v>
      </c>
      <c r="M137" s="45">
        <f t="shared" si="34"/>
        <v>49</v>
      </c>
      <c r="N137" s="45">
        <f t="shared" si="35"/>
        <v>27</v>
      </c>
      <c r="O137" s="45">
        <f t="shared" si="36"/>
        <v>69</v>
      </c>
      <c r="P137" s="45">
        <f t="shared" si="37"/>
        <v>91</v>
      </c>
      <c r="Q137" s="45">
        <f t="shared" si="38"/>
        <v>91</v>
      </c>
      <c r="R137" s="48"/>
    </row>
    <row r="138" spans="3:18" x14ac:dyDescent="0.2">
      <c r="C138" s="43" t="str">
        <f>VLOOKUP(D138,[4]DBASE!$B$3:$P$923,2,FALSE)</f>
        <v>Karangmojo</v>
      </c>
      <c r="D138" s="47">
        <f>[4]jan!C142</f>
        <v>350620002</v>
      </c>
      <c r="E138" s="45">
        <f t="shared" si="26"/>
        <v>32</v>
      </c>
      <c r="F138" s="45">
        <f t="shared" si="27"/>
        <v>46</v>
      </c>
      <c r="G138" s="45">
        <f t="shared" si="28"/>
        <v>53</v>
      </c>
      <c r="H138" s="45">
        <f t="shared" si="29"/>
        <v>89</v>
      </c>
      <c r="I138" s="45">
        <f t="shared" si="30"/>
        <v>28</v>
      </c>
      <c r="J138" s="45">
        <f t="shared" si="31"/>
        <v>25</v>
      </c>
      <c r="K138" s="45">
        <f t="shared" si="32"/>
        <v>35</v>
      </c>
      <c r="L138" s="45">
        <f t="shared" si="33"/>
        <v>59</v>
      </c>
      <c r="M138" s="45">
        <f t="shared" si="34"/>
        <v>14</v>
      </c>
      <c r="N138" s="45">
        <f t="shared" si="35"/>
        <v>31</v>
      </c>
      <c r="O138" s="45">
        <f t="shared" si="36"/>
        <v>59</v>
      </c>
      <c r="P138" s="45">
        <f t="shared" si="37"/>
        <v>39</v>
      </c>
      <c r="Q138" s="45">
        <f t="shared" si="38"/>
        <v>89</v>
      </c>
      <c r="R138" s="48"/>
    </row>
    <row r="139" spans="3:18" x14ac:dyDescent="0.2">
      <c r="C139" s="43" t="str">
        <f>VLOOKUP(D139,[4]DBASE!$B$3:$P$923,2,FALSE)</f>
        <v>Taji</v>
      </c>
      <c r="D139" s="47">
        <f>[4]jan!C143</f>
        <v>350620003</v>
      </c>
      <c r="E139" s="45">
        <f t="shared" si="26"/>
        <v>100</v>
      </c>
      <c r="F139" s="45">
        <f t="shared" si="27"/>
        <v>64</v>
      </c>
      <c r="G139" s="45">
        <f t="shared" si="28"/>
        <v>79</v>
      </c>
      <c r="H139" s="45">
        <f t="shared" si="29"/>
        <v>79</v>
      </c>
      <c r="I139" s="45">
        <f t="shared" si="30"/>
        <v>63</v>
      </c>
      <c r="J139" s="45">
        <f t="shared" si="31"/>
        <v>50</v>
      </c>
      <c r="K139" s="45">
        <f t="shared" si="32"/>
        <v>17</v>
      </c>
      <c r="L139" s="45">
        <f t="shared" si="33"/>
        <v>74</v>
      </c>
      <c r="M139" s="45">
        <f t="shared" si="34"/>
        <v>68</v>
      </c>
      <c r="N139" s="45">
        <f t="shared" si="35"/>
        <v>65</v>
      </c>
      <c r="O139" s="45">
        <f t="shared" si="36"/>
        <v>130</v>
      </c>
      <c r="P139" s="45">
        <f t="shared" si="37"/>
        <v>110</v>
      </c>
      <c r="Q139" s="45">
        <f t="shared" si="38"/>
        <v>130</v>
      </c>
      <c r="R139" s="48"/>
    </row>
    <row r="140" spans="3:18" x14ac:dyDescent="0.2">
      <c r="C140" s="43" t="str">
        <f>VLOOKUP(D140,[4]DBASE!$B$3:$P$923,2,FALSE)</f>
        <v>Purwodadi</v>
      </c>
      <c r="D140" s="47">
        <f>[4]jan!C144</f>
        <v>350620004</v>
      </c>
      <c r="E140" s="45">
        <f t="shared" si="26"/>
        <v>38</v>
      </c>
      <c r="F140" s="45">
        <f t="shared" si="27"/>
        <v>50</v>
      </c>
      <c r="G140" s="45">
        <f t="shared" si="28"/>
        <v>36</v>
      </c>
      <c r="H140" s="45">
        <f t="shared" si="29"/>
        <v>65</v>
      </c>
      <c r="I140" s="45">
        <f t="shared" si="30"/>
        <v>52</v>
      </c>
      <c r="J140" s="45">
        <f t="shared" si="31"/>
        <v>30</v>
      </c>
      <c r="K140" s="45">
        <f t="shared" si="32"/>
        <v>25</v>
      </c>
      <c r="L140" s="45">
        <f t="shared" si="33"/>
        <v>73</v>
      </c>
      <c r="M140" s="45">
        <f t="shared" si="34"/>
        <v>48</v>
      </c>
      <c r="N140" s="45">
        <f t="shared" si="35"/>
        <v>24</v>
      </c>
      <c r="O140" s="45">
        <f t="shared" si="36"/>
        <v>92</v>
      </c>
      <c r="P140" s="45">
        <f t="shared" si="37"/>
        <v>50</v>
      </c>
      <c r="Q140" s="45">
        <f t="shared" si="38"/>
        <v>92</v>
      </c>
      <c r="R140" s="48"/>
    </row>
    <row r="141" spans="3:18" x14ac:dyDescent="0.2">
      <c r="C141" s="43" t="str">
        <f>VLOOKUP(D141,[4]DBASE!$B$3:$P$923,2,FALSE)</f>
        <v>Jungke</v>
      </c>
      <c r="D141" s="47">
        <f>[4]jan!C145</f>
        <v>350620005</v>
      </c>
      <c r="E141" s="45">
        <f t="shared" si="26"/>
        <v>53</v>
      </c>
      <c r="F141" s="45">
        <f t="shared" si="27"/>
        <v>63</v>
      </c>
      <c r="G141" s="45">
        <f t="shared" si="28"/>
        <v>50</v>
      </c>
      <c r="H141" s="45">
        <f t="shared" si="29"/>
        <v>73</v>
      </c>
      <c r="I141" s="45">
        <f t="shared" si="30"/>
        <v>64</v>
      </c>
      <c r="J141" s="45">
        <f t="shared" si="31"/>
        <v>34</v>
      </c>
      <c r="K141" s="45">
        <f t="shared" si="32"/>
        <v>30</v>
      </c>
      <c r="L141" s="45">
        <f t="shared" si="33"/>
        <v>78</v>
      </c>
      <c r="M141" s="45">
        <f t="shared" si="34"/>
        <v>45</v>
      </c>
      <c r="N141" s="45">
        <f t="shared" si="35"/>
        <v>42</v>
      </c>
      <c r="O141" s="45">
        <f t="shared" si="36"/>
        <v>100</v>
      </c>
      <c r="P141" s="45">
        <f t="shared" si="37"/>
        <v>63</v>
      </c>
      <c r="Q141" s="45">
        <f t="shared" si="38"/>
        <v>100</v>
      </c>
      <c r="R141" s="48"/>
    </row>
    <row r="142" spans="3:18" x14ac:dyDescent="0.2">
      <c r="C142" s="43" t="str">
        <f>VLOOKUP(D142,[4]DBASE!$B$3:$P$923,2,FALSE)</f>
        <v>Tinap</v>
      </c>
      <c r="D142" s="47">
        <f>[4]jan!C146</f>
        <v>350620006</v>
      </c>
      <c r="E142" s="45">
        <f t="shared" si="26"/>
        <v>51</v>
      </c>
      <c r="F142" s="45">
        <f t="shared" si="27"/>
        <v>25</v>
      </c>
      <c r="G142" s="45">
        <f t="shared" si="28"/>
        <v>84</v>
      </c>
      <c r="H142" s="45">
        <f t="shared" si="29"/>
        <v>67</v>
      </c>
      <c r="I142" s="45">
        <f t="shared" si="30"/>
        <v>49</v>
      </c>
      <c r="J142" s="45">
        <f t="shared" si="31"/>
        <v>34</v>
      </c>
      <c r="K142" s="45">
        <f t="shared" si="32"/>
        <v>51</v>
      </c>
      <c r="L142" s="45">
        <f t="shared" si="33"/>
        <v>10</v>
      </c>
      <c r="M142" s="45">
        <f t="shared" si="34"/>
        <v>13</v>
      </c>
      <c r="N142" s="45">
        <f t="shared" si="35"/>
        <v>33</v>
      </c>
      <c r="O142" s="45">
        <f t="shared" si="36"/>
        <v>81</v>
      </c>
      <c r="P142" s="45">
        <f t="shared" si="37"/>
        <v>50</v>
      </c>
      <c r="Q142" s="45">
        <f t="shared" si="38"/>
        <v>84</v>
      </c>
      <c r="R142" s="48"/>
    </row>
    <row r="143" spans="3:18" x14ac:dyDescent="0.2">
      <c r="C143" s="43" t="str">
        <f>VLOOKUP(D143,[4]DBASE!$B$3:$P$923,2,FALSE)</f>
        <v>Bendo MGT</v>
      </c>
      <c r="D143" s="47">
        <f>[4]jan!C147</f>
        <v>350620007</v>
      </c>
      <c r="E143" s="45">
        <f t="shared" si="26"/>
        <v>31</v>
      </c>
      <c r="F143" s="45">
        <f t="shared" si="27"/>
        <v>19</v>
      </c>
      <c r="G143" s="45">
        <f t="shared" si="28"/>
        <v>23</v>
      </c>
      <c r="H143" s="45">
        <f t="shared" si="29"/>
        <v>31</v>
      </c>
      <c r="I143" s="45">
        <f t="shared" si="30"/>
        <v>30</v>
      </c>
      <c r="J143" s="45">
        <f t="shared" si="31"/>
        <v>35</v>
      </c>
      <c r="K143" s="45">
        <f t="shared" si="32"/>
        <v>30</v>
      </c>
      <c r="L143" s="45">
        <f t="shared" si="33"/>
        <v>30</v>
      </c>
      <c r="M143" s="45">
        <f t="shared" si="34"/>
        <v>20</v>
      </c>
      <c r="N143" s="45">
        <f t="shared" si="35"/>
        <v>31</v>
      </c>
      <c r="O143" s="45">
        <f t="shared" si="36"/>
        <v>31</v>
      </c>
      <c r="P143" s="45">
        <f t="shared" si="37"/>
        <v>44</v>
      </c>
      <c r="Q143" s="45">
        <f t="shared" si="38"/>
        <v>44</v>
      </c>
      <c r="R143" s="48"/>
    </row>
    <row r="144" spans="3:18" x14ac:dyDescent="0.2">
      <c r="C144" s="43" t="str">
        <f>VLOOKUP(D144,[4]DBASE!$B$3:$P$923,2,FALSE)</f>
        <v>Gandongkerik</v>
      </c>
      <c r="D144" s="47">
        <f>[4]jan!C148</f>
        <v>350620008</v>
      </c>
      <c r="E144" s="45">
        <f t="shared" si="26"/>
        <v>32</v>
      </c>
      <c r="F144" s="45">
        <f t="shared" si="27"/>
        <v>48</v>
      </c>
      <c r="G144" s="45">
        <f t="shared" si="28"/>
        <v>57</v>
      </c>
      <c r="H144" s="45">
        <f t="shared" si="29"/>
        <v>40</v>
      </c>
      <c r="I144" s="45">
        <f t="shared" si="30"/>
        <v>50</v>
      </c>
      <c r="J144" s="45">
        <f t="shared" si="31"/>
        <v>57</v>
      </c>
      <c r="K144" s="45">
        <f t="shared" si="32"/>
        <v>10</v>
      </c>
      <c r="L144" s="45">
        <f t="shared" si="33"/>
        <v>40</v>
      </c>
      <c r="M144" s="45">
        <f t="shared" si="34"/>
        <v>18</v>
      </c>
      <c r="N144" s="45">
        <f t="shared" si="35"/>
        <v>24</v>
      </c>
      <c r="O144" s="45">
        <f t="shared" si="36"/>
        <v>135</v>
      </c>
      <c r="P144" s="45">
        <f t="shared" si="37"/>
        <v>40</v>
      </c>
      <c r="Q144" s="45">
        <f t="shared" si="38"/>
        <v>135</v>
      </c>
      <c r="R144" s="48"/>
    </row>
    <row r="145" spans="3:18" x14ac:dyDescent="0.2">
      <c r="C145" s="43" t="str">
        <f>VLOOKUP(D145,[4]DBASE!$B$3:$P$923,2,FALSE)</f>
        <v>Jejeruk</v>
      </c>
      <c r="D145" s="47">
        <f>[4]jan!C149</f>
        <v>350620009</v>
      </c>
      <c r="E145" s="45">
        <f t="shared" si="26"/>
        <v>47</v>
      </c>
      <c r="F145" s="45">
        <f t="shared" si="27"/>
        <v>82</v>
      </c>
      <c r="G145" s="45">
        <f t="shared" si="28"/>
        <v>58</v>
      </c>
      <c r="H145" s="45">
        <f t="shared" si="29"/>
        <v>50</v>
      </c>
      <c r="I145" s="45">
        <f t="shared" si="30"/>
        <v>50</v>
      </c>
      <c r="J145" s="45">
        <f t="shared" si="31"/>
        <v>57</v>
      </c>
      <c r="K145" s="45">
        <f t="shared" si="32"/>
        <v>46</v>
      </c>
      <c r="L145" s="45">
        <f t="shared" si="33"/>
        <v>43</v>
      </c>
      <c r="M145" s="45">
        <f t="shared" si="34"/>
        <v>47</v>
      </c>
      <c r="N145" s="45">
        <f t="shared" si="35"/>
        <v>30</v>
      </c>
      <c r="O145" s="45">
        <f t="shared" si="36"/>
        <v>62</v>
      </c>
      <c r="P145" s="45">
        <f t="shared" si="37"/>
        <v>76</v>
      </c>
      <c r="Q145" s="45">
        <f t="shared" si="38"/>
        <v>82</v>
      </c>
      <c r="R145" s="48"/>
    </row>
    <row r="146" spans="3:18" x14ac:dyDescent="0.2">
      <c r="C146" s="43" t="str">
        <f>VLOOKUP(D146,[4]DBASE!$B$3:$P$923,2,FALSE)</f>
        <v>Sumberdodol</v>
      </c>
      <c r="D146" s="47">
        <f>[4]jan!C150</f>
        <v>350620010</v>
      </c>
      <c r="E146" s="45">
        <f t="shared" si="26"/>
        <v>63</v>
      </c>
      <c r="F146" s="45">
        <f t="shared" si="27"/>
        <v>59</v>
      </c>
      <c r="G146" s="45">
        <f t="shared" si="28"/>
        <v>39</v>
      </c>
      <c r="H146" s="45">
        <f t="shared" si="29"/>
        <v>33</v>
      </c>
      <c r="I146" s="45">
        <f t="shared" si="30"/>
        <v>48</v>
      </c>
      <c r="J146" s="45">
        <f t="shared" si="31"/>
        <v>67</v>
      </c>
      <c r="K146" s="45">
        <f t="shared" si="32"/>
        <v>28</v>
      </c>
      <c r="L146" s="45">
        <f t="shared" si="33"/>
        <v>18</v>
      </c>
      <c r="M146" s="45">
        <f t="shared" si="34"/>
        <v>52</v>
      </c>
      <c r="N146" s="45">
        <f t="shared" si="35"/>
        <v>57</v>
      </c>
      <c r="O146" s="45">
        <f t="shared" si="36"/>
        <v>49</v>
      </c>
      <c r="P146" s="45">
        <f t="shared" si="37"/>
        <v>83</v>
      </c>
      <c r="Q146" s="45">
        <f t="shared" si="38"/>
        <v>83</v>
      </c>
      <c r="R146" s="48"/>
    </row>
    <row r="147" spans="3:18" x14ac:dyDescent="0.2">
      <c r="C147" s="43" t="str">
        <f>VLOOKUP(D147,[4]DBASE!$B$3:$P$923,2,FALSE)</f>
        <v>Sarangan_MGT</v>
      </c>
      <c r="D147" s="47">
        <f>[4]jan!C151</f>
        <v>350620011</v>
      </c>
      <c r="E147" s="45">
        <f t="shared" si="26"/>
        <v>30</v>
      </c>
      <c r="F147" s="45">
        <f t="shared" si="27"/>
        <v>94</v>
      </c>
      <c r="G147" s="45">
        <f t="shared" si="28"/>
        <v>61</v>
      </c>
      <c r="H147" s="45">
        <f t="shared" si="29"/>
        <v>31</v>
      </c>
      <c r="I147" s="45">
        <f t="shared" si="30"/>
        <v>77</v>
      </c>
      <c r="J147" s="45">
        <f t="shared" si="31"/>
        <v>38</v>
      </c>
      <c r="K147" s="45">
        <f t="shared" si="32"/>
        <v>48</v>
      </c>
      <c r="L147" s="45">
        <f t="shared" si="33"/>
        <v>32</v>
      </c>
      <c r="M147" s="45">
        <f t="shared" si="34"/>
        <v>32</v>
      </c>
      <c r="N147" s="45">
        <f t="shared" si="35"/>
        <v>69</v>
      </c>
      <c r="O147" s="45">
        <f t="shared" si="36"/>
        <v>74</v>
      </c>
      <c r="P147" s="45">
        <f t="shared" si="37"/>
        <v>44</v>
      </c>
      <c r="Q147" s="45">
        <f t="shared" si="38"/>
        <v>94</v>
      </c>
      <c r="R147" s="48"/>
    </row>
    <row r="148" spans="3:18" x14ac:dyDescent="0.2">
      <c r="C148" s="43" t="str">
        <f>VLOOKUP(D148,[4]DBASE!$B$3:$P$923,2,FALSE)</f>
        <v>Nitikan</v>
      </c>
      <c r="D148" s="47">
        <f>[4]jan!C152</f>
        <v>350620012</v>
      </c>
      <c r="E148" s="45">
        <f t="shared" si="26"/>
        <v>58</v>
      </c>
      <c r="F148" s="45">
        <f t="shared" si="27"/>
        <v>45</v>
      </c>
      <c r="G148" s="45">
        <f t="shared" si="28"/>
        <v>45</v>
      </c>
      <c r="H148" s="45">
        <f t="shared" si="29"/>
        <v>65</v>
      </c>
      <c r="I148" s="45">
        <f t="shared" si="30"/>
        <v>39</v>
      </c>
      <c r="J148" s="45">
        <f t="shared" si="31"/>
        <v>51</v>
      </c>
      <c r="K148" s="45">
        <f t="shared" si="32"/>
        <v>32</v>
      </c>
      <c r="L148" s="45">
        <f t="shared" si="33"/>
        <v>26</v>
      </c>
      <c r="M148" s="45">
        <f t="shared" si="34"/>
        <v>43</v>
      </c>
      <c r="N148" s="45">
        <f t="shared" si="35"/>
        <v>24</v>
      </c>
      <c r="O148" s="45">
        <f t="shared" si="36"/>
        <v>72</v>
      </c>
      <c r="P148" s="45">
        <f t="shared" si="37"/>
        <v>91</v>
      </c>
      <c r="Q148" s="45">
        <f t="shared" si="38"/>
        <v>91</v>
      </c>
      <c r="R148" s="48"/>
    </row>
    <row r="149" spans="3:18" x14ac:dyDescent="0.2">
      <c r="C149" s="43" t="str">
        <f>VLOOKUP(D149,[4]DBASE!$B$3:$P$923,2,FALSE)</f>
        <v>Slagreng</v>
      </c>
      <c r="D149" s="47">
        <f>[4]jan!C153</f>
        <v>350620013</v>
      </c>
      <c r="E149" s="45">
        <f t="shared" si="26"/>
        <v>70</v>
      </c>
      <c r="F149" s="45">
        <f t="shared" si="27"/>
        <v>63</v>
      </c>
      <c r="G149" s="45">
        <f t="shared" si="28"/>
        <v>54</v>
      </c>
      <c r="H149" s="45">
        <f t="shared" si="29"/>
        <v>46</v>
      </c>
      <c r="I149" s="45">
        <f t="shared" si="30"/>
        <v>66</v>
      </c>
      <c r="J149" s="45">
        <f t="shared" si="31"/>
        <v>67</v>
      </c>
      <c r="K149" s="45">
        <f t="shared" si="32"/>
        <v>31</v>
      </c>
      <c r="L149" s="45">
        <f t="shared" si="33"/>
        <v>22</v>
      </c>
      <c r="M149" s="45">
        <f t="shared" si="34"/>
        <v>60</v>
      </c>
      <c r="N149" s="45">
        <f t="shared" si="35"/>
        <v>23</v>
      </c>
      <c r="O149" s="45">
        <f t="shared" si="36"/>
        <v>92</v>
      </c>
      <c r="P149" s="45">
        <f t="shared" si="37"/>
        <v>84</v>
      </c>
      <c r="Q149" s="45">
        <f t="shared" si="38"/>
        <v>92</v>
      </c>
      <c r="R149" s="48"/>
    </row>
    <row r="150" spans="3:18" x14ac:dyDescent="0.2">
      <c r="C150" s="43" t="str">
        <f>VLOOKUP(D150,[4]DBASE!$B$3:$P$923,2,FALSE)</f>
        <v>Jati</v>
      </c>
      <c r="D150" s="47">
        <f>[4]jan!C154</f>
        <v>350620014</v>
      </c>
      <c r="E150" s="45">
        <f t="shared" si="26"/>
        <v>50</v>
      </c>
      <c r="F150" s="45">
        <f t="shared" si="27"/>
        <v>37</v>
      </c>
      <c r="G150" s="45">
        <f t="shared" si="28"/>
        <v>33</v>
      </c>
      <c r="H150" s="45">
        <f t="shared" si="29"/>
        <v>30</v>
      </c>
      <c r="I150" s="45">
        <f t="shared" si="30"/>
        <v>28</v>
      </c>
      <c r="J150" s="45">
        <f t="shared" si="31"/>
        <v>12</v>
      </c>
      <c r="K150" s="45">
        <f t="shared" si="32"/>
        <v>4</v>
      </c>
      <c r="L150" s="45">
        <f t="shared" si="33"/>
        <v>4</v>
      </c>
      <c r="M150" s="45">
        <f t="shared" si="34"/>
        <v>28</v>
      </c>
      <c r="N150" s="45">
        <f t="shared" si="35"/>
        <v>22</v>
      </c>
      <c r="O150" s="45">
        <f t="shared" si="36"/>
        <v>59</v>
      </c>
      <c r="P150" s="45">
        <f t="shared" si="37"/>
        <v>23</v>
      </c>
      <c r="Q150" s="45">
        <f t="shared" si="38"/>
        <v>59</v>
      </c>
      <c r="R150" s="48"/>
    </row>
    <row r="151" spans="3:18" x14ac:dyDescent="0.2">
      <c r="C151" s="43" t="str">
        <f>VLOOKUP(D151,[4]DBASE!$B$3:$P$923,2,FALSE)</f>
        <v>Kawedanan</v>
      </c>
      <c r="D151" s="47">
        <f>[4]jan!C155</f>
        <v>350620015</v>
      </c>
      <c r="E151" s="45">
        <f t="shared" si="26"/>
        <v>58</v>
      </c>
      <c r="F151" s="45">
        <f t="shared" si="27"/>
        <v>71</v>
      </c>
      <c r="G151" s="45">
        <f t="shared" si="28"/>
        <v>41</v>
      </c>
      <c r="H151" s="45">
        <f t="shared" si="29"/>
        <v>17</v>
      </c>
      <c r="I151" s="45">
        <f t="shared" si="30"/>
        <v>43</v>
      </c>
      <c r="J151" s="45">
        <f t="shared" si="31"/>
        <v>22</v>
      </c>
      <c r="K151" s="45">
        <f t="shared" si="32"/>
        <v>41</v>
      </c>
      <c r="L151" s="45">
        <f t="shared" si="33"/>
        <v>6</v>
      </c>
      <c r="M151" s="45">
        <f t="shared" si="34"/>
        <v>5</v>
      </c>
      <c r="N151" s="45">
        <f t="shared" si="35"/>
        <v>32</v>
      </c>
      <c r="O151" s="45">
        <f t="shared" si="36"/>
        <v>55</v>
      </c>
      <c r="P151" s="45">
        <f t="shared" si="37"/>
        <v>74</v>
      </c>
      <c r="Q151" s="45">
        <f t="shared" si="38"/>
        <v>74</v>
      </c>
      <c r="R151" s="48"/>
    </row>
    <row r="152" spans="3:18" x14ac:dyDescent="0.2">
      <c r="C152" s="43" t="str">
        <f>VLOOKUP(D152,[4]DBASE!$B$3:$P$923,2,FALSE)</f>
        <v>Bogem Rejosari</v>
      </c>
      <c r="D152" s="47">
        <f>[4]jan!C156</f>
        <v>350620016</v>
      </c>
      <c r="E152" s="45">
        <f t="shared" si="26"/>
        <v>35</v>
      </c>
      <c r="F152" s="45">
        <f t="shared" si="27"/>
        <v>68</v>
      </c>
      <c r="G152" s="45">
        <f t="shared" si="28"/>
        <v>37</v>
      </c>
      <c r="H152" s="45">
        <f t="shared" si="29"/>
        <v>15</v>
      </c>
      <c r="I152" s="45">
        <f t="shared" si="30"/>
        <v>42</v>
      </c>
      <c r="J152" s="45">
        <f t="shared" si="31"/>
        <v>31</v>
      </c>
      <c r="K152" s="45">
        <f t="shared" si="32"/>
        <v>75</v>
      </c>
      <c r="L152" s="45">
        <f t="shared" si="33"/>
        <v>13</v>
      </c>
      <c r="M152" s="45">
        <f t="shared" si="34"/>
        <v>14</v>
      </c>
      <c r="N152" s="45">
        <f t="shared" si="35"/>
        <v>34</v>
      </c>
      <c r="O152" s="45">
        <f t="shared" si="36"/>
        <v>50</v>
      </c>
      <c r="P152" s="45">
        <f t="shared" si="37"/>
        <v>47</v>
      </c>
      <c r="Q152" s="45">
        <f t="shared" si="38"/>
        <v>75</v>
      </c>
      <c r="R152" s="48"/>
    </row>
    <row r="153" spans="3:18" x14ac:dyDescent="0.2">
      <c r="C153" s="43" t="str">
        <f>VLOOKUP(D153,[4]DBASE!$B$3:$P$923,2,FALSE)</f>
        <v>Lembeyan</v>
      </c>
      <c r="D153" s="47">
        <f>[4]jan!C157</f>
        <v>350620017</v>
      </c>
      <c r="E153" s="45">
        <f t="shared" si="26"/>
        <v>103</v>
      </c>
      <c r="F153" s="45">
        <f t="shared" si="27"/>
        <v>88</v>
      </c>
      <c r="G153" s="45">
        <f t="shared" si="28"/>
        <v>74</v>
      </c>
      <c r="H153" s="45">
        <f t="shared" si="29"/>
        <v>35</v>
      </c>
      <c r="I153" s="45">
        <f t="shared" si="30"/>
        <v>30</v>
      </c>
      <c r="J153" s="45">
        <f t="shared" si="31"/>
        <v>41</v>
      </c>
      <c r="K153" s="45">
        <f t="shared" si="32"/>
        <v>7</v>
      </c>
      <c r="L153" s="45">
        <f t="shared" si="33"/>
        <v>30</v>
      </c>
      <c r="M153" s="45">
        <f t="shared" si="34"/>
        <v>34</v>
      </c>
      <c r="N153" s="45">
        <f t="shared" si="35"/>
        <v>48</v>
      </c>
      <c r="O153" s="45">
        <f t="shared" si="36"/>
        <v>44</v>
      </c>
      <c r="P153" s="45">
        <f t="shared" si="37"/>
        <v>62</v>
      </c>
      <c r="Q153" s="45">
        <f t="shared" si="38"/>
        <v>103</v>
      </c>
      <c r="R153" s="48"/>
    </row>
    <row r="154" spans="3:18" x14ac:dyDescent="0.2">
      <c r="C154" s="43" t="str">
        <f>VLOOKUP(D154,[4]DBASE!$B$3:$P$923,2,FALSE)</f>
        <v>Parang</v>
      </c>
      <c r="D154" s="47">
        <f>[4]jan!C158</f>
        <v>350620018</v>
      </c>
      <c r="E154" s="45">
        <f t="shared" si="26"/>
        <v>45</v>
      </c>
      <c r="F154" s="45">
        <f t="shared" si="27"/>
        <v>96</v>
      </c>
      <c r="G154" s="45">
        <f t="shared" si="28"/>
        <v>36</v>
      </c>
      <c r="H154" s="45">
        <f t="shared" si="29"/>
        <v>31</v>
      </c>
      <c r="I154" s="45">
        <f t="shared" si="30"/>
        <v>58</v>
      </c>
      <c r="J154" s="45">
        <f t="shared" si="31"/>
        <v>15</v>
      </c>
      <c r="K154" s="45">
        <f t="shared" si="32"/>
        <v>4</v>
      </c>
      <c r="L154" s="45">
        <f t="shared" si="33"/>
        <v>29</v>
      </c>
      <c r="M154" s="45">
        <f t="shared" si="34"/>
        <v>9</v>
      </c>
      <c r="N154" s="45">
        <f t="shared" si="35"/>
        <v>100</v>
      </c>
      <c r="O154" s="45">
        <f t="shared" si="36"/>
        <v>104</v>
      </c>
      <c r="P154" s="45">
        <f t="shared" si="37"/>
        <v>57</v>
      </c>
      <c r="Q154" s="45">
        <f t="shared" si="38"/>
        <v>104</v>
      </c>
      <c r="R154" s="48"/>
    </row>
    <row r="155" spans="3:18" x14ac:dyDescent="0.2">
      <c r="C155" s="43" t="str">
        <f>VLOOKUP(D155,[4]DBASE!$B$3:$P$923,2,FALSE)</f>
        <v>Poncol</v>
      </c>
      <c r="D155" s="47">
        <f>[4]jan!C159</f>
        <v>350620019</v>
      </c>
      <c r="E155" s="45">
        <f t="shared" si="26"/>
        <v>46</v>
      </c>
      <c r="F155" s="45">
        <f t="shared" si="27"/>
        <v>45</v>
      </c>
      <c r="G155" s="45">
        <f t="shared" si="28"/>
        <v>42</v>
      </c>
      <c r="H155" s="45">
        <f t="shared" si="29"/>
        <v>46</v>
      </c>
      <c r="I155" s="45">
        <f t="shared" si="30"/>
        <v>40</v>
      </c>
      <c r="J155" s="45">
        <f t="shared" si="31"/>
        <v>27</v>
      </c>
      <c r="K155" s="45">
        <f t="shared" si="32"/>
        <v>39</v>
      </c>
      <c r="L155" s="45">
        <f t="shared" si="33"/>
        <v>41</v>
      </c>
      <c r="M155" s="45">
        <f t="shared" si="34"/>
        <v>39</v>
      </c>
      <c r="N155" s="45">
        <f t="shared" si="35"/>
        <v>52</v>
      </c>
      <c r="O155" s="45">
        <f t="shared" si="36"/>
        <v>61</v>
      </c>
      <c r="P155" s="45">
        <f t="shared" si="37"/>
        <v>72</v>
      </c>
      <c r="Q155" s="45">
        <f t="shared" si="38"/>
        <v>72</v>
      </c>
      <c r="R155" s="48"/>
    </row>
    <row r="156" spans="3:18" x14ac:dyDescent="0.2">
      <c r="C156" s="43" t="str">
        <f>VLOOKUP(D156,[4]DBASE!$B$3:$P$923,2,FALSE)</f>
        <v>Lemi</v>
      </c>
      <c r="D156" s="47">
        <f>[4]jan!C160</f>
        <v>350620020</v>
      </c>
      <c r="E156" s="45">
        <f t="shared" si="26"/>
        <v>76</v>
      </c>
      <c r="F156" s="45">
        <f t="shared" si="27"/>
        <v>43</v>
      </c>
      <c r="G156" s="45">
        <f t="shared" si="28"/>
        <v>61</v>
      </c>
      <c r="H156" s="45">
        <f t="shared" si="29"/>
        <v>77</v>
      </c>
      <c r="I156" s="45">
        <f t="shared" si="30"/>
        <v>20</v>
      </c>
      <c r="J156" s="45">
        <f t="shared" si="31"/>
        <v>21</v>
      </c>
      <c r="K156" s="45">
        <f t="shared" si="32"/>
        <v>14</v>
      </c>
      <c r="L156" s="45">
        <f t="shared" si="33"/>
        <v>51</v>
      </c>
      <c r="M156" s="45">
        <f t="shared" si="34"/>
        <v>31</v>
      </c>
      <c r="N156" s="45">
        <f t="shared" si="35"/>
        <v>29</v>
      </c>
      <c r="O156" s="45">
        <f t="shared" si="36"/>
        <v>71</v>
      </c>
      <c r="P156" s="45">
        <f t="shared" si="37"/>
        <v>38</v>
      </c>
      <c r="Q156" s="45">
        <f t="shared" si="38"/>
        <v>77</v>
      </c>
      <c r="R156" s="48"/>
    </row>
    <row r="157" spans="3:18" x14ac:dyDescent="0.2">
      <c r="C157" s="43" t="str">
        <f>VLOOKUP(D157,[4]DBASE!$B$3:$P$923,2,FALSE)</f>
        <v>Mantingan</v>
      </c>
      <c r="D157" s="47">
        <f>[4]jan!C161</f>
        <v>350621001</v>
      </c>
      <c r="E157" s="45">
        <f t="shared" si="26"/>
        <v>80</v>
      </c>
      <c r="F157" s="45">
        <f t="shared" si="27"/>
        <v>19</v>
      </c>
      <c r="G157" s="45">
        <f t="shared" si="28"/>
        <v>114</v>
      </c>
      <c r="H157" s="45">
        <f t="shared" si="29"/>
        <v>103</v>
      </c>
      <c r="I157" s="45">
        <f t="shared" si="30"/>
        <v>26</v>
      </c>
      <c r="J157" s="45">
        <f t="shared" si="31"/>
        <v>54</v>
      </c>
      <c r="K157" s="45">
        <f t="shared" si="32"/>
        <v>11</v>
      </c>
      <c r="L157" s="45">
        <f t="shared" si="33"/>
        <v>110</v>
      </c>
      <c r="M157" s="45">
        <f t="shared" si="34"/>
        <v>15</v>
      </c>
      <c r="N157" s="45">
        <f t="shared" si="35"/>
        <v>61</v>
      </c>
      <c r="O157" s="45">
        <f t="shared" si="36"/>
        <v>32</v>
      </c>
      <c r="P157" s="45">
        <f t="shared" si="37"/>
        <v>30</v>
      </c>
      <c r="Q157" s="45">
        <f t="shared" si="38"/>
        <v>114</v>
      </c>
      <c r="R157" s="48"/>
    </row>
    <row r="158" spans="3:18" x14ac:dyDescent="0.2">
      <c r="C158" s="43" t="str">
        <f>VLOOKUP(D158,[4]DBASE!$B$3:$P$923,2,FALSE)</f>
        <v>Kab.Ngawi</v>
      </c>
      <c r="D158" s="47">
        <f>[4]jan!C162</f>
        <v>350621002</v>
      </c>
      <c r="E158" s="45">
        <f t="shared" si="26"/>
        <v>64</v>
      </c>
      <c r="F158" s="45">
        <f t="shared" si="27"/>
        <v>43</v>
      </c>
      <c r="G158" s="45">
        <f t="shared" si="28"/>
        <v>49</v>
      </c>
      <c r="H158" s="45">
        <f t="shared" si="29"/>
        <v>48</v>
      </c>
      <c r="I158" s="45">
        <f t="shared" si="30"/>
        <v>39</v>
      </c>
      <c r="J158" s="45">
        <f t="shared" si="31"/>
        <v>45</v>
      </c>
      <c r="K158" s="45">
        <f t="shared" si="32"/>
        <v>36</v>
      </c>
      <c r="L158" s="45">
        <f t="shared" si="33"/>
        <v>25</v>
      </c>
      <c r="M158" s="45">
        <f t="shared" si="34"/>
        <v>26</v>
      </c>
      <c r="N158" s="45">
        <f t="shared" si="35"/>
        <v>46</v>
      </c>
      <c r="O158" s="45">
        <f t="shared" si="36"/>
        <v>79</v>
      </c>
      <c r="P158" s="45">
        <f t="shared" si="37"/>
        <v>29</v>
      </c>
      <c r="Q158" s="45">
        <f t="shared" si="38"/>
        <v>79</v>
      </c>
      <c r="R158" s="48"/>
    </row>
    <row r="159" spans="3:18" x14ac:dyDescent="0.2">
      <c r="C159" s="43" t="str">
        <f>VLOOKUP(D159,[4]DBASE!$B$3:$P$923,2,FALSE)</f>
        <v>Ngrambe</v>
      </c>
      <c r="D159" s="47">
        <f>[4]jan!C163</f>
        <v>350621003</v>
      </c>
      <c r="E159" s="45">
        <f t="shared" si="26"/>
        <v>115</v>
      </c>
      <c r="F159" s="45">
        <f t="shared" si="27"/>
        <v>39.5</v>
      </c>
      <c r="G159" s="45">
        <f t="shared" si="28"/>
        <v>66</v>
      </c>
      <c r="H159" s="45">
        <f t="shared" si="29"/>
        <v>37</v>
      </c>
      <c r="I159" s="45">
        <f t="shared" si="30"/>
        <v>82</v>
      </c>
      <c r="J159" s="45">
        <f t="shared" si="31"/>
        <v>69</v>
      </c>
      <c r="K159" s="45">
        <f t="shared" si="32"/>
        <v>5</v>
      </c>
      <c r="L159" s="45">
        <f t="shared" si="33"/>
        <v>26</v>
      </c>
      <c r="M159" s="45">
        <f t="shared" si="34"/>
        <v>13</v>
      </c>
      <c r="N159" s="45">
        <f t="shared" si="35"/>
        <v>100.5</v>
      </c>
      <c r="O159" s="45">
        <f t="shared" si="36"/>
        <v>52</v>
      </c>
      <c r="P159" s="45">
        <f t="shared" si="37"/>
        <v>72</v>
      </c>
      <c r="Q159" s="45">
        <f t="shared" si="38"/>
        <v>115</v>
      </c>
      <c r="R159" s="48"/>
    </row>
    <row r="160" spans="3:18" x14ac:dyDescent="0.2">
      <c r="C160" s="43" t="str">
        <f>VLOOKUP(D160,[4]DBASE!$B$3:$P$923,2,FALSE)</f>
        <v>Kedung Urung-urung</v>
      </c>
      <c r="D160" s="47">
        <f>[4]jan!C164</f>
        <v>350621004</v>
      </c>
      <c r="E160" s="45">
        <f t="shared" si="26"/>
        <v>79</v>
      </c>
      <c r="F160" s="45">
        <f t="shared" si="27"/>
        <v>42</v>
      </c>
      <c r="G160" s="45">
        <f t="shared" si="28"/>
        <v>88</v>
      </c>
      <c r="H160" s="45">
        <f t="shared" si="29"/>
        <v>54</v>
      </c>
      <c r="I160" s="45">
        <f t="shared" si="30"/>
        <v>40</v>
      </c>
      <c r="J160" s="45">
        <f t="shared" si="31"/>
        <v>74</v>
      </c>
      <c r="K160" s="45">
        <f t="shared" si="32"/>
        <v>1</v>
      </c>
      <c r="L160" s="45">
        <f t="shared" si="33"/>
        <v>17</v>
      </c>
      <c r="M160" s="45">
        <f t="shared" si="34"/>
        <v>22</v>
      </c>
      <c r="N160" s="45">
        <f t="shared" si="35"/>
        <v>60</v>
      </c>
      <c r="O160" s="45">
        <f t="shared" si="36"/>
        <v>52</v>
      </c>
      <c r="P160" s="45">
        <f t="shared" si="37"/>
        <v>75</v>
      </c>
      <c r="Q160" s="45">
        <f t="shared" si="38"/>
        <v>88</v>
      </c>
      <c r="R160" s="48"/>
    </row>
    <row r="161" spans="3:18" x14ac:dyDescent="0.2">
      <c r="C161" s="43" t="str">
        <f>VLOOKUP(D161,[4]DBASE!$B$3:$P$923,2,FALSE)</f>
        <v>Tretes Ngawi</v>
      </c>
      <c r="D161" s="47">
        <f>[4]jan!C165</f>
        <v>350621005</v>
      </c>
      <c r="E161" s="45">
        <f t="shared" si="26"/>
        <v>64</v>
      </c>
      <c r="F161" s="45">
        <f t="shared" si="27"/>
        <v>32</v>
      </c>
      <c r="G161" s="45">
        <f t="shared" si="28"/>
        <v>106</v>
      </c>
      <c r="H161" s="45">
        <f t="shared" si="29"/>
        <v>89</v>
      </c>
      <c r="I161" s="45">
        <f t="shared" si="30"/>
        <v>37</v>
      </c>
      <c r="J161" s="45">
        <f t="shared" si="31"/>
        <v>45</v>
      </c>
      <c r="K161" s="45">
        <f t="shared" si="32"/>
        <v>1</v>
      </c>
      <c r="L161" s="45">
        <f t="shared" si="33"/>
        <v>38</v>
      </c>
      <c r="M161" s="45">
        <f t="shared" si="34"/>
        <v>13</v>
      </c>
      <c r="N161" s="45">
        <f t="shared" si="35"/>
        <v>56</v>
      </c>
      <c r="O161" s="45">
        <f t="shared" si="36"/>
        <v>50</v>
      </c>
      <c r="P161" s="45">
        <f t="shared" si="37"/>
        <v>83</v>
      </c>
      <c r="Q161" s="45">
        <f t="shared" si="38"/>
        <v>106</v>
      </c>
      <c r="R161" s="48"/>
    </row>
    <row r="162" spans="3:18" x14ac:dyDescent="0.2">
      <c r="C162" s="43" t="str">
        <f>VLOOKUP(D162,[4]DBASE!$B$3:$P$923,2,FALSE)</f>
        <v>Walikukun / Widodaren</v>
      </c>
      <c r="D162" s="47">
        <f>[4]jan!C166</f>
        <v>350621006</v>
      </c>
      <c r="E162" s="45">
        <f t="shared" si="26"/>
        <v>88</v>
      </c>
      <c r="F162" s="45">
        <f t="shared" si="27"/>
        <v>63</v>
      </c>
      <c r="G162" s="45">
        <f t="shared" si="28"/>
        <v>64</v>
      </c>
      <c r="H162" s="45">
        <f t="shared" si="29"/>
        <v>56</v>
      </c>
      <c r="I162" s="45">
        <f t="shared" si="30"/>
        <v>29</v>
      </c>
      <c r="J162" s="45">
        <f t="shared" si="31"/>
        <v>56</v>
      </c>
      <c r="K162" s="45">
        <f t="shared" si="32"/>
        <v>7</v>
      </c>
      <c r="L162" s="45">
        <f t="shared" si="33"/>
        <v>18</v>
      </c>
      <c r="M162" s="45">
        <f t="shared" si="34"/>
        <v>27</v>
      </c>
      <c r="N162" s="45">
        <f t="shared" si="35"/>
        <v>42</v>
      </c>
      <c r="O162" s="45">
        <f t="shared" si="36"/>
        <v>31</v>
      </c>
      <c r="P162" s="45">
        <f t="shared" si="37"/>
        <v>34</v>
      </c>
      <c r="Q162" s="45">
        <f t="shared" si="38"/>
        <v>88</v>
      </c>
      <c r="R162" s="48"/>
    </row>
    <row r="163" spans="3:18" x14ac:dyDescent="0.2">
      <c r="C163" s="43" t="str">
        <f>VLOOKUP(D163,[4]DBASE!$B$3:$P$923,2,FALSE)</f>
        <v>Jogorogo</v>
      </c>
      <c r="D163" s="47">
        <f>[4]jan!C167</f>
        <v>350621007</v>
      </c>
      <c r="E163" s="45">
        <f t="shared" si="26"/>
        <v>43</v>
      </c>
      <c r="F163" s="45">
        <f t="shared" si="27"/>
        <v>36</v>
      </c>
      <c r="G163" s="45">
        <f t="shared" si="28"/>
        <v>26</v>
      </c>
      <c r="H163" s="45">
        <f t="shared" si="29"/>
        <v>56</v>
      </c>
      <c r="I163" s="45">
        <f t="shared" si="30"/>
        <v>24</v>
      </c>
      <c r="J163" s="45">
        <f t="shared" si="31"/>
        <v>21</v>
      </c>
      <c r="K163" s="45">
        <f t="shared" si="32"/>
        <v>1</v>
      </c>
      <c r="L163" s="45">
        <f t="shared" si="33"/>
        <v>5</v>
      </c>
      <c r="M163" s="45">
        <f t="shared" si="34"/>
        <v>9</v>
      </c>
      <c r="N163" s="45">
        <f t="shared" si="35"/>
        <v>27</v>
      </c>
      <c r="O163" s="45">
        <f t="shared" si="36"/>
        <v>27</v>
      </c>
      <c r="P163" s="45">
        <f t="shared" si="37"/>
        <v>17</v>
      </c>
      <c r="Q163" s="45">
        <f t="shared" si="38"/>
        <v>56</v>
      </c>
      <c r="R163" s="48"/>
    </row>
    <row r="164" spans="3:18" x14ac:dyDescent="0.2">
      <c r="C164" s="43" t="str">
        <f>VLOOKUP(D164,[4]DBASE!$B$3:$P$923,2,FALSE)</f>
        <v>Kendal</v>
      </c>
      <c r="D164" s="47">
        <f>[4]jan!C168</f>
        <v>350621008</v>
      </c>
      <c r="E164" s="45">
        <f t="shared" si="26"/>
        <v>75</v>
      </c>
      <c r="F164" s="45">
        <f t="shared" si="27"/>
        <v>86</v>
      </c>
      <c r="G164" s="45">
        <f t="shared" si="28"/>
        <v>39</v>
      </c>
      <c r="H164" s="45">
        <f t="shared" si="29"/>
        <v>89</v>
      </c>
      <c r="I164" s="45">
        <f t="shared" si="30"/>
        <v>34</v>
      </c>
      <c r="J164" s="45">
        <f t="shared" si="31"/>
        <v>82</v>
      </c>
      <c r="K164" s="45">
        <f t="shared" si="32"/>
        <v>13</v>
      </c>
      <c r="L164" s="45">
        <f t="shared" si="33"/>
        <v>39</v>
      </c>
      <c r="M164" s="45">
        <f t="shared" si="34"/>
        <v>27</v>
      </c>
      <c r="N164" s="45">
        <f t="shared" si="35"/>
        <v>84</v>
      </c>
      <c r="O164" s="45">
        <f t="shared" si="36"/>
        <v>140</v>
      </c>
      <c r="P164" s="45">
        <f t="shared" si="37"/>
        <v>83</v>
      </c>
      <c r="Q164" s="45">
        <f t="shared" si="38"/>
        <v>140</v>
      </c>
      <c r="R164" s="48"/>
    </row>
    <row r="165" spans="3:18" x14ac:dyDescent="0.2">
      <c r="C165" s="43" t="str">
        <f>VLOOKUP(D165,[4]DBASE!$B$3:$P$923,2,FALSE)</f>
        <v>Kedung Galar</v>
      </c>
      <c r="D165" s="47">
        <f>[4]jan!C169</f>
        <v>350621009</v>
      </c>
      <c r="E165" s="45">
        <f t="shared" si="26"/>
        <v>70</v>
      </c>
      <c r="F165" s="45">
        <f t="shared" si="27"/>
        <v>54</v>
      </c>
      <c r="G165" s="45">
        <f t="shared" si="28"/>
        <v>69</v>
      </c>
      <c r="H165" s="45">
        <f t="shared" si="29"/>
        <v>45</v>
      </c>
      <c r="I165" s="45">
        <f t="shared" si="30"/>
        <v>31</v>
      </c>
      <c r="J165" s="45">
        <f t="shared" si="31"/>
        <v>32</v>
      </c>
      <c r="K165" s="45">
        <f t="shared" si="32"/>
        <v>10</v>
      </c>
      <c r="L165" s="45">
        <f t="shared" si="33"/>
        <v>8</v>
      </c>
      <c r="M165" s="45">
        <f t="shared" si="34"/>
        <v>28</v>
      </c>
      <c r="N165" s="45">
        <f t="shared" si="35"/>
        <v>34</v>
      </c>
      <c r="O165" s="45">
        <f t="shared" si="36"/>
        <v>45</v>
      </c>
      <c r="P165" s="45">
        <f t="shared" si="37"/>
        <v>39</v>
      </c>
      <c r="Q165" s="45">
        <f t="shared" si="38"/>
        <v>70</v>
      </c>
      <c r="R165" s="48"/>
    </row>
    <row r="166" spans="3:18" x14ac:dyDescent="0.2">
      <c r="C166" s="43" t="str">
        <f>VLOOKUP(D166,[4]DBASE!$B$3:$P$923,2,FALSE)</f>
        <v>Kedung Bendo</v>
      </c>
      <c r="D166" s="47">
        <f>[4]jan!C170</f>
        <v>350621010</v>
      </c>
      <c r="E166" s="45">
        <f t="shared" si="26"/>
        <v>69</v>
      </c>
      <c r="F166" s="45">
        <f t="shared" si="27"/>
        <v>41</v>
      </c>
      <c r="G166" s="45">
        <f t="shared" si="28"/>
        <v>56</v>
      </c>
      <c r="H166" s="45">
        <f t="shared" si="29"/>
        <v>50</v>
      </c>
      <c r="I166" s="45">
        <f t="shared" si="30"/>
        <v>22</v>
      </c>
      <c r="J166" s="45">
        <f t="shared" si="31"/>
        <v>35</v>
      </c>
      <c r="K166" s="45">
        <f t="shared" si="32"/>
        <v>25</v>
      </c>
      <c r="L166" s="45">
        <f t="shared" si="33"/>
        <v>17</v>
      </c>
      <c r="M166" s="45">
        <f t="shared" si="34"/>
        <v>17</v>
      </c>
      <c r="N166" s="45">
        <f t="shared" si="35"/>
        <v>85</v>
      </c>
      <c r="O166" s="45">
        <f t="shared" si="36"/>
        <v>127</v>
      </c>
      <c r="P166" s="45">
        <f t="shared" si="37"/>
        <v>74</v>
      </c>
      <c r="Q166" s="45">
        <f t="shared" si="38"/>
        <v>127</v>
      </c>
      <c r="R166" s="48"/>
    </row>
    <row r="167" spans="3:18" x14ac:dyDescent="0.2">
      <c r="C167" s="43" t="str">
        <f>VLOOKUP(D167,[4]DBASE!$B$3:$P$923,2,FALSE)</f>
        <v>Paron</v>
      </c>
      <c r="D167" s="47">
        <f>[4]jan!C171</f>
        <v>350621011</v>
      </c>
      <c r="E167" s="45">
        <f t="shared" si="26"/>
        <v>104</v>
      </c>
      <c r="F167" s="45">
        <f t="shared" si="27"/>
        <v>28</v>
      </c>
      <c r="G167" s="45">
        <f t="shared" si="28"/>
        <v>49</v>
      </c>
      <c r="H167" s="45">
        <f t="shared" si="29"/>
        <v>45</v>
      </c>
      <c r="I167" s="45">
        <f t="shared" si="30"/>
        <v>29</v>
      </c>
      <c r="J167" s="45">
        <f t="shared" si="31"/>
        <v>48</v>
      </c>
      <c r="K167" s="45">
        <f t="shared" si="32"/>
        <v>21</v>
      </c>
      <c r="L167" s="45">
        <f t="shared" si="33"/>
        <v>38</v>
      </c>
      <c r="M167" s="45">
        <f t="shared" si="34"/>
        <v>19</v>
      </c>
      <c r="N167" s="45">
        <f t="shared" si="35"/>
        <v>42</v>
      </c>
      <c r="O167" s="45">
        <f t="shared" si="36"/>
        <v>78</v>
      </c>
      <c r="P167" s="45">
        <f t="shared" si="37"/>
        <v>36</v>
      </c>
      <c r="Q167" s="45">
        <f t="shared" si="38"/>
        <v>104</v>
      </c>
      <c r="R167" s="48"/>
    </row>
    <row r="168" spans="3:18" x14ac:dyDescent="0.2">
      <c r="C168" s="43" t="str">
        <f>VLOOKUP(D168,[4]DBASE!$B$3:$P$923,2,FALSE)</f>
        <v>Mardiasri</v>
      </c>
      <c r="D168" s="47">
        <f>[4]jan!C172</f>
        <v>350621012</v>
      </c>
      <c r="E168" s="45">
        <f t="shared" si="26"/>
        <v>67</v>
      </c>
      <c r="F168" s="45">
        <f t="shared" si="27"/>
        <v>28</v>
      </c>
      <c r="G168" s="45">
        <f t="shared" si="28"/>
        <v>54</v>
      </c>
      <c r="H168" s="45">
        <f t="shared" si="29"/>
        <v>49</v>
      </c>
      <c r="I168" s="45">
        <f t="shared" si="30"/>
        <v>31</v>
      </c>
      <c r="J168" s="45">
        <f t="shared" si="31"/>
        <v>54</v>
      </c>
      <c r="K168" s="45">
        <f t="shared" si="32"/>
        <v>17.5</v>
      </c>
      <c r="L168" s="45">
        <f t="shared" si="33"/>
        <v>38.5</v>
      </c>
      <c r="M168" s="45">
        <f t="shared" si="34"/>
        <v>17</v>
      </c>
      <c r="N168" s="45">
        <f t="shared" si="35"/>
        <v>43</v>
      </c>
      <c r="O168" s="45">
        <f t="shared" si="36"/>
        <v>81</v>
      </c>
      <c r="P168" s="45">
        <f t="shared" si="37"/>
        <v>54</v>
      </c>
      <c r="Q168" s="45">
        <f t="shared" si="38"/>
        <v>81</v>
      </c>
      <c r="R168" s="48"/>
    </row>
    <row r="169" spans="3:18" x14ac:dyDescent="0.2">
      <c r="C169" s="43" t="str">
        <f>VLOOKUP(D169,[4]DBASE!$B$3:$P$923,2,FALSE)</f>
        <v>Ngale</v>
      </c>
      <c r="D169" s="47">
        <f>[4]jan!C173</f>
        <v>350621013</v>
      </c>
      <c r="E169" s="45">
        <f t="shared" si="26"/>
        <v>62</v>
      </c>
      <c r="F169" s="45">
        <f t="shared" si="27"/>
        <v>41.1</v>
      </c>
      <c r="G169" s="45">
        <f t="shared" si="28"/>
        <v>51.2</v>
      </c>
      <c r="H169" s="45">
        <f t="shared" si="29"/>
        <v>55</v>
      </c>
      <c r="I169" s="45">
        <f t="shared" si="30"/>
        <v>23.1</v>
      </c>
      <c r="J169" s="45">
        <f t="shared" si="31"/>
        <v>26.3</v>
      </c>
      <c r="K169" s="45">
        <f t="shared" si="32"/>
        <v>7.5</v>
      </c>
      <c r="L169" s="45">
        <f t="shared" si="33"/>
        <v>13.1</v>
      </c>
      <c r="M169" s="45">
        <f t="shared" si="34"/>
        <v>45.1</v>
      </c>
      <c r="N169" s="45">
        <f t="shared" si="35"/>
        <v>42.3</v>
      </c>
      <c r="O169" s="45">
        <f t="shared" si="36"/>
        <v>51.1</v>
      </c>
      <c r="P169" s="45">
        <f t="shared" si="37"/>
        <v>47.9</v>
      </c>
      <c r="Q169" s="45">
        <f t="shared" si="38"/>
        <v>62</v>
      </c>
      <c r="R169" s="48"/>
    </row>
    <row r="170" spans="3:18" x14ac:dyDescent="0.2">
      <c r="C170" s="43" t="str">
        <f>VLOOKUP(D170,[4]DBASE!$B$3:$P$923,2,FALSE)</f>
        <v>Padas</v>
      </c>
      <c r="D170" s="47">
        <f>[4]jan!C174</f>
        <v>350621014</v>
      </c>
      <c r="E170" s="45">
        <f t="shared" si="26"/>
        <v>87</v>
      </c>
      <c r="F170" s="45">
        <f t="shared" si="27"/>
        <v>44</v>
      </c>
      <c r="G170" s="45">
        <f t="shared" si="28"/>
        <v>39</v>
      </c>
      <c r="H170" s="45">
        <f t="shared" si="29"/>
        <v>86</v>
      </c>
      <c r="I170" s="45">
        <f t="shared" si="30"/>
        <v>24</v>
      </c>
      <c r="J170" s="45">
        <f t="shared" si="31"/>
        <v>22</v>
      </c>
      <c r="K170" s="45">
        <f t="shared" si="32"/>
        <v>0</v>
      </c>
      <c r="L170" s="45">
        <f t="shared" si="33"/>
        <v>13</v>
      </c>
      <c r="M170" s="45">
        <f t="shared" si="34"/>
        <v>24</v>
      </c>
      <c r="N170" s="45">
        <f t="shared" si="35"/>
        <v>73</v>
      </c>
      <c r="O170" s="45">
        <f t="shared" si="36"/>
        <v>78</v>
      </c>
      <c r="P170" s="45">
        <f t="shared" si="37"/>
        <v>57</v>
      </c>
      <c r="Q170" s="45">
        <f t="shared" si="38"/>
        <v>87</v>
      </c>
      <c r="R170" s="48"/>
    </row>
    <row r="171" spans="3:18" x14ac:dyDescent="0.2">
      <c r="C171" s="43" t="str">
        <f>VLOOKUP(D171,[4]DBASE!$B$3:$P$923,2,FALSE)</f>
        <v>Karangjati</v>
      </c>
      <c r="D171" s="47">
        <f>[4]jan!C175</f>
        <v>350621015</v>
      </c>
      <c r="E171" s="45">
        <f t="shared" si="26"/>
        <v>78</v>
      </c>
      <c r="F171" s="45">
        <f t="shared" si="27"/>
        <v>30</v>
      </c>
      <c r="G171" s="45">
        <f t="shared" si="28"/>
        <v>30</v>
      </c>
      <c r="H171" s="45">
        <f t="shared" si="29"/>
        <v>29</v>
      </c>
      <c r="I171" s="45">
        <f t="shared" si="30"/>
        <v>22</v>
      </c>
      <c r="J171" s="45">
        <f t="shared" si="31"/>
        <v>26</v>
      </c>
      <c r="K171" s="45">
        <f t="shared" si="32"/>
        <v>12</v>
      </c>
      <c r="L171" s="45">
        <f t="shared" si="33"/>
        <v>18</v>
      </c>
      <c r="M171" s="45">
        <f t="shared" si="34"/>
        <v>5</v>
      </c>
      <c r="N171" s="45">
        <f t="shared" si="35"/>
        <v>40</v>
      </c>
      <c r="O171" s="45">
        <f t="shared" si="36"/>
        <v>150</v>
      </c>
      <c r="P171" s="45">
        <f t="shared" si="37"/>
        <v>36</v>
      </c>
      <c r="Q171" s="45">
        <f t="shared" si="38"/>
        <v>150</v>
      </c>
      <c r="R171" s="48"/>
    </row>
    <row r="172" spans="3:18" x14ac:dyDescent="0.2">
      <c r="C172" s="43" t="str">
        <f>VLOOKUP(D172,[4]DBASE!$B$3:$P$923,2,FALSE)</f>
        <v>Sambiroto Ngawi</v>
      </c>
      <c r="D172" s="47">
        <f>[4]jan!C176</f>
        <v>350621016</v>
      </c>
      <c r="E172" s="45">
        <f t="shared" si="26"/>
        <v>75</v>
      </c>
      <c r="F172" s="45">
        <f t="shared" si="27"/>
        <v>80</v>
      </c>
      <c r="G172" s="45">
        <f t="shared" si="28"/>
        <v>35</v>
      </c>
      <c r="H172" s="45">
        <f t="shared" si="29"/>
        <v>55</v>
      </c>
      <c r="I172" s="45">
        <f t="shared" si="30"/>
        <v>84</v>
      </c>
      <c r="J172" s="45">
        <f t="shared" si="31"/>
        <v>54</v>
      </c>
      <c r="K172" s="45">
        <f t="shared" si="32"/>
        <v>41</v>
      </c>
      <c r="L172" s="45">
        <f t="shared" si="33"/>
        <v>11</v>
      </c>
      <c r="M172" s="45">
        <f t="shared" si="34"/>
        <v>40</v>
      </c>
      <c r="N172" s="45">
        <f t="shared" si="35"/>
        <v>68</v>
      </c>
      <c r="O172" s="45">
        <f t="shared" si="36"/>
        <v>115</v>
      </c>
      <c r="P172" s="45">
        <f t="shared" si="37"/>
        <v>40</v>
      </c>
      <c r="Q172" s="45">
        <f t="shared" si="38"/>
        <v>115</v>
      </c>
      <c r="R172" s="48"/>
    </row>
    <row r="173" spans="3:18" x14ac:dyDescent="0.2">
      <c r="C173" s="43" t="str">
        <f>VLOOKUP(D173,[4]DBASE!$B$3:$P$923,2,FALSE)</f>
        <v>Babadan Ngawi</v>
      </c>
      <c r="D173" s="47">
        <f>[4]jan!C177</f>
        <v>350621017</v>
      </c>
      <c r="E173" s="45">
        <f t="shared" si="26"/>
        <v>136</v>
      </c>
      <c r="F173" s="45">
        <f t="shared" si="27"/>
        <v>32</v>
      </c>
      <c r="G173" s="45">
        <f t="shared" si="28"/>
        <v>71</v>
      </c>
      <c r="H173" s="45">
        <f t="shared" si="29"/>
        <v>46</v>
      </c>
      <c r="I173" s="45">
        <f t="shared" si="30"/>
        <v>32</v>
      </c>
      <c r="J173" s="45">
        <f t="shared" si="31"/>
        <v>35</v>
      </c>
      <c r="K173" s="45">
        <f t="shared" si="32"/>
        <v>12</v>
      </c>
      <c r="L173" s="45">
        <f t="shared" si="33"/>
        <v>25</v>
      </c>
      <c r="M173" s="45">
        <f t="shared" si="34"/>
        <v>34</v>
      </c>
      <c r="N173" s="45">
        <f t="shared" si="35"/>
        <v>58</v>
      </c>
      <c r="O173" s="45">
        <f t="shared" si="36"/>
        <v>47</v>
      </c>
      <c r="P173" s="45">
        <f t="shared" si="37"/>
        <v>53</v>
      </c>
      <c r="Q173" s="45">
        <f t="shared" si="38"/>
        <v>136</v>
      </c>
      <c r="R173" s="48"/>
    </row>
    <row r="174" spans="3:18" x14ac:dyDescent="0.2">
      <c r="C174" s="43" t="str">
        <f>VLOOKUP(D174,[4]DBASE!$B$3:$P$923,2,FALSE)</f>
        <v>Begal</v>
      </c>
      <c r="D174" s="47">
        <f>[4]jan!C178</f>
        <v>350621018</v>
      </c>
      <c r="E174" s="45">
        <f t="shared" si="26"/>
        <v>53.5</v>
      </c>
      <c r="F174" s="45">
        <f t="shared" si="27"/>
        <v>104</v>
      </c>
      <c r="G174" s="45">
        <f t="shared" si="28"/>
        <v>66.3</v>
      </c>
      <c r="H174" s="45">
        <f t="shared" si="29"/>
        <v>54</v>
      </c>
      <c r="I174" s="45">
        <f t="shared" si="30"/>
        <v>35</v>
      </c>
      <c r="J174" s="45">
        <f t="shared" si="31"/>
        <v>30</v>
      </c>
      <c r="K174" s="45">
        <f t="shared" si="32"/>
        <v>9</v>
      </c>
      <c r="L174" s="45">
        <f t="shared" si="33"/>
        <v>38</v>
      </c>
      <c r="M174" s="45">
        <f t="shared" si="34"/>
        <v>16</v>
      </c>
      <c r="N174" s="45">
        <f t="shared" si="35"/>
        <v>40</v>
      </c>
      <c r="O174" s="45">
        <f t="shared" si="36"/>
        <v>53</v>
      </c>
      <c r="P174" s="45">
        <f t="shared" si="37"/>
        <v>51</v>
      </c>
      <c r="Q174" s="45">
        <f t="shared" si="38"/>
        <v>104</v>
      </c>
      <c r="R174" s="48"/>
    </row>
    <row r="175" spans="3:18" x14ac:dyDescent="0.2">
      <c r="C175" s="43" t="str">
        <f>VLOOKUP(D175,[4]DBASE!$B$3:$P$923,2,FALSE)</f>
        <v>Bekoh</v>
      </c>
      <c r="D175" s="47">
        <f>[4]jan!C179</f>
        <v>350621019</v>
      </c>
      <c r="E175" s="45">
        <f t="shared" si="26"/>
        <v>48</v>
      </c>
      <c r="F175" s="45">
        <f t="shared" si="27"/>
        <v>38</v>
      </c>
      <c r="G175" s="45">
        <f t="shared" si="28"/>
        <v>42</v>
      </c>
      <c r="H175" s="45">
        <f t="shared" si="29"/>
        <v>38</v>
      </c>
      <c r="I175" s="45">
        <f t="shared" si="30"/>
        <v>24</v>
      </c>
      <c r="J175" s="45">
        <f t="shared" si="31"/>
        <v>18</v>
      </c>
      <c r="K175" s="45">
        <f t="shared" si="32"/>
        <v>15</v>
      </c>
      <c r="L175" s="45">
        <f t="shared" si="33"/>
        <v>15</v>
      </c>
      <c r="M175" s="45">
        <f t="shared" si="34"/>
        <v>8</v>
      </c>
      <c r="N175" s="45">
        <f t="shared" si="35"/>
        <v>26</v>
      </c>
      <c r="O175" s="45">
        <f t="shared" si="36"/>
        <v>58</v>
      </c>
      <c r="P175" s="45">
        <f t="shared" si="37"/>
        <v>32</v>
      </c>
      <c r="Q175" s="45">
        <f t="shared" si="38"/>
        <v>58</v>
      </c>
      <c r="R175" s="48"/>
    </row>
    <row r="176" spans="3:18" x14ac:dyDescent="0.2">
      <c r="C176" s="43" t="str">
        <f>VLOOKUP(D176,[4]DBASE!$B$3:$P$923,2,FALSE)</f>
        <v>Papungan</v>
      </c>
      <c r="D176" s="47">
        <f>[4]jan!C180</f>
        <v>350621020</v>
      </c>
      <c r="E176" s="45">
        <f t="shared" si="26"/>
        <v>65</v>
      </c>
      <c r="F176" s="45">
        <f t="shared" si="27"/>
        <v>30</v>
      </c>
      <c r="G176" s="45">
        <f t="shared" si="28"/>
        <v>54</v>
      </c>
      <c r="H176" s="45">
        <f t="shared" si="29"/>
        <v>40</v>
      </c>
      <c r="I176" s="45">
        <f t="shared" si="30"/>
        <v>55</v>
      </c>
      <c r="J176" s="45">
        <f t="shared" si="31"/>
        <v>25</v>
      </c>
      <c r="K176" s="45">
        <f t="shared" si="32"/>
        <v>0</v>
      </c>
      <c r="L176" s="45">
        <f t="shared" si="33"/>
        <v>0</v>
      </c>
      <c r="M176" s="45">
        <f t="shared" si="34"/>
        <v>9</v>
      </c>
      <c r="N176" s="45">
        <f t="shared" si="35"/>
        <v>33</v>
      </c>
      <c r="O176" s="45">
        <f t="shared" si="36"/>
        <v>39</v>
      </c>
      <c r="P176" s="45">
        <f t="shared" si="37"/>
        <v>32</v>
      </c>
      <c r="Q176" s="45">
        <f t="shared" si="38"/>
        <v>65</v>
      </c>
      <c r="R176" s="48"/>
    </row>
    <row r="177" spans="3:18" x14ac:dyDescent="0.2">
      <c r="C177" s="43" t="str">
        <f>VLOOKUP(D177,[4]DBASE!$B$3:$P$923,2,FALSE)</f>
        <v>Kricak</v>
      </c>
      <c r="D177" s="47">
        <f>[4]jan!C181</f>
        <v>350621021</v>
      </c>
      <c r="E177" s="45">
        <f t="shared" si="26"/>
        <v>66</v>
      </c>
      <c r="F177" s="45">
        <f t="shared" si="27"/>
        <v>31</v>
      </c>
      <c r="G177" s="45">
        <f t="shared" si="28"/>
        <v>58</v>
      </c>
      <c r="H177" s="45">
        <f t="shared" si="29"/>
        <v>38</v>
      </c>
      <c r="I177" s="45">
        <f t="shared" si="30"/>
        <v>21</v>
      </c>
      <c r="J177" s="45">
        <f t="shared" si="31"/>
        <v>21</v>
      </c>
      <c r="K177" s="45">
        <f t="shared" si="32"/>
        <v>6</v>
      </c>
      <c r="L177" s="45">
        <f t="shared" si="33"/>
        <v>5</v>
      </c>
      <c r="M177" s="45">
        <f t="shared" si="34"/>
        <v>12</v>
      </c>
      <c r="N177" s="45">
        <f t="shared" si="35"/>
        <v>32</v>
      </c>
      <c r="O177" s="45">
        <f t="shared" si="36"/>
        <v>41</v>
      </c>
      <c r="P177" s="45">
        <f t="shared" si="37"/>
        <v>34</v>
      </c>
      <c r="Q177" s="45">
        <f t="shared" si="38"/>
        <v>66</v>
      </c>
      <c r="R177" s="48"/>
    </row>
    <row r="178" spans="3:18" x14ac:dyDescent="0.2">
      <c r="C178" s="43" t="str">
        <f>VLOOKUP(D178,[4]DBASE!$B$3:$P$923,2,FALSE)</f>
        <v>Guyung</v>
      </c>
      <c r="D178" s="47">
        <f>[4]jan!C182</f>
        <v>350621022</v>
      </c>
      <c r="E178" s="45">
        <f t="shared" si="26"/>
        <v>81</v>
      </c>
      <c r="F178" s="45">
        <f t="shared" si="27"/>
        <v>71</v>
      </c>
      <c r="G178" s="45">
        <f t="shared" si="28"/>
        <v>34</v>
      </c>
      <c r="H178" s="45">
        <f t="shared" si="29"/>
        <v>68</v>
      </c>
      <c r="I178" s="45">
        <f t="shared" si="30"/>
        <v>24</v>
      </c>
      <c r="J178" s="45">
        <f t="shared" si="31"/>
        <v>39</v>
      </c>
      <c r="K178" s="45">
        <f t="shared" si="32"/>
        <v>30</v>
      </c>
      <c r="L178" s="45">
        <f t="shared" si="33"/>
        <v>49</v>
      </c>
      <c r="M178" s="45">
        <f t="shared" si="34"/>
        <v>12</v>
      </c>
      <c r="N178" s="45">
        <f t="shared" si="35"/>
        <v>68</v>
      </c>
      <c r="O178" s="45">
        <f t="shared" si="36"/>
        <v>62</v>
      </c>
      <c r="P178" s="45">
        <f t="shared" si="37"/>
        <v>35</v>
      </c>
      <c r="Q178" s="45">
        <f t="shared" si="38"/>
        <v>81</v>
      </c>
      <c r="R178" s="48"/>
    </row>
    <row r="179" spans="3:18" x14ac:dyDescent="0.2">
      <c r="C179" s="43" t="str">
        <f>VLOOKUP(D179,[4]DBASE!$B$3:$P$923,2,FALSE)</f>
        <v>Sudhono</v>
      </c>
      <c r="D179" s="47">
        <f>[4]jan!C183</f>
        <v>350621023</v>
      </c>
      <c r="E179" s="45">
        <f t="shared" si="26"/>
        <v>51</v>
      </c>
      <c r="F179" s="45">
        <f t="shared" si="27"/>
        <v>16</v>
      </c>
      <c r="G179" s="45">
        <f t="shared" si="28"/>
        <v>32</v>
      </c>
      <c r="H179" s="45">
        <f t="shared" si="29"/>
        <v>33</v>
      </c>
      <c r="I179" s="45">
        <f t="shared" si="30"/>
        <v>26</v>
      </c>
      <c r="J179" s="45">
        <f t="shared" si="31"/>
        <v>44.7</v>
      </c>
      <c r="K179" s="45">
        <f t="shared" si="32"/>
        <v>32</v>
      </c>
      <c r="L179" s="45">
        <f t="shared" si="33"/>
        <v>33.1</v>
      </c>
      <c r="M179" s="45">
        <f t="shared" si="34"/>
        <v>12</v>
      </c>
      <c r="N179" s="45">
        <f t="shared" si="35"/>
        <v>32</v>
      </c>
      <c r="O179" s="45">
        <f t="shared" si="36"/>
        <v>33</v>
      </c>
      <c r="P179" s="45">
        <f t="shared" si="37"/>
        <v>33</v>
      </c>
      <c r="Q179" s="45">
        <f t="shared" si="38"/>
        <v>51</v>
      </c>
      <c r="R179" s="48"/>
    </row>
    <row r="180" spans="3:18" x14ac:dyDescent="0.2">
      <c r="C180" s="43" t="str">
        <f>VLOOKUP(D180,[4]DBASE!$B$3:$P$923,2,FALSE)</f>
        <v>Soko / Ngadirejo</v>
      </c>
      <c r="D180" s="47">
        <f>[4]jan!C184</f>
        <v>350621024</v>
      </c>
      <c r="E180" s="45">
        <f t="shared" si="26"/>
        <v>63</v>
      </c>
      <c r="F180" s="45">
        <f t="shared" si="27"/>
        <v>40</v>
      </c>
      <c r="G180" s="45">
        <f t="shared" si="28"/>
        <v>41</v>
      </c>
      <c r="H180" s="45">
        <f t="shared" si="29"/>
        <v>35</v>
      </c>
      <c r="I180" s="45">
        <f t="shared" si="30"/>
        <v>20</v>
      </c>
      <c r="J180" s="45">
        <f t="shared" si="31"/>
        <v>25</v>
      </c>
      <c r="K180" s="45">
        <f t="shared" si="32"/>
        <v>5</v>
      </c>
      <c r="L180" s="45">
        <f t="shared" si="33"/>
        <v>6</v>
      </c>
      <c r="M180" s="45">
        <f t="shared" si="34"/>
        <v>10</v>
      </c>
      <c r="N180" s="45">
        <f t="shared" si="35"/>
        <v>34</v>
      </c>
      <c r="O180" s="45">
        <f t="shared" si="36"/>
        <v>50</v>
      </c>
      <c r="P180" s="45">
        <f t="shared" si="37"/>
        <v>40</v>
      </c>
      <c r="Q180" s="45">
        <f t="shared" si="38"/>
        <v>63</v>
      </c>
      <c r="R180" s="48"/>
    </row>
    <row r="181" spans="3:18" x14ac:dyDescent="0.2">
      <c r="C181" s="43" t="str">
        <f>VLOOKUP(D181,[4]DBASE!$B$3:$P$923,2,FALSE)</f>
        <v>Buduk / Kwadungan</v>
      </c>
      <c r="D181" s="47">
        <f>[4]jan!C185</f>
        <v>350621025</v>
      </c>
      <c r="E181" s="45">
        <f t="shared" si="26"/>
        <v>57</v>
      </c>
      <c r="F181" s="45">
        <f t="shared" si="27"/>
        <v>74</v>
      </c>
      <c r="G181" s="45">
        <f t="shared" si="28"/>
        <v>57</v>
      </c>
      <c r="H181" s="45">
        <f t="shared" si="29"/>
        <v>72</v>
      </c>
      <c r="I181" s="45">
        <f t="shared" si="30"/>
        <v>30</v>
      </c>
      <c r="J181" s="45">
        <f t="shared" si="31"/>
        <v>19</v>
      </c>
      <c r="K181" s="45">
        <f t="shared" si="32"/>
        <v>11</v>
      </c>
      <c r="L181" s="45">
        <f t="shared" si="33"/>
        <v>48</v>
      </c>
      <c r="M181" s="45">
        <f t="shared" si="34"/>
        <v>33</v>
      </c>
      <c r="N181" s="45">
        <f t="shared" si="35"/>
        <v>37</v>
      </c>
      <c r="O181" s="45">
        <f t="shared" si="36"/>
        <v>81</v>
      </c>
      <c r="P181" s="45">
        <f t="shared" si="37"/>
        <v>39</v>
      </c>
      <c r="Q181" s="45">
        <f t="shared" si="38"/>
        <v>81</v>
      </c>
      <c r="R181" s="48"/>
    </row>
    <row r="182" spans="3:18" x14ac:dyDescent="0.2">
      <c r="C182" s="43" t="str">
        <f>VLOOKUP(D182,[4]DBASE!$B$3:$P$923,2,FALSE)</f>
        <v>Tejo</v>
      </c>
      <c r="D182" s="47">
        <f>[4]jan!C186</f>
        <v>350621026</v>
      </c>
      <c r="E182" s="45">
        <f t="shared" si="26"/>
        <v>25</v>
      </c>
      <c r="F182" s="45">
        <f t="shared" si="27"/>
        <v>23</v>
      </c>
      <c r="G182" s="45">
        <f t="shared" si="28"/>
        <v>62</v>
      </c>
      <c r="H182" s="45">
        <f t="shared" si="29"/>
        <v>38</v>
      </c>
      <c r="I182" s="45">
        <f t="shared" si="30"/>
        <v>24</v>
      </c>
      <c r="J182" s="45">
        <f t="shared" si="31"/>
        <v>24</v>
      </c>
      <c r="K182" s="45">
        <f t="shared" si="32"/>
        <v>12</v>
      </c>
      <c r="L182" s="45">
        <f t="shared" si="33"/>
        <v>27</v>
      </c>
      <c r="M182" s="45">
        <f t="shared" si="34"/>
        <v>9</v>
      </c>
      <c r="N182" s="45">
        <f t="shared" si="35"/>
        <v>62</v>
      </c>
      <c r="O182" s="45">
        <f t="shared" si="36"/>
        <v>72</v>
      </c>
      <c r="P182" s="45">
        <f t="shared" si="37"/>
        <v>43</v>
      </c>
      <c r="Q182" s="45">
        <f t="shared" si="38"/>
        <v>72</v>
      </c>
      <c r="R182" s="48"/>
    </row>
    <row r="183" spans="3:18" x14ac:dyDescent="0.2">
      <c r="C183" s="43" t="str">
        <f>VLOOKUP(D183,[4]DBASE!$B$3:$P$923,2,FALSE)</f>
        <v>Ponorogo</v>
      </c>
      <c r="D183" s="47">
        <f>[4]jan!C187</f>
        <v>350602001</v>
      </c>
      <c r="E183" s="45">
        <f t="shared" si="26"/>
        <v>36</v>
      </c>
      <c r="F183" s="45">
        <f t="shared" si="27"/>
        <v>38</v>
      </c>
      <c r="G183" s="45">
        <f t="shared" si="28"/>
        <v>77</v>
      </c>
      <c r="H183" s="45">
        <f t="shared" si="29"/>
        <v>29</v>
      </c>
      <c r="I183" s="45">
        <f t="shared" si="30"/>
        <v>57</v>
      </c>
      <c r="J183" s="45">
        <f t="shared" si="31"/>
        <v>52</v>
      </c>
      <c r="K183" s="45">
        <f t="shared" si="32"/>
        <v>3</v>
      </c>
      <c r="L183" s="45">
        <f t="shared" si="33"/>
        <v>17</v>
      </c>
      <c r="M183" s="45">
        <f t="shared" si="34"/>
        <v>19</v>
      </c>
      <c r="N183" s="45">
        <f t="shared" si="35"/>
        <v>59</v>
      </c>
      <c r="O183" s="45">
        <f t="shared" si="36"/>
        <v>53</v>
      </c>
      <c r="P183" s="45">
        <f t="shared" si="37"/>
        <v>49</v>
      </c>
      <c r="Q183" s="45">
        <f t="shared" si="38"/>
        <v>77</v>
      </c>
      <c r="R183" s="48"/>
    </row>
    <row r="184" spans="3:18" x14ac:dyDescent="0.2">
      <c r="C184" s="43" t="str">
        <f>VLOOKUP(D184,[4]DBASE!$B$3:$P$923,2,FALSE)</f>
        <v>Babadan PNG</v>
      </c>
      <c r="D184" s="47">
        <f>[4]jan!C188</f>
        <v>350602002</v>
      </c>
      <c r="E184" s="45">
        <f t="shared" si="26"/>
        <v>43</v>
      </c>
      <c r="F184" s="45">
        <f t="shared" si="27"/>
        <v>29</v>
      </c>
      <c r="G184" s="45">
        <f t="shared" si="28"/>
        <v>49</v>
      </c>
      <c r="H184" s="45">
        <f t="shared" si="29"/>
        <v>12</v>
      </c>
      <c r="I184" s="45">
        <f t="shared" si="30"/>
        <v>38</v>
      </c>
      <c r="J184" s="45">
        <f t="shared" si="31"/>
        <v>23</v>
      </c>
      <c r="K184" s="45">
        <f t="shared" si="32"/>
        <v>0</v>
      </c>
      <c r="L184" s="45">
        <f t="shared" si="33"/>
        <v>3</v>
      </c>
      <c r="M184" s="45">
        <f t="shared" si="34"/>
        <v>28</v>
      </c>
      <c r="N184" s="45">
        <f t="shared" si="35"/>
        <v>64</v>
      </c>
      <c r="O184" s="45">
        <f t="shared" si="36"/>
        <v>57</v>
      </c>
      <c r="P184" s="45">
        <f t="shared" si="37"/>
        <v>72</v>
      </c>
      <c r="Q184" s="45">
        <f t="shared" si="38"/>
        <v>72</v>
      </c>
      <c r="R184" s="48"/>
    </row>
    <row r="185" spans="3:18" x14ac:dyDescent="0.2">
      <c r="C185" s="43" t="str">
        <f>VLOOKUP(D185,[4]DBASE!$B$3:$P$923,2,FALSE)</f>
        <v>Kesugihan</v>
      </c>
      <c r="D185" s="47">
        <f>[4]jan!C189</f>
        <v>350602003</v>
      </c>
      <c r="E185" s="45">
        <f t="shared" si="26"/>
        <v>38</v>
      </c>
      <c r="F185" s="45">
        <f t="shared" si="27"/>
        <v>71</v>
      </c>
      <c r="G185" s="45">
        <f t="shared" si="28"/>
        <v>61</v>
      </c>
      <c r="H185" s="45">
        <f t="shared" si="29"/>
        <v>62</v>
      </c>
      <c r="I185" s="45">
        <f t="shared" si="30"/>
        <v>43</v>
      </c>
      <c r="J185" s="45">
        <f t="shared" si="31"/>
        <v>94</v>
      </c>
      <c r="K185" s="45">
        <f t="shared" si="32"/>
        <v>14</v>
      </c>
      <c r="L185" s="45">
        <f t="shared" si="33"/>
        <v>35</v>
      </c>
      <c r="M185" s="45">
        <f t="shared" si="34"/>
        <v>12</v>
      </c>
      <c r="N185" s="45">
        <f t="shared" si="35"/>
        <v>123</v>
      </c>
      <c r="O185" s="45">
        <f t="shared" si="36"/>
        <v>109</v>
      </c>
      <c r="P185" s="45">
        <f t="shared" si="37"/>
        <v>40</v>
      </c>
      <c r="Q185" s="45">
        <f t="shared" si="38"/>
        <v>123</v>
      </c>
      <c r="R185" s="48"/>
    </row>
    <row r="186" spans="3:18" x14ac:dyDescent="0.2">
      <c r="C186" s="43" t="str">
        <f>VLOOKUP(D186,[4]DBASE!$B$3:$P$923,2,FALSE)</f>
        <v>Pulung</v>
      </c>
      <c r="D186" s="47">
        <f>[4]jan!C190</f>
        <v>350602004</v>
      </c>
      <c r="E186" s="45">
        <f t="shared" si="26"/>
        <v>51</v>
      </c>
      <c r="F186" s="45">
        <f t="shared" si="27"/>
        <v>47</v>
      </c>
      <c r="G186" s="45">
        <f t="shared" si="28"/>
        <v>66</v>
      </c>
      <c r="H186" s="45">
        <f t="shared" si="29"/>
        <v>31</v>
      </c>
      <c r="I186" s="45">
        <f t="shared" si="30"/>
        <v>38</v>
      </c>
      <c r="J186" s="45">
        <f t="shared" si="31"/>
        <v>68</v>
      </c>
      <c r="K186" s="45">
        <f t="shared" si="32"/>
        <v>5</v>
      </c>
      <c r="L186" s="45">
        <f t="shared" si="33"/>
        <v>45</v>
      </c>
      <c r="M186" s="45">
        <f t="shared" si="34"/>
        <v>24</v>
      </c>
      <c r="N186" s="45">
        <f t="shared" si="35"/>
        <v>108</v>
      </c>
      <c r="O186" s="45">
        <f t="shared" si="36"/>
        <v>128</v>
      </c>
      <c r="P186" s="45">
        <f t="shared" si="37"/>
        <v>50</v>
      </c>
      <c r="Q186" s="45">
        <f t="shared" si="38"/>
        <v>128</v>
      </c>
      <c r="R186" s="48"/>
    </row>
    <row r="187" spans="3:18" x14ac:dyDescent="0.2">
      <c r="C187" s="43" t="str">
        <f>VLOOKUP(D187,[4]DBASE!$B$3:$P$923,2,FALSE)</f>
        <v>Pudak</v>
      </c>
      <c r="D187" s="47">
        <f>[4]jan!C191</f>
        <v>350602005</v>
      </c>
      <c r="E187" s="45">
        <f t="shared" si="26"/>
        <v>49</v>
      </c>
      <c r="F187" s="45">
        <f t="shared" si="27"/>
        <v>88</v>
      </c>
      <c r="G187" s="45">
        <f t="shared" si="28"/>
        <v>77</v>
      </c>
      <c r="H187" s="45">
        <f t="shared" si="29"/>
        <v>40</v>
      </c>
      <c r="I187" s="45">
        <f t="shared" si="30"/>
        <v>65</v>
      </c>
      <c r="J187" s="45">
        <f t="shared" si="31"/>
        <v>147</v>
      </c>
      <c r="K187" s="45">
        <f t="shared" si="32"/>
        <v>6</v>
      </c>
      <c r="L187" s="45">
        <f t="shared" si="33"/>
        <v>34</v>
      </c>
      <c r="M187" s="45">
        <f t="shared" si="34"/>
        <v>50</v>
      </c>
      <c r="N187" s="45">
        <f t="shared" si="35"/>
        <v>98</v>
      </c>
      <c r="O187" s="45">
        <f t="shared" si="36"/>
        <v>85</v>
      </c>
      <c r="P187" s="45">
        <f t="shared" si="37"/>
        <v>70</v>
      </c>
      <c r="Q187" s="45">
        <f t="shared" si="38"/>
        <v>147</v>
      </c>
      <c r="R187" s="48"/>
    </row>
    <row r="188" spans="3:18" x14ac:dyDescent="0.2">
      <c r="C188" s="43" t="str">
        <f>VLOOKUP(D188,[4]DBASE!$B$3:$P$923,2,FALSE)</f>
        <v>Sooko</v>
      </c>
      <c r="D188" s="47">
        <f>[4]jan!C192</f>
        <v>350602006</v>
      </c>
      <c r="E188" s="45">
        <f t="shared" si="26"/>
        <v>46</v>
      </c>
      <c r="F188" s="45">
        <f t="shared" si="27"/>
        <v>53</v>
      </c>
      <c r="G188" s="45">
        <f t="shared" si="28"/>
        <v>36</v>
      </c>
      <c r="H188" s="45">
        <f t="shared" si="29"/>
        <v>52</v>
      </c>
      <c r="I188" s="45">
        <f t="shared" si="30"/>
        <v>51</v>
      </c>
      <c r="J188" s="45">
        <f t="shared" si="31"/>
        <v>73</v>
      </c>
      <c r="K188" s="45">
        <f t="shared" si="32"/>
        <v>12</v>
      </c>
      <c r="L188" s="45">
        <f t="shared" si="33"/>
        <v>24</v>
      </c>
      <c r="M188" s="45">
        <f t="shared" si="34"/>
        <v>82</v>
      </c>
      <c r="N188" s="45">
        <f t="shared" si="35"/>
        <v>174</v>
      </c>
      <c r="O188" s="45">
        <f t="shared" si="36"/>
        <v>67</v>
      </c>
      <c r="P188" s="45">
        <f t="shared" si="37"/>
        <v>59</v>
      </c>
      <c r="Q188" s="45">
        <f t="shared" si="38"/>
        <v>174</v>
      </c>
      <c r="R188" s="48"/>
    </row>
    <row r="189" spans="3:18" x14ac:dyDescent="0.2">
      <c r="C189" s="43" t="str">
        <f>VLOOKUP(D189,[4]DBASE!$B$3:$P$923,2,FALSE)</f>
        <v>Sawoo</v>
      </c>
      <c r="D189" s="47">
        <f>[4]jan!C193</f>
        <v>350602007</v>
      </c>
      <c r="E189" s="45">
        <f t="shared" si="26"/>
        <v>82</v>
      </c>
      <c r="F189" s="45">
        <f t="shared" si="27"/>
        <v>145</v>
      </c>
      <c r="G189" s="45">
        <f t="shared" si="28"/>
        <v>109</v>
      </c>
      <c r="H189" s="45">
        <f t="shared" si="29"/>
        <v>65</v>
      </c>
      <c r="I189" s="45">
        <f t="shared" si="30"/>
        <v>59</v>
      </c>
      <c r="J189" s="45">
        <f t="shared" si="31"/>
        <v>113</v>
      </c>
      <c r="K189" s="45">
        <f t="shared" si="32"/>
        <v>0</v>
      </c>
      <c r="L189" s="45">
        <f t="shared" si="33"/>
        <v>15</v>
      </c>
      <c r="M189" s="45">
        <f t="shared" si="34"/>
        <v>5</v>
      </c>
      <c r="N189" s="45">
        <f t="shared" si="35"/>
        <v>101</v>
      </c>
      <c r="O189" s="45">
        <f t="shared" si="36"/>
        <v>75</v>
      </c>
      <c r="P189" s="45">
        <f t="shared" si="37"/>
        <v>81</v>
      </c>
      <c r="Q189" s="45">
        <f t="shared" si="38"/>
        <v>145</v>
      </c>
      <c r="R189" s="48"/>
    </row>
    <row r="190" spans="3:18" x14ac:dyDescent="0.2">
      <c r="C190" s="43" t="str">
        <f>VLOOKUP(D190,[4]DBASE!$B$3:$P$923,2,FALSE)</f>
        <v>Kori</v>
      </c>
      <c r="D190" s="47">
        <f>[4]jan!C194</f>
        <v>350602008</v>
      </c>
      <c r="E190" s="45">
        <f t="shared" si="26"/>
        <v>51</v>
      </c>
      <c r="F190" s="45">
        <f t="shared" si="27"/>
        <v>76</v>
      </c>
      <c r="G190" s="45">
        <f t="shared" si="28"/>
        <v>58</v>
      </c>
      <c r="H190" s="45">
        <f t="shared" si="29"/>
        <v>52</v>
      </c>
      <c r="I190" s="45">
        <f t="shared" si="30"/>
        <v>35</v>
      </c>
      <c r="J190" s="45">
        <f t="shared" si="31"/>
        <v>128</v>
      </c>
      <c r="K190" s="45">
        <f t="shared" si="32"/>
        <v>1</v>
      </c>
      <c r="L190" s="45">
        <f t="shared" si="33"/>
        <v>5</v>
      </c>
      <c r="M190" s="45">
        <f t="shared" si="34"/>
        <v>9</v>
      </c>
      <c r="N190" s="45">
        <f t="shared" si="35"/>
        <v>78</v>
      </c>
      <c r="O190" s="45">
        <f t="shared" si="36"/>
        <v>76</v>
      </c>
      <c r="P190" s="45">
        <f t="shared" si="37"/>
        <v>69</v>
      </c>
      <c r="Q190" s="45">
        <f t="shared" si="38"/>
        <v>128</v>
      </c>
      <c r="R190" s="48"/>
    </row>
    <row r="191" spans="3:18" x14ac:dyDescent="0.2">
      <c r="C191" s="43" t="str">
        <f>VLOOKUP(D191,[4]DBASE!$B$3:$P$923,2,FALSE)</f>
        <v>Sewatu</v>
      </c>
      <c r="D191" s="47">
        <f>[4]jan!C195</f>
        <v>350602009</v>
      </c>
      <c r="E191" s="45">
        <f t="shared" si="26"/>
        <v>29</v>
      </c>
      <c r="F191" s="45">
        <f t="shared" si="27"/>
        <v>60</v>
      </c>
      <c r="G191" s="45">
        <f t="shared" si="28"/>
        <v>51</v>
      </c>
      <c r="H191" s="45">
        <f t="shared" si="29"/>
        <v>49</v>
      </c>
      <c r="I191" s="45">
        <f t="shared" si="30"/>
        <v>52</v>
      </c>
      <c r="J191" s="45">
        <f t="shared" si="31"/>
        <v>87</v>
      </c>
      <c r="K191" s="45">
        <f t="shared" si="32"/>
        <v>17</v>
      </c>
      <c r="L191" s="45">
        <f t="shared" si="33"/>
        <v>10</v>
      </c>
      <c r="M191" s="45">
        <f t="shared" si="34"/>
        <v>12</v>
      </c>
      <c r="N191" s="45">
        <f t="shared" si="35"/>
        <v>72</v>
      </c>
      <c r="O191" s="45">
        <f t="shared" si="36"/>
        <v>63</v>
      </c>
      <c r="P191" s="45">
        <f t="shared" si="37"/>
        <v>81</v>
      </c>
      <c r="Q191" s="45">
        <f t="shared" si="38"/>
        <v>87</v>
      </c>
      <c r="R191" s="48"/>
    </row>
    <row r="192" spans="3:18" x14ac:dyDescent="0.2">
      <c r="C192" s="43" t="str">
        <f>VLOOKUP(D192,[4]DBASE!$B$3:$P$923,2,FALSE)</f>
        <v>Slahung</v>
      </c>
      <c r="D192" s="47">
        <f>[4]jan!C196</f>
        <v>350602010</v>
      </c>
      <c r="E192" s="45">
        <f t="shared" si="26"/>
        <v>37</v>
      </c>
      <c r="F192" s="45">
        <f t="shared" si="27"/>
        <v>35</v>
      </c>
      <c r="G192" s="45">
        <f t="shared" si="28"/>
        <v>62</v>
      </c>
      <c r="H192" s="45">
        <f t="shared" si="29"/>
        <v>50</v>
      </c>
      <c r="I192" s="45">
        <f t="shared" si="30"/>
        <v>46</v>
      </c>
      <c r="J192" s="45">
        <f t="shared" si="31"/>
        <v>47</v>
      </c>
      <c r="K192" s="45">
        <f t="shared" si="32"/>
        <v>23</v>
      </c>
      <c r="L192" s="45">
        <f t="shared" si="33"/>
        <v>30</v>
      </c>
      <c r="M192" s="45">
        <f t="shared" si="34"/>
        <v>16</v>
      </c>
      <c r="N192" s="45">
        <f t="shared" si="35"/>
        <v>92</v>
      </c>
      <c r="O192" s="45">
        <f t="shared" si="36"/>
        <v>92</v>
      </c>
      <c r="P192" s="45">
        <f t="shared" si="37"/>
        <v>39</v>
      </c>
      <c r="Q192" s="45">
        <f t="shared" si="38"/>
        <v>92</v>
      </c>
      <c r="R192" s="48"/>
    </row>
    <row r="193" spans="3:18" x14ac:dyDescent="0.2">
      <c r="C193" s="43" t="str">
        <f>VLOOKUP(D193,[4]DBASE!$B$3:$P$923,2,FALSE)</f>
        <v>Sampung</v>
      </c>
      <c r="D193" s="47">
        <f>[4]jan!C197</f>
        <v>350602011</v>
      </c>
      <c r="E193" s="45">
        <f t="shared" si="26"/>
        <v>32</v>
      </c>
      <c r="F193" s="45">
        <f t="shared" si="27"/>
        <v>57</v>
      </c>
      <c r="G193" s="45">
        <f t="shared" si="28"/>
        <v>52</v>
      </c>
      <c r="H193" s="45">
        <f t="shared" si="29"/>
        <v>23</v>
      </c>
      <c r="I193" s="45">
        <f t="shared" si="30"/>
        <v>42</v>
      </c>
      <c r="J193" s="45">
        <f t="shared" si="31"/>
        <v>27</v>
      </c>
      <c r="K193" s="45">
        <f t="shared" si="32"/>
        <v>12</v>
      </c>
      <c r="L193" s="45">
        <f t="shared" si="33"/>
        <v>28</v>
      </c>
      <c r="M193" s="45">
        <f t="shared" si="34"/>
        <v>15</v>
      </c>
      <c r="N193" s="45">
        <f t="shared" si="35"/>
        <v>59</v>
      </c>
      <c r="O193" s="45">
        <f t="shared" si="36"/>
        <v>38</v>
      </c>
      <c r="P193" s="45">
        <f t="shared" si="37"/>
        <v>74</v>
      </c>
      <c r="Q193" s="45">
        <f t="shared" si="38"/>
        <v>74</v>
      </c>
      <c r="R193" s="48"/>
    </row>
    <row r="194" spans="3:18" x14ac:dyDescent="0.2">
      <c r="C194" s="43" t="str">
        <f>VLOOKUP(D194,[4]DBASE!$B$3:$P$923,2,FALSE)</f>
        <v>Balong</v>
      </c>
      <c r="D194" s="47">
        <f>[4]jan!C198</f>
        <v>350602012</v>
      </c>
      <c r="E194" s="45">
        <f t="shared" si="26"/>
        <v>76</v>
      </c>
      <c r="F194" s="45">
        <f t="shared" si="27"/>
        <v>35</v>
      </c>
      <c r="G194" s="45">
        <f t="shared" si="28"/>
        <v>40</v>
      </c>
      <c r="H194" s="45">
        <f t="shared" si="29"/>
        <v>44</v>
      </c>
      <c r="I194" s="45">
        <f t="shared" si="30"/>
        <v>84</v>
      </c>
      <c r="J194" s="45">
        <f t="shared" si="31"/>
        <v>117</v>
      </c>
      <c r="K194" s="45">
        <f t="shared" si="32"/>
        <v>1</v>
      </c>
      <c r="L194" s="45">
        <f t="shared" si="33"/>
        <v>42</v>
      </c>
      <c r="M194" s="45">
        <f t="shared" si="34"/>
        <v>5</v>
      </c>
      <c r="N194" s="45">
        <f t="shared" si="35"/>
        <v>45</v>
      </c>
      <c r="O194" s="45">
        <f t="shared" si="36"/>
        <v>87</v>
      </c>
      <c r="P194" s="45">
        <f t="shared" si="37"/>
        <v>83</v>
      </c>
      <c r="Q194" s="45">
        <f t="shared" si="38"/>
        <v>117</v>
      </c>
      <c r="R194" s="48"/>
    </row>
    <row r="195" spans="3:18" x14ac:dyDescent="0.2">
      <c r="C195" s="43" t="str">
        <f>VLOOKUP(D195,[4]DBASE!$B$3:$P$923,2,FALSE)</f>
        <v>Sungkur</v>
      </c>
      <c r="D195" s="47">
        <f>[4]jan!C199</f>
        <v>350602013</v>
      </c>
      <c r="E195" s="45">
        <f t="shared" si="26"/>
        <v>60</v>
      </c>
      <c r="F195" s="45">
        <f t="shared" si="27"/>
        <v>155</v>
      </c>
      <c r="G195" s="45">
        <f t="shared" si="28"/>
        <v>53</v>
      </c>
      <c r="H195" s="45">
        <f t="shared" si="29"/>
        <v>47</v>
      </c>
      <c r="I195" s="45">
        <f t="shared" si="30"/>
        <v>37</v>
      </c>
      <c r="J195" s="45">
        <f t="shared" si="31"/>
        <v>44</v>
      </c>
      <c r="K195" s="45">
        <f t="shared" si="32"/>
        <v>41</v>
      </c>
      <c r="L195" s="45">
        <f t="shared" si="33"/>
        <v>31</v>
      </c>
      <c r="M195" s="45">
        <f t="shared" si="34"/>
        <v>14</v>
      </c>
      <c r="N195" s="45">
        <f t="shared" si="35"/>
        <v>65</v>
      </c>
      <c r="O195" s="45">
        <f t="shared" si="36"/>
        <v>22</v>
      </c>
      <c r="P195" s="45">
        <f t="shared" si="37"/>
        <v>99</v>
      </c>
      <c r="Q195" s="45">
        <f t="shared" si="38"/>
        <v>155</v>
      </c>
      <c r="R195" s="48"/>
    </row>
    <row r="196" spans="3:18" x14ac:dyDescent="0.2">
      <c r="C196" s="43" t="str">
        <f>VLOOKUP(D196,[4]DBASE!$B$3:$P$923,2,FALSE)</f>
        <v>Purwantoro</v>
      </c>
      <c r="D196" s="47">
        <f>[4]jan!C200</f>
        <v>350602014</v>
      </c>
      <c r="E196" s="45">
        <f t="shared" ref="E196:E231" si="39">VLOOKUP($D196,jan,34,FALSE)</f>
        <v>40</v>
      </c>
      <c r="F196" s="45">
        <f t="shared" ref="F196:F231" si="40">VLOOKUP($D196,peb,34,FALSE)</f>
        <v>72</v>
      </c>
      <c r="G196" s="45">
        <f t="shared" ref="G196:G231" si="41">VLOOKUP($D196,mar,34,FALSE)</f>
        <v>50</v>
      </c>
      <c r="H196" s="45">
        <f t="shared" ref="H196:H231" si="42">VLOOKUP($D196,apr,34,FALSE)</f>
        <v>58</v>
      </c>
      <c r="I196" s="45">
        <f t="shared" ref="I196:I231" si="43">VLOOKUP($D196,mei,34,FALSE)</f>
        <v>30</v>
      </c>
      <c r="J196" s="45">
        <f t="shared" ref="J196:J231" si="44">VLOOKUP($D196,jun,34,FALSE)</f>
        <v>15</v>
      </c>
      <c r="K196" s="45">
        <f t="shared" ref="K196:K231" si="45">VLOOKUP($D196,jul,34,FALSE)</f>
        <v>24</v>
      </c>
      <c r="L196" s="45">
        <f t="shared" ref="L196:L231" si="46">VLOOKUP($D196,ags,34,FALSE)</f>
        <v>35</v>
      </c>
      <c r="M196" s="45">
        <f t="shared" ref="M196:M231" si="47">VLOOKUP($D196,sep,34,FALSE)</f>
        <v>12</v>
      </c>
      <c r="N196" s="45">
        <f t="shared" ref="N196:N231" si="48">VLOOKUP($D196,okt,34,FALSE)</f>
        <v>100</v>
      </c>
      <c r="O196" s="45">
        <f t="shared" ref="O196:O231" si="49">VLOOKUP($D196,nop,34,FALSE)</f>
        <v>51</v>
      </c>
      <c r="P196" s="45">
        <f t="shared" ref="P196:P231" si="50">VLOOKUP($D196,des,34,FALSE)</f>
        <v>58</v>
      </c>
      <c r="Q196" s="45">
        <f t="shared" si="38"/>
        <v>100</v>
      </c>
      <c r="R196" s="48"/>
    </row>
    <row r="197" spans="3:18" x14ac:dyDescent="0.2">
      <c r="C197" s="43" t="str">
        <f>VLOOKUP(D197,[4]DBASE!$B$3:$P$923,2,FALSE)</f>
        <v>Ngebel</v>
      </c>
      <c r="D197" s="47">
        <f>[4]jan!C201</f>
        <v>350602015</v>
      </c>
      <c r="E197" s="45">
        <f t="shared" si="39"/>
        <v>44</v>
      </c>
      <c r="F197" s="45">
        <f t="shared" si="40"/>
        <v>52</v>
      </c>
      <c r="G197" s="45">
        <f t="shared" si="41"/>
        <v>100</v>
      </c>
      <c r="H197" s="45">
        <f t="shared" si="42"/>
        <v>31</v>
      </c>
      <c r="I197" s="45">
        <f t="shared" si="43"/>
        <v>44</v>
      </c>
      <c r="J197" s="45">
        <f t="shared" si="44"/>
        <v>70</v>
      </c>
      <c r="K197" s="45">
        <f t="shared" si="45"/>
        <v>8</v>
      </c>
      <c r="L197" s="45">
        <f t="shared" si="46"/>
        <v>60</v>
      </c>
      <c r="M197" s="45">
        <f t="shared" si="47"/>
        <v>25</v>
      </c>
      <c r="N197" s="45">
        <f t="shared" si="48"/>
        <v>123</v>
      </c>
      <c r="O197" s="45">
        <f t="shared" si="49"/>
        <v>50</v>
      </c>
      <c r="P197" s="45">
        <f t="shared" si="50"/>
        <v>41</v>
      </c>
      <c r="Q197" s="45">
        <f t="shared" ref="Q197:Q231" si="51">MAX(E197:P197)</f>
        <v>123</v>
      </c>
      <c r="R197" s="48"/>
    </row>
    <row r="198" spans="3:18" x14ac:dyDescent="0.2">
      <c r="C198" s="43" t="str">
        <f>VLOOKUP(D198,[4]DBASE!$B$3:$P$923,2,FALSE)</f>
        <v>Talun PNG</v>
      </c>
      <c r="D198" s="47">
        <f>[4]jan!C202</f>
        <v>350602016</v>
      </c>
      <c r="E198" s="45">
        <f t="shared" si="39"/>
        <v>44</v>
      </c>
      <c r="F198" s="45">
        <f t="shared" si="40"/>
        <v>70</v>
      </c>
      <c r="G198" s="45">
        <f t="shared" si="41"/>
        <v>79</v>
      </c>
      <c r="H198" s="45">
        <f t="shared" si="42"/>
        <v>61</v>
      </c>
      <c r="I198" s="45">
        <f t="shared" si="43"/>
        <v>49</v>
      </c>
      <c r="J198" s="45">
        <f t="shared" si="44"/>
        <v>44</v>
      </c>
      <c r="K198" s="45">
        <f t="shared" si="45"/>
        <v>46</v>
      </c>
      <c r="L198" s="45">
        <f t="shared" si="46"/>
        <v>45</v>
      </c>
      <c r="M198" s="45">
        <f t="shared" si="47"/>
        <v>38</v>
      </c>
      <c r="N198" s="45">
        <f t="shared" si="48"/>
        <v>120</v>
      </c>
      <c r="O198" s="45">
        <f t="shared" si="49"/>
        <v>53</v>
      </c>
      <c r="P198" s="45">
        <f t="shared" si="50"/>
        <v>60</v>
      </c>
      <c r="Q198" s="45">
        <f t="shared" si="51"/>
        <v>120</v>
      </c>
      <c r="R198" s="48"/>
    </row>
    <row r="199" spans="3:18" x14ac:dyDescent="0.2">
      <c r="C199" s="43" t="str">
        <f>VLOOKUP(D199,[4]DBASE!$B$3:$P$923,2,FALSE)</f>
        <v>Bollu</v>
      </c>
      <c r="D199" s="47">
        <f>[4]jan!C203</f>
        <v>350602017</v>
      </c>
      <c r="E199" s="45">
        <f t="shared" si="39"/>
        <v>47</v>
      </c>
      <c r="F199" s="45">
        <f t="shared" si="40"/>
        <v>52</v>
      </c>
      <c r="G199" s="45">
        <f t="shared" si="41"/>
        <v>63</v>
      </c>
      <c r="H199" s="45">
        <f t="shared" si="42"/>
        <v>68</v>
      </c>
      <c r="I199" s="45">
        <f t="shared" si="43"/>
        <v>90</v>
      </c>
      <c r="J199" s="45">
        <f t="shared" si="44"/>
        <v>32</v>
      </c>
      <c r="K199" s="45">
        <f t="shared" si="45"/>
        <v>12</v>
      </c>
      <c r="L199" s="45">
        <f t="shared" si="46"/>
        <v>7</v>
      </c>
      <c r="M199" s="45">
        <f t="shared" si="47"/>
        <v>20</v>
      </c>
      <c r="N199" s="45">
        <f t="shared" si="48"/>
        <v>93</v>
      </c>
      <c r="O199" s="45">
        <f t="shared" si="49"/>
        <v>102</v>
      </c>
      <c r="P199" s="45">
        <f t="shared" si="50"/>
        <v>43</v>
      </c>
      <c r="Q199" s="45">
        <f t="shared" si="51"/>
        <v>102</v>
      </c>
      <c r="R199" s="48"/>
    </row>
    <row r="200" spans="3:18" x14ac:dyDescent="0.2">
      <c r="C200" s="43" t="str">
        <f>VLOOKUP(D200,[4]DBASE!$B$3:$P$923,2,FALSE)</f>
        <v>Wilangan</v>
      </c>
      <c r="D200" s="47">
        <f>[4]jan!C204</f>
        <v>350602018</v>
      </c>
      <c r="E200" s="45">
        <f t="shared" si="39"/>
        <v>81</v>
      </c>
      <c r="F200" s="45">
        <f t="shared" si="40"/>
        <v>80</v>
      </c>
      <c r="G200" s="45">
        <f t="shared" si="41"/>
        <v>86</v>
      </c>
      <c r="H200" s="45">
        <f t="shared" si="42"/>
        <v>67</v>
      </c>
      <c r="I200" s="45">
        <f t="shared" si="43"/>
        <v>52</v>
      </c>
      <c r="J200" s="45">
        <f t="shared" si="44"/>
        <v>130</v>
      </c>
      <c r="K200" s="45">
        <f t="shared" si="45"/>
        <v>9</v>
      </c>
      <c r="L200" s="45">
        <f t="shared" si="46"/>
        <v>3</v>
      </c>
      <c r="M200" s="45">
        <f t="shared" si="47"/>
        <v>12</v>
      </c>
      <c r="N200" s="45">
        <f t="shared" si="48"/>
        <v>81</v>
      </c>
      <c r="O200" s="45">
        <f t="shared" si="49"/>
        <v>122</v>
      </c>
      <c r="P200" s="45">
        <f t="shared" si="50"/>
        <v>85</v>
      </c>
      <c r="Q200" s="45">
        <f t="shared" si="51"/>
        <v>130</v>
      </c>
      <c r="R200" s="48"/>
    </row>
    <row r="201" spans="3:18" x14ac:dyDescent="0.2">
      <c r="C201" s="43" t="str">
        <f>VLOOKUP(D201,[4]DBASE!$B$3:$P$923,2,FALSE)</f>
        <v>Ngilo - ilo</v>
      </c>
      <c r="D201" s="47">
        <f>[4]jan!C205</f>
        <v>350602019</v>
      </c>
      <c r="E201" s="45">
        <f t="shared" si="39"/>
        <v>51</v>
      </c>
      <c r="F201" s="45">
        <f t="shared" si="40"/>
        <v>88</v>
      </c>
      <c r="G201" s="45">
        <f t="shared" si="41"/>
        <v>62</v>
      </c>
      <c r="H201" s="45">
        <f t="shared" si="42"/>
        <v>54</v>
      </c>
      <c r="I201" s="45">
        <f t="shared" si="43"/>
        <v>80</v>
      </c>
      <c r="J201" s="45">
        <f t="shared" si="44"/>
        <v>81</v>
      </c>
      <c r="K201" s="45">
        <f t="shared" si="45"/>
        <v>2</v>
      </c>
      <c r="L201" s="45">
        <f t="shared" si="46"/>
        <v>20</v>
      </c>
      <c r="M201" s="45">
        <f t="shared" si="47"/>
        <v>3</v>
      </c>
      <c r="N201" s="45">
        <f t="shared" si="48"/>
        <v>61</v>
      </c>
      <c r="O201" s="45">
        <f t="shared" si="49"/>
        <v>94</v>
      </c>
      <c r="P201" s="45">
        <f t="shared" si="50"/>
        <v>60</v>
      </c>
      <c r="Q201" s="45">
        <f t="shared" si="51"/>
        <v>94</v>
      </c>
      <c r="R201" s="48"/>
    </row>
    <row r="202" spans="3:18" x14ac:dyDescent="0.2">
      <c r="C202" s="43" t="str">
        <f>VLOOKUP(D202,[4]DBASE!$B$3:$P$923,2,FALSE)</f>
        <v>Sumoroto</v>
      </c>
      <c r="D202" s="47">
        <f>[4]jan!C206</f>
        <v>350602020</v>
      </c>
      <c r="E202" s="45">
        <f t="shared" si="39"/>
        <v>43</v>
      </c>
      <c r="F202" s="45">
        <f t="shared" si="40"/>
        <v>110</v>
      </c>
      <c r="G202" s="45">
        <f t="shared" si="41"/>
        <v>58</v>
      </c>
      <c r="H202" s="45">
        <f t="shared" si="42"/>
        <v>30</v>
      </c>
      <c r="I202" s="45">
        <f t="shared" si="43"/>
        <v>45</v>
      </c>
      <c r="J202" s="45">
        <f t="shared" si="44"/>
        <v>45</v>
      </c>
      <c r="K202" s="45">
        <f t="shared" si="45"/>
        <v>30</v>
      </c>
      <c r="L202" s="45">
        <f t="shared" si="46"/>
        <v>8</v>
      </c>
      <c r="M202" s="45">
        <f t="shared" si="47"/>
        <v>12</v>
      </c>
      <c r="N202" s="45">
        <f t="shared" si="48"/>
        <v>62</v>
      </c>
      <c r="O202" s="45">
        <f t="shared" si="49"/>
        <v>25</v>
      </c>
      <c r="P202" s="45">
        <f t="shared" si="50"/>
        <v>112</v>
      </c>
      <c r="Q202" s="45">
        <f t="shared" si="51"/>
        <v>112</v>
      </c>
      <c r="R202" s="48"/>
    </row>
    <row r="203" spans="3:18" x14ac:dyDescent="0.2">
      <c r="C203" s="43" t="str">
        <f>VLOOKUP(D203,[4]DBASE!$B$3:$P$923,2,FALSE)</f>
        <v>Badegan</v>
      </c>
      <c r="D203" s="47">
        <f>[4]jan!C207</f>
        <v>350602021</v>
      </c>
      <c r="E203" s="45">
        <f t="shared" si="39"/>
        <v>33</v>
      </c>
      <c r="F203" s="45">
        <f t="shared" si="40"/>
        <v>72</v>
      </c>
      <c r="G203" s="45">
        <f t="shared" si="41"/>
        <v>74</v>
      </c>
      <c r="H203" s="45">
        <f t="shared" si="42"/>
        <v>31</v>
      </c>
      <c r="I203" s="45">
        <f t="shared" si="43"/>
        <v>29</v>
      </c>
      <c r="J203" s="45">
        <f t="shared" si="44"/>
        <v>21</v>
      </c>
      <c r="K203" s="45">
        <f t="shared" si="45"/>
        <v>46</v>
      </c>
      <c r="L203" s="45">
        <f t="shared" si="46"/>
        <v>27</v>
      </c>
      <c r="M203" s="45">
        <f t="shared" si="47"/>
        <v>8</v>
      </c>
      <c r="N203" s="45">
        <f t="shared" si="48"/>
        <v>86</v>
      </c>
      <c r="O203" s="45">
        <f t="shared" si="49"/>
        <v>34</v>
      </c>
      <c r="P203" s="45">
        <f t="shared" si="50"/>
        <v>59</v>
      </c>
      <c r="Q203" s="45">
        <f t="shared" si="51"/>
        <v>86</v>
      </c>
      <c r="R203" s="48"/>
    </row>
    <row r="204" spans="3:18" x14ac:dyDescent="0.2">
      <c r="C204" s="43" t="str">
        <f>VLOOKUP(D204,[4]DBASE!$B$3:$P$923,2,FALSE)</f>
        <v>Pohijo</v>
      </c>
      <c r="D204" s="47">
        <f>[4]jan!C208</f>
        <v>350602022</v>
      </c>
      <c r="E204" s="45">
        <f t="shared" si="39"/>
        <v>62</v>
      </c>
      <c r="F204" s="45">
        <f t="shared" si="40"/>
        <v>68</v>
      </c>
      <c r="G204" s="45">
        <f t="shared" si="41"/>
        <v>26</v>
      </c>
      <c r="H204" s="45">
        <f t="shared" si="42"/>
        <v>19</v>
      </c>
      <c r="I204" s="45">
        <f t="shared" si="43"/>
        <v>30</v>
      </c>
      <c r="J204" s="45">
        <f t="shared" si="44"/>
        <v>29</v>
      </c>
      <c r="K204" s="45">
        <f t="shared" si="45"/>
        <v>8</v>
      </c>
      <c r="L204" s="45">
        <f t="shared" si="46"/>
        <v>76</v>
      </c>
      <c r="M204" s="45">
        <f t="shared" si="47"/>
        <v>33</v>
      </c>
      <c r="N204" s="45">
        <f t="shared" si="48"/>
        <v>105</v>
      </c>
      <c r="O204" s="45">
        <f t="shared" si="49"/>
        <v>70</v>
      </c>
      <c r="P204" s="45">
        <f t="shared" si="50"/>
        <v>83</v>
      </c>
      <c r="Q204" s="45">
        <f t="shared" si="51"/>
        <v>105</v>
      </c>
      <c r="R204" s="48"/>
    </row>
    <row r="205" spans="3:18" x14ac:dyDescent="0.2">
      <c r="C205" s="43" t="str">
        <f>VLOOKUP(D205,[4]DBASE!$B$3:$P$923,2,FALSE)</f>
        <v>Ngrayun</v>
      </c>
      <c r="D205" s="47">
        <f>[4]jan!C209</f>
        <v>350602023</v>
      </c>
      <c r="E205" s="45">
        <f t="shared" si="39"/>
        <v>67</v>
      </c>
      <c r="F205" s="45">
        <f t="shared" si="40"/>
        <v>96</v>
      </c>
      <c r="G205" s="45">
        <f t="shared" si="41"/>
        <v>81</v>
      </c>
      <c r="H205" s="45">
        <f t="shared" si="42"/>
        <v>28</v>
      </c>
      <c r="I205" s="45">
        <f t="shared" si="43"/>
        <v>53</v>
      </c>
      <c r="J205" s="45">
        <f t="shared" si="44"/>
        <v>71</v>
      </c>
      <c r="K205" s="45">
        <f t="shared" si="45"/>
        <v>6</v>
      </c>
      <c r="L205" s="45">
        <f t="shared" si="46"/>
        <v>37</v>
      </c>
      <c r="M205" s="45">
        <f t="shared" si="47"/>
        <v>31</v>
      </c>
      <c r="N205" s="45">
        <f t="shared" si="48"/>
        <v>92</v>
      </c>
      <c r="O205" s="45">
        <f t="shared" si="49"/>
        <v>156</v>
      </c>
      <c r="P205" s="45">
        <f t="shared" si="50"/>
        <v>59</v>
      </c>
      <c r="Q205" s="45">
        <f t="shared" si="51"/>
        <v>156</v>
      </c>
      <c r="R205" s="48"/>
    </row>
    <row r="206" spans="3:18" x14ac:dyDescent="0.2">
      <c r="C206" s="43" t="str">
        <f>VLOOKUP(D206,[4]DBASE!$B$3:$P$923,2,FALSE)</f>
        <v>Pacitan</v>
      </c>
      <c r="D206" s="47">
        <f>[4]jan!C210</f>
        <v>350601001</v>
      </c>
      <c r="E206" s="45">
        <f t="shared" si="39"/>
        <v>63.5</v>
      </c>
      <c r="F206" s="45">
        <f t="shared" si="40"/>
        <v>89</v>
      </c>
      <c r="G206" s="45">
        <f t="shared" si="41"/>
        <v>59</v>
      </c>
      <c r="H206" s="45">
        <f t="shared" si="42"/>
        <v>31</v>
      </c>
      <c r="I206" s="45">
        <f t="shared" si="43"/>
        <v>47</v>
      </c>
      <c r="J206" s="45">
        <f t="shared" si="44"/>
        <v>22</v>
      </c>
      <c r="K206" s="45">
        <f t="shared" si="45"/>
        <v>22</v>
      </c>
      <c r="L206" s="45">
        <f t="shared" si="46"/>
        <v>60</v>
      </c>
      <c r="M206" s="45">
        <f t="shared" si="47"/>
        <v>149</v>
      </c>
      <c r="N206" s="45">
        <f t="shared" si="48"/>
        <v>152</v>
      </c>
      <c r="O206" s="45">
        <f t="shared" si="49"/>
        <v>174</v>
      </c>
      <c r="P206" s="45">
        <f t="shared" si="50"/>
        <v>65</v>
      </c>
      <c r="Q206" s="45">
        <f t="shared" si="51"/>
        <v>174</v>
      </c>
    </row>
    <row r="207" spans="3:18" x14ac:dyDescent="0.2">
      <c r="C207" s="43" t="str">
        <f>VLOOKUP(D207,[4]DBASE!$B$3:$P$923,2,FALSE)</f>
        <v>Kebonagung</v>
      </c>
      <c r="D207" s="47">
        <f>[4]jan!C211</f>
        <v>350601002</v>
      </c>
      <c r="E207" s="45">
        <f t="shared" si="39"/>
        <v>100</v>
      </c>
      <c r="F207" s="45">
        <f t="shared" si="40"/>
        <v>97</v>
      </c>
      <c r="G207" s="45">
        <f t="shared" si="41"/>
        <v>52</v>
      </c>
      <c r="H207" s="45">
        <f t="shared" si="42"/>
        <v>43</v>
      </c>
      <c r="I207" s="45">
        <f t="shared" si="43"/>
        <v>63</v>
      </c>
      <c r="J207" s="45">
        <f t="shared" si="44"/>
        <v>41</v>
      </c>
      <c r="K207" s="45">
        <f t="shared" si="45"/>
        <v>27</v>
      </c>
      <c r="L207" s="45">
        <f t="shared" si="46"/>
        <v>158</v>
      </c>
      <c r="M207" s="45">
        <f t="shared" si="47"/>
        <v>174</v>
      </c>
      <c r="N207" s="45">
        <f t="shared" si="48"/>
        <v>201</v>
      </c>
      <c r="O207" s="45">
        <f t="shared" si="49"/>
        <v>161</v>
      </c>
      <c r="P207" s="45">
        <f t="shared" si="50"/>
        <v>81</v>
      </c>
      <c r="Q207" s="45">
        <f t="shared" si="51"/>
        <v>201</v>
      </c>
    </row>
    <row r="208" spans="3:18" x14ac:dyDescent="0.2">
      <c r="C208" s="43" t="str">
        <f>VLOOKUP(D208,[4]DBASE!$B$3:$P$923,2,FALSE)</f>
        <v>Arjosari</v>
      </c>
      <c r="D208" s="47">
        <f>[4]jan!C212</f>
        <v>350601003</v>
      </c>
      <c r="E208" s="45">
        <f t="shared" si="39"/>
        <v>29</v>
      </c>
      <c r="F208" s="45">
        <f t="shared" si="40"/>
        <v>56</v>
      </c>
      <c r="G208" s="45">
        <f t="shared" si="41"/>
        <v>31</v>
      </c>
      <c r="H208" s="45">
        <f t="shared" si="42"/>
        <v>30</v>
      </c>
      <c r="I208" s="45">
        <f t="shared" si="43"/>
        <v>62</v>
      </c>
      <c r="J208" s="45">
        <f t="shared" si="44"/>
        <v>45</v>
      </c>
      <c r="K208" s="45">
        <f t="shared" si="45"/>
        <v>12</v>
      </c>
      <c r="L208" s="45">
        <f t="shared" si="46"/>
        <v>35</v>
      </c>
      <c r="M208" s="45">
        <f t="shared" si="47"/>
        <v>97</v>
      </c>
      <c r="N208" s="45">
        <f t="shared" si="48"/>
        <v>180</v>
      </c>
      <c r="O208" s="45">
        <f t="shared" si="49"/>
        <v>120</v>
      </c>
      <c r="P208" s="45">
        <f t="shared" si="50"/>
        <v>36</v>
      </c>
      <c r="Q208" s="45">
        <f t="shared" si="51"/>
        <v>180</v>
      </c>
    </row>
    <row r="209" spans="3:17" x14ac:dyDescent="0.2">
      <c r="C209" s="43" t="str">
        <f>VLOOKUP(D209,[4]DBASE!$B$3:$P$923,2,FALSE)</f>
        <v>Kerti</v>
      </c>
      <c r="D209" s="47">
        <f>[4]jan!C213</f>
        <v>350601004</v>
      </c>
      <c r="E209" s="45">
        <f t="shared" si="39"/>
        <v>50</v>
      </c>
      <c r="F209" s="45">
        <f t="shared" si="40"/>
        <v>45</v>
      </c>
      <c r="G209" s="45">
        <f t="shared" si="41"/>
        <v>25</v>
      </c>
      <c r="H209" s="45">
        <f t="shared" si="42"/>
        <v>17</v>
      </c>
      <c r="I209" s="45">
        <f t="shared" si="43"/>
        <v>52</v>
      </c>
      <c r="J209" s="45">
        <f t="shared" si="44"/>
        <v>25</v>
      </c>
      <c r="K209" s="45">
        <f t="shared" si="45"/>
        <v>7</v>
      </c>
      <c r="L209" s="45">
        <f t="shared" si="46"/>
        <v>28</v>
      </c>
      <c r="M209" s="45">
        <f t="shared" si="47"/>
        <v>65</v>
      </c>
      <c r="N209" s="45">
        <f t="shared" si="48"/>
        <v>165</v>
      </c>
      <c r="O209" s="45">
        <f t="shared" si="49"/>
        <v>65</v>
      </c>
      <c r="P209" s="45">
        <f t="shared" si="50"/>
        <v>64</v>
      </c>
      <c r="Q209" s="45">
        <f t="shared" si="51"/>
        <v>165</v>
      </c>
    </row>
    <row r="210" spans="3:17" x14ac:dyDescent="0.2">
      <c r="C210" s="43" t="str">
        <f>VLOOKUP(D210,[4]DBASE!$B$3:$P$923,2,FALSE)</f>
        <v>Punung</v>
      </c>
      <c r="D210" s="47">
        <f>[4]jan!C214</f>
        <v>350601005</v>
      </c>
      <c r="E210" s="45">
        <f t="shared" si="39"/>
        <v>54</v>
      </c>
      <c r="F210" s="45">
        <f t="shared" si="40"/>
        <v>75</v>
      </c>
      <c r="G210" s="45">
        <f t="shared" si="41"/>
        <v>40</v>
      </c>
      <c r="H210" s="45">
        <f t="shared" si="42"/>
        <v>37</v>
      </c>
      <c r="I210" s="45">
        <f t="shared" si="43"/>
        <v>59</v>
      </c>
      <c r="J210" s="45">
        <f t="shared" si="44"/>
        <v>22</v>
      </c>
      <c r="K210" s="45">
        <f t="shared" si="45"/>
        <v>10</v>
      </c>
      <c r="L210" s="45">
        <f t="shared" si="46"/>
        <v>20</v>
      </c>
      <c r="M210" s="45">
        <f t="shared" si="47"/>
        <v>53</v>
      </c>
      <c r="N210" s="45">
        <f t="shared" si="48"/>
        <v>85</v>
      </c>
      <c r="O210" s="45">
        <f t="shared" si="49"/>
        <v>68</v>
      </c>
      <c r="P210" s="45">
        <f t="shared" si="50"/>
        <v>45</v>
      </c>
      <c r="Q210" s="45">
        <f t="shared" si="51"/>
        <v>85</v>
      </c>
    </row>
    <row r="211" spans="3:17" x14ac:dyDescent="0.2">
      <c r="C211" s="43" t="str">
        <f>VLOOKUP(D211,[4]DBASE!$B$3:$P$923,2,FALSE)</f>
        <v>Pringkuku</v>
      </c>
      <c r="D211" s="47">
        <f>[4]jan!C215</f>
        <v>350601006</v>
      </c>
      <c r="E211" s="45">
        <f t="shared" si="39"/>
        <v>73</v>
      </c>
      <c r="F211" s="45">
        <f t="shared" si="40"/>
        <v>53</v>
      </c>
      <c r="G211" s="45">
        <f t="shared" si="41"/>
        <v>38</v>
      </c>
      <c r="H211" s="45">
        <f t="shared" si="42"/>
        <v>37</v>
      </c>
      <c r="I211" s="45">
        <f t="shared" si="43"/>
        <v>89</v>
      </c>
      <c r="J211" s="45">
        <f t="shared" si="44"/>
        <v>25</v>
      </c>
      <c r="K211" s="45">
        <f t="shared" si="45"/>
        <v>25</v>
      </c>
      <c r="L211" s="45">
        <f t="shared" si="46"/>
        <v>65</v>
      </c>
      <c r="M211" s="45">
        <f t="shared" si="47"/>
        <v>165</v>
      </c>
      <c r="N211" s="45">
        <f t="shared" si="48"/>
        <v>141</v>
      </c>
      <c r="O211" s="45">
        <f t="shared" si="49"/>
        <v>92</v>
      </c>
      <c r="P211" s="45">
        <f t="shared" si="50"/>
        <v>67</v>
      </c>
      <c r="Q211" s="45">
        <f t="shared" si="51"/>
        <v>165</v>
      </c>
    </row>
    <row r="212" spans="3:17" x14ac:dyDescent="0.2">
      <c r="C212" s="43" t="str">
        <f>VLOOKUP(D212,[4]DBASE!$B$3:$P$923,2,FALSE)</f>
        <v>Donorojo</v>
      </c>
      <c r="D212" s="47">
        <f>[4]jan!C216</f>
        <v>350601007</v>
      </c>
      <c r="E212" s="45">
        <f t="shared" si="39"/>
        <v>30</v>
      </c>
      <c r="F212" s="45">
        <f t="shared" si="40"/>
        <v>60</v>
      </c>
      <c r="G212" s="45">
        <f t="shared" si="41"/>
        <v>85</v>
      </c>
      <c r="H212" s="45">
        <f t="shared" si="42"/>
        <v>45</v>
      </c>
      <c r="I212" s="45">
        <f t="shared" si="43"/>
        <v>70</v>
      </c>
      <c r="J212" s="45">
        <f t="shared" si="44"/>
        <v>25</v>
      </c>
      <c r="K212" s="45">
        <f t="shared" si="45"/>
        <v>40</v>
      </c>
      <c r="L212" s="45">
        <f t="shared" si="46"/>
        <v>20</v>
      </c>
      <c r="M212" s="45">
        <f t="shared" si="47"/>
        <v>35</v>
      </c>
      <c r="N212" s="45">
        <f t="shared" si="48"/>
        <v>75</v>
      </c>
      <c r="O212" s="45">
        <f t="shared" si="49"/>
        <v>70</v>
      </c>
      <c r="P212" s="45">
        <f t="shared" si="50"/>
        <v>95</v>
      </c>
      <c r="Q212" s="45">
        <f t="shared" si="51"/>
        <v>95</v>
      </c>
    </row>
    <row r="213" spans="3:17" x14ac:dyDescent="0.2">
      <c r="C213" s="43" t="str">
        <f>VLOOKUP(D213,[4]DBASE!$B$3:$P$923,2,FALSE)</f>
        <v>Ngadirojo</v>
      </c>
      <c r="D213" s="47">
        <f>[4]jan!C217</f>
        <v>350601008</v>
      </c>
      <c r="E213" s="45">
        <f t="shared" si="39"/>
        <v>39</v>
      </c>
      <c r="F213" s="45">
        <f t="shared" si="40"/>
        <v>50</v>
      </c>
      <c r="G213" s="45">
        <f t="shared" si="41"/>
        <v>55</v>
      </c>
      <c r="H213" s="45">
        <f t="shared" si="42"/>
        <v>44</v>
      </c>
      <c r="I213" s="45">
        <f t="shared" si="43"/>
        <v>58</v>
      </c>
      <c r="J213" s="45">
        <f t="shared" si="44"/>
        <v>39</v>
      </c>
      <c r="K213" s="45">
        <f t="shared" si="45"/>
        <v>27</v>
      </c>
      <c r="L213" s="45">
        <f t="shared" si="46"/>
        <v>43</v>
      </c>
      <c r="M213" s="45">
        <f t="shared" si="47"/>
        <v>200</v>
      </c>
      <c r="N213" s="45">
        <f t="shared" si="48"/>
        <v>178</v>
      </c>
      <c r="O213" s="45">
        <f t="shared" si="49"/>
        <v>61</v>
      </c>
      <c r="P213" s="45">
        <f t="shared" si="50"/>
        <v>123</v>
      </c>
      <c r="Q213" s="45">
        <f t="shared" si="51"/>
        <v>200</v>
      </c>
    </row>
    <row r="214" spans="3:17" x14ac:dyDescent="0.2">
      <c r="C214" s="43" t="str">
        <f>VLOOKUP(D214,[4]DBASE!$B$3:$P$923,2,FALSE)</f>
        <v>Tulakan</v>
      </c>
      <c r="D214" s="47">
        <f>[4]jan!C218</f>
        <v>350601009</v>
      </c>
      <c r="E214" s="45">
        <f t="shared" si="39"/>
        <v>32</v>
      </c>
      <c r="F214" s="45">
        <f t="shared" si="40"/>
        <v>53</v>
      </c>
      <c r="G214" s="45">
        <f t="shared" si="41"/>
        <v>57</v>
      </c>
      <c r="H214" s="45">
        <f t="shared" si="42"/>
        <v>27</v>
      </c>
      <c r="I214" s="45">
        <f t="shared" si="43"/>
        <v>96</v>
      </c>
      <c r="J214" s="45">
        <f t="shared" si="44"/>
        <v>48</v>
      </c>
      <c r="K214" s="45">
        <f t="shared" si="45"/>
        <v>12</v>
      </c>
      <c r="L214" s="45">
        <f t="shared" si="46"/>
        <v>59</v>
      </c>
      <c r="M214" s="45">
        <f t="shared" si="47"/>
        <v>113</v>
      </c>
      <c r="N214" s="45">
        <f t="shared" si="48"/>
        <v>181</v>
      </c>
      <c r="O214" s="45">
        <f t="shared" si="49"/>
        <v>87</v>
      </c>
      <c r="P214" s="45">
        <f t="shared" si="50"/>
        <v>77</v>
      </c>
      <c r="Q214" s="45">
        <f t="shared" si="51"/>
        <v>181</v>
      </c>
    </row>
    <row r="215" spans="3:17" x14ac:dyDescent="0.2">
      <c r="C215" s="43" t="str">
        <f>VLOOKUP(D215,[4]DBASE!$B$3:$P$923,2,FALSE)</f>
        <v>Sudimoro</v>
      </c>
      <c r="D215" s="47">
        <f>[4]jan!C219</f>
        <v>350601010</v>
      </c>
      <c r="E215" s="45">
        <f t="shared" si="39"/>
        <v>49</v>
      </c>
      <c r="F215" s="45">
        <f t="shared" si="40"/>
        <v>52</v>
      </c>
      <c r="G215" s="45">
        <f t="shared" si="41"/>
        <v>70</v>
      </c>
      <c r="H215" s="45">
        <f t="shared" si="42"/>
        <v>25</v>
      </c>
      <c r="I215" s="45">
        <f t="shared" si="43"/>
        <v>59</v>
      </c>
      <c r="J215" s="45">
        <f t="shared" si="44"/>
        <v>72</v>
      </c>
      <c r="K215" s="45">
        <f t="shared" si="45"/>
        <v>22</v>
      </c>
      <c r="L215" s="45">
        <f t="shared" si="46"/>
        <v>49</v>
      </c>
      <c r="M215" s="45">
        <f t="shared" si="47"/>
        <v>161</v>
      </c>
      <c r="N215" s="45">
        <f t="shared" si="48"/>
        <v>131</v>
      </c>
      <c r="O215" s="45">
        <f t="shared" si="49"/>
        <v>58</v>
      </c>
      <c r="P215" s="45">
        <f t="shared" si="50"/>
        <v>60</v>
      </c>
      <c r="Q215" s="45">
        <f t="shared" si="51"/>
        <v>161</v>
      </c>
    </row>
    <row r="216" spans="3:17" x14ac:dyDescent="0.2">
      <c r="C216" s="43" t="str">
        <f>VLOOKUP(D216,[4]DBASE!$B$3:$P$923,2,FALSE)</f>
        <v>Tegalombo</v>
      </c>
      <c r="D216" s="47">
        <f>[4]jan!C220</f>
        <v>350601011</v>
      </c>
      <c r="E216" s="45">
        <f t="shared" si="39"/>
        <v>37</v>
      </c>
      <c r="F216" s="45">
        <f t="shared" si="40"/>
        <v>37</v>
      </c>
      <c r="G216" s="45">
        <f t="shared" si="41"/>
        <v>102</v>
      </c>
      <c r="H216" s="45">
        <f t="shared" si="42"/>
        <v>43</v>
      </c>
      <c r="I216" s="45">
        <f t="shared" si="43"/>
        <v>32</v>
      </c>
      <c r="J216" s="45">
        <f t="shared" si="44"/>
        <v>31</v>
      </c>
      <c r="K216" s="45">
        <f t="shared" si="45"/>
        <v>11.2</v>
      </c>
      <c r="L216" s="45">
        <f t="shared" si="46"/>
        <v>28</v>
      </c>
      <c r="M216" s="45">
        <f t="shared" si="47"/>
        <v>34</v>
      </c>
      <c r="N216" s="45">
        <f t="shared" si="48"/>
        <v>73</v>
      </c>
      <c r="O216" s="45">
        <f t="shared" si="49"/>
        <v>72</v>
      </c>
      <c r="P216" s="45">
        <f t="shared" si="50"/>
        <v>58</v>
      </c>
      <c r="Q216" s="45">
        <f t="shared" si="51"/>
        <v>102</v>
      </c>
    </row>
    <row r="217" spans="3:17" x14ac:dyDescent="0.2">
      <c r="C217" s="43" t="str">
        <f>VLOOKUP(D217,[4]DBASE!$B$3:$P$923,2,FALSE)</f>
        <v>Tahunan</v>
      </c>
      <c r="D217" s="47">
        <f>[4]jan!C221</f>
        <v>350601012</v>
      </c>
      <c r="E217" s="45">
        <f t="shared" si="39"/>
        <v>33</v>
      </c>
      <c r="F217" s="45">
        <f t="shared" si="40"/>
        <v>54</v>
      </c>
      <c r="G217" s="45">
        <f t="shared" si="41"/>
        <v>75</v>
      </c>
      <c r="H217" s="45">
        <f t="shared" si="42"/>
        <v>39</v>
      </c>
      <c r="I217" s="45">
        <f t="shared" si="43"/>
        <v>19</v>
      </c>
      <c r="J217" s="45">
        <f t="shared" si="44"/>
        <v>39</v>
      </c>
      <c r="K217" s="45">
        <f t="shared" si="45"/>
        <v>15</v>
      </c>
      <c r="L217" s="45">
        <f t="shared" si="46"/>
        <v>67</v>
      </c>
      <c r="M217" s="45">
        <f t="shared" si="47"/>
        <v>52</v>
      </c>
      <c r="N217" s="45">
        <f t="shared" si="48"/>
        <v>75</v>
      </c>
      <c r="O217" s="45">
        <f t="shared" si="49"/>
        <v>83</v>
      </c>
      <c r="P217" s="45">
        <f t="shared" si="50"/>
        <v>48</v>
      </c>
      <c r="Q217" s="45">
        <f t="shared" si="51"/>
        <v>83</v>
      </c>
    </row>
    <row r="218" spans="3:17" x14ac:dyDescent="0.2">
      <c r="C218" s="43" t="str">
        <f>VLOOKUP(D218,[4]DBASE!$B$3:$P$923,2,FALSE)</f>
        <v>Bandar</v>
      </c>
      <c r="D218" s="47">
        <f>[4]jan!C222</f>
        <v>350601013</v>
      </c>
      <c r="E218" s="45">
        <f t="shared" si="39"/>
        <v>53</v>
      </c>
      <c r="F218" s="45">
        <f t="shared" si="40"/>
        <v>105</v>
      </c>
      <c r="G218" s="45">
        <f t="shared" si="41"/>
        <v>67</v>
      </c>
      <c r="H218" s="45">
        <f t="shared" si="42"/>
        <v>61</v>
      </c>
      <c r="I218" s="45">
        <f t="shared" si="43"/>
        <v>24</v>
      </c>
      <c r="J218" s="45">
        <f t="shared" si="44"/>
        <v>66</v>
      </c>
      <c r="K218" s="45">
        <f t="shared" si="45"/>
        <v>4</v>
      </c>
      <c r="L218" s="45">
        <f t="shared" si="46"/>
        <v>74</v>
      </c>
      <c r="M218" s="45">
        <f t="shared" si="47"/>
        <v>6</v>
      </c>
      <c r="N218" s="45">
        <f t="shared" si="48"/>
        <v>69</v>
      </c>
      <c r="O218" s="45">
        <f t="shared" si="49"/>
        <v>93</v>
      </c>
      <c r="P218" s="45">
        <f t="shared" si="50"/>
        <v>72</v>
      </c>
      <c r="Q218" s="45">
        <f t="shared" si="51"/>
        <v>105</v>
      </c>
    </row>
    <row r="219" spans="3:17" x14ac:dyDescent="0.2">
      <c r="C219" s="43" t="str">
        <f>VLOOKUP(D219,[4]DBASE!$B$3:$P$923,2,FALSE)</f>
        <v>Nawangan</v>
      </c>
      <c r="D219" s="47">
        <f>[4]jan!C223</f>
        <v>350601014</v>
      </c>
      <c r="E219" s="45">
        <f t="shared" si="39"/>
        <v>48</v>
      </c>
      <c r="F219" s="45">
        <f t="shared" si="40"/>
        <v>71</v>
      </c>
      <c r="G219" s="45">
        <f t="shared" si="41"/>
        <v>45</v>
      </c>
      <c r="H219" s="45">
        <f t="shared" si="42"/>
        <v>62</v>
      </c>
      <c r="I219" s="45">
        <f t="shared" si="43"/>
        <v>50</v>
      </c>
      <c r="J219" s="45">
        <f t="shared" si="44"/>
        <v>52</v>
      </c>
      <c r="K219" s="45">
        <f t="shared" si="45"/>
        <v>5</v>
      </c>
      <c r="L219" s="45">
        <f t="shared" si="46"/>
        <v>28</v>
      </c>
      <c r="M219" s="45">
        <f t="shared" si="47"/>
        <v>41</v>
      </c>
      <c r="N219" s="45">
        <f t="shared" si="48"/>
        <v>51</v>
      </c>
      <c r="O219" s="45">
        <f t="shared" si="49"/>
        <v>61</v>
      </c>
      <c r="P219" s="45">
        <f t="shared" si="50"/>
        <v>37</v>
      </c>
      <c r="Q219" s="45">
        <f t="shared" si="51"/>
        <v>71</v>
      </c>
    </row>
    <row r="220" spans="3:17" x14ac:dyDescent="0.2">
      <c r="C220" s="43" t="str">
        <f>VLOOKUP(D220,[4]DBASE!$B$3:$P$923,2,FALSE)</f>
        <v>Tinatar</v>
      </c>
      <c r="D220" s="47">
        <f>[4]jan!C224</f>
        <v>350601015</v>
      </c>
      <c r="E220" s="45">
        <f t="shared" si="39"/>
        <v>23</v>
      </c>
      <c r="F220" s="45">
        <f t="shared" si="40"/>
        <v>39</v>
      </c>
      <c r="G220" s="45">
        <f t="shared" si="41"/>
        <v>38</v>
      </c>
      <c r="H220" s="45">
        <f t="shared" si="42"/>
        <v>20</v>
      </c>
      <c r="I220" s="45">
        <f t="shared" si="43"/>
        <v>48</v>
      </c>
      <c r="J220" s="45">
        <f t="shared" si="44"/>
        <v>36</v>
      </c>
      <c r="K220" s="45">
        <f t="shared" si="45"/>
        <v>9</v>
      </c>
      <c r="L220" s="45">
        <f t="shared" si="46"/>
        <v>29</v>
      </c>
      <c r="M220" s="45">
        <f t="shared" si="47"/>
        <v>49</v>
      </c>
      <c r="N220" s="45">
        <f t="shared" si="48"/>
        <v>83</v>
      </c>
      <c r="O220" s="45">
        <f t="shared" si="49"/>
        <v>138</v>
      </c>
      <c r="P220" s="45">
        <f t="shared" si="50"/>
        <v>38</v>
      </c>
      <c r="Q220" s="45">
        <f t="shared" si="51"/>
        <v>138</v>
      </c>
    </row>
    <row r="221" spans="3:17" x14ac:dyDescent="0.2">
      <c r="C221" s="43" t="str">
        <f>VLOOKUP(D221,[4]DBASE!$B$3:$P$923,2,FALSE)</f>
        <v>Lowayu</v>
      </c>
      <c r="D221" s="47">
        <f>[4]jan!C225</f>
        <v>350125006</v>
      </c>
      <c r="E221" s="45">
        <f t="shared" si="39"/>
        <v>92</v>
      </c>
      <c r="F221" s="45">
        <f t="shared" si="40"/>
        <v>36</v>
      </c>
      <c r="G221" s="45">
        <f t="shared" si="41"/>
        <v>72</v>
      </c>
      <c r="H221" s="45">
        <f t="shared" si="42"/>
        <v>98</v>
      </c>
      <c r="I221" s="45">
        <f t="shared" si="43"/>
        <v>48</v>
      </c>
      <c r="J221" s="45">
        <f t="shared" si="44"/>
        <v>30</v>
      </c>
      <c r="K221" s="45">
        <f t="shared" si="45"/>
        <v>156</v>
      </c>
      <c r="L221" s="45">
        <f t="shared" si="46"/>
        <v>15</v>
      </c>
      <c r="M221" s="45">
        <f t="shared" si="47"/>
        <v>10</v>
      </c>
      <c r="N221" s="45">
        <f t="shared" si="48"/>
        <v>80</v>
      </c>
      <c r="O221" s="45">
        <f t="shared" si="49"/>
        <v>47</v>
      </c>
      <c r="P221" s="45">
        <f t="shared" si="50"/>
        <v>71</v>
      </c>
      <c r="Q221" s="45">
        <f t="shared" si="51"/>
        <v>156</v>
      </c>
    </row>
    <row r="222" spans="3:17" x14ac:dyDescent="0.2">
      <c r="C222" s="43" t="str">
        <f>VLOOKUP(D222,[4]DBASE!$B$3:$P$923,2,FALSE)</f>
        <v>Menganti</v>
      </c>
      <c r="D222" s="47">
        <f>[4]jan!C226</f>
        <v>350125007</v>
      </c>
      <c r="E222" s="45">
        <f t="shared" si="39"/>
        <v>70</v>
      </c>
      <c r="F222" s="45">
        <f t="shared" si="40"/>
        <v>40</v>
      </c>
      <c r="G222" s="45">
        <f t="shared" si="41"/>
        <v>70</v>
      </c>
      <c r="H222" s="45">
        <f t="shared" si="42"/>
        <v>55</v>
      </c>
      <c r="I222" s="45">
        <f t="shared" si="43"/>
        <v>50</v>
      </c>
      <c r="J222" s="45">
        <f t="shared" si="44"/>
        <v>10</v>
      </c>
      <c r="K222" s="45">
        <f t="shared" si="45"/>
        <v>75</v>
      </c>
      <c r="L222" s="45">
        <f t="shared" si="46"/>
        <v>15</v>
      </c>
      <c r="M222" s="45">
        <f t="shared" si="47"/>
        <v>10</v>
      </c>
      <c r="N222" s="45">
        <f t="shared" si="48"/>
        <v>85</v>
      </c>
      <c r="O222" s="45">
        <f t="shared" si="49"/>
        <v>55</v>
      </c>
      <c r="P222" s="45">
        <f t="shared" si="50"/>
        <v>55</v>
      </c>
      <c r="Q222" s="45">
        <f t="shared" si="51"/>
        <v>85</v>
      </c>
    </row>
    <row r="223" spans="3:17" x14ac:dyDescent="0.2">
      <c r="C223" s="43" t="str">
        <f>VLOOKUP(D223,[4]DBASE!$B$3:$P$923,2,FALSE)</f>
        <v>Mentaras</v>
      </c>
      <c r="D223" s="47">
        <f>[4]jan!C227</f>
        <v>350125008</v>
      </c>
      <c r="E223" s="45">
        <f t="shared" si="39"/>
        <v>61</v>
      </c>
      <c r="F223" s="45">
        <f t="shared" si="40"/>
        <v>41</v>
      </c>
      <c r="G223" s="45">
        <f t="shared" si="41"/>
        <v>94</v>
      </c>
      <c r="H223" s="45">
        <f t="shared" si="42"/>
        <v>74</v>
      </c>
      <c r="I223" s="45">
        <f t="shared" si="43"/>
        <v>41</v>
      </c>
      <c r="J223" s="45">
        <f t="shared" si="44"/>
        <v>23</v>
      </c>
      <c r="K223" s="45">
        <f t="shared" si="45"/>
        <v>179</v>
      </c>
      <c r="L223" s="45">
        <f t="shared" si="46"/>
        <v>22</v>
      </c>
      <c r="M223" s="45">
        <f t="shared" si="47"/>
        <v>10</v>
      </c>
      <c r="N223" s="45">
        <f t="shared" si="48"/>
        <v>61</v>
      </c>
      <c r="O223" s="45">
        <f t="shared" si="49"/>
        <v>43</v>
      </c>
      <c r="P223" s="45">
        <f t="shared" si="50"/>
        <v>98</v>
      </c>
      <c r="Q223" s="45">
        <f t="shared" si="51"/>
        <v>179</v>
      </c>
    </row>
    <row r="224" spans="3:17" x14ac:dyDescent="0.2">
      <c r="C224" s="43" t="str">
        <f>VLOOKUP(D224,[4]DBASE!$B$3:$P$923,2,FALSE)</f>
        <v>Panceng</v>
      </c>
      <c r="D224" s="47">
        <f>[4]jan!C228</f>
        <v>350125009</v>
      </c>
      <c r="E224" s="45">
        <f t="shared" si="39"/>
        <v>68</v>
      </c>
      <c r="F224" s="45">
        <f t="shared" si="40"/>
        <v>48</v>
      </c>
      <c r="G224" s="45">
        <f t="shared" si="41"/>
        <v>71</v>
      </c>
      <c r="H224" s="45">
        <f t="shared" si="42"/>
        <v>57</v>
      </c>
      <c r="I224" s="45">
        <f t="shared" si="43"/>
        <v>63</v>
      </c>
      <c r="J224" s="45">
        <f t="shared" si="44"/>
        <v>37</v>
      </c>
      <c r="K224" s="45">
        <f t="shared" si="45"/>
        <v>88</v>
      </c>
      <c r="L224" s="45">
        <f t="shared" si="46"/>
        <v>53</v>
      </c>
      <c r="M224" s="45">
        <f t="shared" si="47"/>
        <v>27</v>
      </c>
      <c r="N224" s="45">
        <f t="shared" si="48"/>
        <v>47</v>
      </c>
      <c r="O224" s="45">
        <f t="shared" si="49"/>
        <v>37</v>
      </c>
      <c r="P224" s="45">
        <f t="shared" si="50"/>
        <v>89</v>
      </c>
      <c r="Q224" s="45">
        <f t="shared" si="51"/>
        <v>89</v>
      </c>
    </row>
    <row r="225" spans="3:17" x14ac:dyDescent="0.2">
      <c r="C225" s="43" t="str">
        <f>VLOOKUP(D225,[4]DBASE!$B$3:$P$923,2,FALSE)</f>
        <v>Sidayu</v>
      </c>
      <c r="D225" s="47">
        <f>[4]jan!C229</f>
        <v>350125010</v>
      </c>
      <c r="E225" s="45">
        <f t="shared" si="39"/>
        <v>90</v>
      </c>
      <c r="F225" s="45">
        <f t="shared" si="40"/>
        <v>27</v>
      </c>
      <c r="G225" s="45">
        <f t="shared" si="41"/>
        <v>42</v>
      </c>
      <c r="H225" s="45">
        <f t="shared" si="42"/>
        <v>28</v>
      </c>
      <c r="I225" s="45">
        <f t="shared" si="43"/>
        <v>34</v>
      </c>
      <c r="J225" s="45">
        <f t="shared" si="44"/>
        <v>11</v>
      </c>
      <c r="K225" s="45">
        <f t="shared" si="45"/>
        <v>28</v>
      </c>
      <c r="L225" s="45">
        <f t="shared" si="46"/>
        <v>37</v>
      </c>
      <c r="M225" s="45">
        <f t="shared" si="47"/>
        <v>7</v>
      </c>
      <c r="N225" s="45">
        <f t="shared" si="48"/>
        <v>83</v>
      </c>
      <c r="O225" s="45">
        <f t="shared" si="49"/>
        <v>56</v>
      </c>
      <c r="P225" s="45">
        <f t="shared" si="50"/>
        <v>60</v>
      </c>
      <c r="Q225" s="45">
        <f t="shared" si="51"/>
        <v>90</v>
      </c>
    </row>
    <row r="226" spans="3:17" x14ac:dyDescent="0.2">
      <c r="C226" s="43" t="str">
        <f>VLOOKUP(D226,[4]DBASE!$B$3:$P$923,2,FALSE)</f>
        <v>Suci</v>
      </c>
      <c r="D226" s="47">
        <f>[4]jan!C230</f>
        <v>350125011</v>
      </c>
      <c r="E226" s="45">
        <f t="shared" si="39"/>
        <v>57</v>
      </c>
      <c r="F226" s="45">
        <f t="shared" si="40"/>
        <v>29</v>
      </c>
      <c r="G226" s="45">
        <f t="shared" si="41"/>
        <v>25</v>
      </c>
      <c r="H226" s="45">
        <f t="shared" si="42"/>
        <v>28</v>
      </c>
      <c r="I226" s="45">
        <f t="shared" si="43"/>
        <v>39</v>
      </c>
      <c r="J226" s="45">
        <f t="shared" si="44"/>
        <v>15</v>
      </c>
      <c r="K226" s="45">
        <f t="shared" si="45"/>
        <v>70</v>
      </c>
      <c r="L226" s="45">
        <f t="shared" si="46"/>
        <v>4</v>
      </c>
      <c r="M226" s="45">
        <f t="shared" si="47"/>
        <v>0</v>
      </c>
      <c r="N226" s="45">
        <f t="shared" si="48"/>
        <v>42</v>
      </c>
      <c r="O226" s="45">
        <f t="shared" si="49"/>
        <v>44</v>
      </c>
      <c r="P226" s="45">
        <f t="shared" si="50"/>
        <v>47</v>
      </c>
      <c r="Q226" s="45">
        <f t="shared" si="51"/>
        <v>70</v>
      </c>
    </row>
    <row r="227" spans="3:17" x14ac:dyDescent="0.2">
      <c r="C227" s="43" t="str">
        <f>VLOOKUP(D227,[4]DBASE!$B$3:$P$923,2,FALSE)</f>
        <v>Tambakombo</v>
      </c>
      <c r="D227" s="47">
        <f>[4]jan!C231</f>
        <v>350125012</v>
      </c>
      <c r="E227" s="45">
        <f t="shared" si="39"/>
        <v>62.5</v>
      </c>
      <c r="F227" s="45">
        <f t="shared" si="40"/>
        <v>41</v>
      </c>
      <c r="G227" s="45">
        <f t="shared" si="41"/>
        <v>52</v>
      </c>
      <c r="H227" s="45">
        <f t="shared" si="42"/>
        <v>36</v>
      </c>
      <c r="I227" s="45">
        <f t="shared" si="43"/>
        <v>38</v>
      </c>
      <c r="J227" s="45">
        <f t="shared" si="44"/>
        <v>45</v>
      </c>
      <c r="K227" s="45">
        <f t="shared" si="45"/>
        <v>64</v>
      </c>
      <c r="L227" s="45">
        <f t="shared" si="46"/>
        <v>36</v>
      </c>
      <c r="M227" s="45">
        <f t="shared" si="47"/>
        <v>0</v>
      </c>
      <c r="N227" s="45">
        <f t="shared" si="48"/>
        <v>58</v>
      </c>
      <c r="O227" s="45">
        <f t="shared" si="49"/>
        <v>62</v>
      </c>
      <c r="P227" s="45">
        <f t="shared" si="50"/>
        <v>22</v>
      </c>
      <c r="Q227" s="45">
        <f t="shared" si="51"/>
        <v>64</v>
      </c>
    </row>
    <row r="228" spans="3:17" x14ac:dyDescent="0.2">
      <c r="C228" s="43" t="str">
        <f>VLOOKUP(D228,[4]DBASE!$B$3:$P$923,2,FALSE)</f>
        <v>Ujungpangkah</v>
      </c>
      <c r="D228" s="47">
        <f>[4]jan!C232</f>
        <v>350125013</v>
      </c>
      <c r="E228" s="45">
        <f t="shared" si="39"/>
        <v>55</v>
      </c>
      <c r="F228" s="45">
        <f t="shared" si="40"/>
        <v>25</v>
      </c>
      <c r="G228" s="45">
        <f t="shared" si="41"/>
        <v>30</v>
      </c>
      <c r="H228" s="45">
        <f t="shared" si="42"/>
        <v>25</v>
      </c>
      <c r="I228" s="45">
        <f t="shared" si="43"/>
        <v>25</v>
      </c>
      <c r="J228" s="45">
        <f t="shared" si="44"/>
        <v>3</v>
      </c>
      <c r="K228" s="45">
        <f t="shared" si="45"/>
        <v>10</v>
      </c>
      <c r="L228" s="45">
        <f t="shared" si="46"/>
        <v>5</v>
      </c>
      <c r="M228" s="45">
        <f t="shared" si="47"/>
        <v>5</v>
      </c>
      <c r="N228" s="45">
        <f t="shared" si="48"/>
        <v>40</v>
      </c>
      <c r="O228" s="45">
        <f t="shared" si="49"/>
        <v>25</v>
      </c>
      <c r="P228" s="45">
        <f t="shared" si="50"/>
        <v>15</v>
      </c>
      <c r="Q228" s="45">
        <f t="shared" si="51"/>
        <v>55</v>
      </c>
    </row>
    <row r="229" spans="3:17" x14ac:dyDescent="0.2">
      <c r="C229" s="43" t="str">
        <f>VLOOKUP(D229,[4]DBASE!$B$3:$P$923,2,FALSE)</f>
        <v>Wringinanom GRS</v>
      </c>
      <c r="D229" s="47">
        <f>[4]jan!C233</f>
        <v>350125014</v>
      </c>
      <c r="E229" s="45">
        <f t="shared" si="39"/>
        <v>79</v>
      </c>
      <c r="F229" s="45">
        <f t="shared" si="40"/>
        <v>37</v>
      </c>
      <c r="G229" s="45">
        <f t="shared" si="41"/>
        <v>76</v>
      </c>
      <c r="H229" s="45">
        <f t="shared" si="42"/>
        <v>47</v>
      </c>
      <c r="I229" s="45">
        <f t="shared" si="43"/>
        <v>46</v>
      </c>
      <c r="J229" s="45">
        <f t="shared" si="44"/>
        <v>23</v>
      </c>
      <c r="K229" s="45">
        <f t="shared" si="45"/>
        <v>16</v>
      </c>
      <c r="L229" s="45">
        <f t="shared" si="46"/>
        <v>3</v>
      </c>
      <c r="M229" s="45">
        <f t="shared" si="47"/>
        <v>3</v>
      </c>
      <c r="N229" s="45">
        <f t="shared" si="48"/>
        <v>32</v>
      </c>
      <c r="O229" s="45">
        <f t="shared" si="49"/>
        <v>87</v>
      </c>
      <c r="P229" s="45">
        <f t="shared" si="50"/>
        <v>62</v>
      </c>
      <c r="Q229" s="45">
        <f t="shared" si="51"/>
        <v>87</v>
      </c>
    </row>
    <row r="230" spans="3:17" x14ac:dyDescent="0.2">
      <c r="C230" s="43" t="str">
        <f>VLOOKUP(D230,[4]DBASE!$B$3:$P$923,2,FALSE)</f>
        <v>Wahas/brangkal</v>
      </c>
      <c r="D230" s="47">
        <f>[4]jan!C234</f>
        <v>350125015</v>
      </c>
      <c r="E230" s="45">
        <f t="shared" si="39"/>
        <v>63</v>
      </c>
      <c r="F230" s="45">
        <f t="shared" si="40"/>
        <v>81</v>
      </c>
      <c r="G230" s="45">
        <f t="shared" si="41"/>
        <v>78</v>
      </c>
      <c r="H230" s="45">
        <f t="shared" si="42"/>
        <v>35</v>
      </c>
      <c r="I230" s="45">
        <f t="shared" si="43"/>
        <v>68</v>
      </c>
      <c r="J230" s="45">
        <f t="shared" si="44"/>
        <v>38</v>
      </c>
      <c r="K230" s="45">
        <f t="shared" si="45"/>
        <v>9</v>
      </c>
      <c r="L230" s="45">
        <f t="shared" si="46"/>
        <v>33</v>
      </c>
      <c r="M230" s="45">
        <f t="shared" si="47"/>
        <v>23</v>
      </c>
      <c r="N230" s="45">
        <f t="shared" si="48"/>
        <v>38</v>
      </c>
      <c r="O230" s="45">
        <f t="shared" si="49"/>
        <v>123</v>
      </c>
      <c r="P230" s="45">
        <f t="shared" si="50"/>
        <v>23</v>
      </c>
      <c r="Q230" s="45">
        <f t="shared" si="51"/>
        <v>123</v>
      </c>
    </row>
    <row r="231" spans="3:17" x14ac:dyDescent="0.2">
      <c r="C231" s="43" t="str">
        <f>VLOOKUP(D231,[4]DBASE!$B$3:$P$923,2,FALSE)</f>
        <v>Padangan</v>
      </c>
      <c r="D231" s="47">
        <f>[4]jan!C235</f>
        <v>350122032</v>
      </c>
      <c r="E231" s="45">
        <f t="shared" si="39"/>
        <v>42</v>
      </c>
      <c r="F231" s="45">
        <f t="shared" si="40"/>
        <v>38</v>
      </c>
      <c r="G231" s="45">
        <f t="shared" si="41"/>
        <v>28</v>
      </c>
      <c r="H231" s="45">
        <f t="shared" si="42"/>
        <v>48</v>
      </c>
      <c r="I231" s="45">
        <f t="shared" si="43"/>
        <v>30</v>
      </c>
      <c r="J231" s="45">
        <f t="shared" si="44"/>
        <v>25</v>
      </c>
      <c r="K231" s="45">
        <f t="shared" si="45"/>
        <v>37</v>
      </c>
      <c r="L231" s="45">
        <f t="shared" si="46"/>
        <v>43</v>
      </c>
      <c r="M231" s="45">
        <f t="shared" si="47"/>
        <v>33</v>
      </c>
      <c r="N231" s="45">
        <f t="shared" si="48"/>
        <v>77</v>
      </c>
      <c r="O231" s="45">
        <f t="shared" si="49"/>
        <v>97</v>
      </c>
      <c r="P231" s="45">
        <f t="shared" si="50"/>
        <v>62</v>
      </c>
      <c r="Q231" s="45">
        <f t="shared" si="51"/>
        <v>97</v>
      </c>
    </row>
    <row r="232" spans="3:17" x14ac:dyDescent="0.2">
      <c r="C232" s="49" t="s">
        <v>3605</v>
      </c>
      <c r="D232" s="50"/>
      <c r="E232" s="51">
        <f>MAX(E4:E231)</f>
        <v>137</v>
      </c>
      <c r="F232" s="51">
        <f t="shared" ref="F232:Q232" si="52">MAX(F4:F231)</f>
        <v>155</v>
      </c>
      <c r="G232" s="51">
        <f t="shared" si="52"/>
        <v>152</v>
      </c>
      <c r="H232" s="51">
        <f t="shared" si="52"/>
        <v>157</v>
      </c>
      <c r="I232" s="51">
        <f t="shared" si="52"/>
        <v>145</v>
      </c>
      <c r="J232" s="51">
        <f t="shared" si="52"/>
        <v>157</v>
      </c>
      <c r="K232" s="51">
        <f t="shared" si="52"/>
        <v>179</v>
      </c>
      <c r="L232" s="51">
        <f t="shared" si="52"/>
        <v>158</v>
      </c>
      <c r="M232" s="51">
        <f t="shared" si="52"/>
        <v>200</v>
      </c>
      <c r="N232" s="51">
        <f t="shared" si="52"/>
        <v>201</v>
      </c>
      <c r="O232" s="51">
        <f t="shared" si="52"/>
        <v>211</v>
      </c>
      <c r="P232" s="51">
        <f t="shared" si="52"/>
        <v>136</v>
      </c>
      <c r="Q232" s="51">
        <f t="shared" si="52"/>
        <v>211</v>
      </c>
    </row>
    <row r="233" spans="3:17" x14ac:dyDescent="0.2">
      <c r="C233" s="52"/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</row>
    <row r="234" spans="3:17" x14ac:dyDescent="0.2">
      <c r="C234" s="55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</row>
    <row r="235" spans="3:17" x14ac:dyDescent="0.2">
      <c r="C235" s="38"/>
      <c r="D235" s="38"/>
    </row>
    <row r="236" spans="3:17" x14ac:dyDescent="0.2">
      <c r="C236" s="38"/>
      <c r="D236" s="38"/>
    </row>
    <row r="237" spans="3:17" x14ac:dyDescent="0.2">
      <c r="C237" s="38"/>
      <c r="D237" s="38"/>
    </row>
    <row r="238" spans="3:17" x14ac:dyDescent="0.2">
      <c r="C238" s="38"/>
      <c r="D238" s="38"/>
    </row>
    <row r="239" spans="3:17" x14ac:dyDescent="0.2">
      <c r="C239" s="38"/>
      <c r="D239" s="38"/>
    </row>
    <row r="240" spans="3:17" x14ac:dyDescent="0.2">
      <c r="C240" s="38"/>
      <c r="D240" s="38"/>
    </row>
    <row r="241" spans="3:18" x14ac:dyDescent="0.2">
      <c r="C241" s="38"/>
      <c r="D241" s="38"/>
    </row>
    <row r="242" spans="3:18" x14ac:dyDescent="0.2">
      <c r="C242" s="38"/>
      <c r="D242" s="38"/>
    </row>
    <row r="243" spans="3:18" x14ac:dyDescent="0.2">
      <c r="C243" s="38"/>
      <c r="D243" s="38"/>
    </row>
    <row r="244" spans="3:18" x14ac:dyDescent="0.2">
      <c r="C244" s="38"/>
      <c r="D244" s="38"/>
    </row>
    <row r="245" spans="3:18" x14ac:dyDescent="0.2">
      <c r="C245" s="38"/>
      <c r="D245" s="38"/>
    </row>
    <row r="246" spans="3:18" s="38" customFormat="1" x14ac:dyDescent="0.2">
      <c r="Q246" s="37"/>
      <c r="R246" s="37"/>
    </row>
    <row r="247" spans="3:18" s="38" customFormat="1" x14ac:dyDescent="0.2">
      <c r="Q247" s="37"/>
      <c r="R247" s="37"/>
    </row>
    <row r="248" spans="3:18" s="38" customFormat="1" x14ac:dyDescent="0.2">
      <c r="Q248" s="37"/>
      <c r="R248" s="37"/>
    </row>
    <row r="249" spans="3:18" s="38" customFormat="1" x14ac:dyDescent="0.2">
      <c r="Q249" s="37"/>
      <c r="R249" s="37"/>
    </row>
    <row r="250" spans="3:18" s="38" customFormat="1" x14ac:dyDescent="0.2">
      <c r="Q250" s="37"/>
      <c r="R250" s="37"/>
    </row>
    <row r="251" spans="3:18" s="38" customFormat="1" x14ac:dyDescent="0.2">
      <c r="Q251" s="37"/>
      <c r="R251" s="37"/>
    </row>
    <row r="252" spans="3:18" s="38" customFormat="1" x14ac:dyDescent="0.2">
      <c r="Q252" s="37"/>
      <c r="R252" s="37"/>
    </row>
    <row r="253" spans="3:18" s="38" customFormat="1" x14ac:dyDescent="0.2">
      <c r="Q253" s="37"/>
      <c r="R253" s="37"/>
    </row>
    <row r="254" spans="3:18" s="38" customFormat="1" x14ac:dyDescent="0.2">
      <c r="Q254" s="37"/>
      <c r="R254" s="37"/>
    </row>
    <row r="255" spans="3:18" s="38" customFormat="1" x14ac:dyDescent="0.2">
      <c r="Q255" s="37"/>
      <c r="R255" s="37"/>
    </row>
    <row r="256" spans="3:18" s="38" customFormat="1" x14ac:dyDescent="0.2">
      <c r="Q256" s="37"/>
      <c r="R256" s="37"/>
    </row>
    <row r="257" spans="17:18" s="38" customFormat="1" x14ac:dyDescent="0.2">
      <c r="Q257" s="37"/>
      <c r="R257" s="37"/>
    </row>
    <row r="258" spans="17:18" s="38" customFormat="1" x14ac:dyDescent="0.2">
      <c r="Q258" s="37"/>
      <c r="R258" s="37"/>
    </row>
    <row r="259" spans="17:18" s="38" customFormat="1" x14ac:dyDescent="0.2">
      <c r="Q259" s="37"/>
      <c r="R259" s="37"/>
    </row>
    <row r="260" spans="17:18" s="38" customFormat="1" x14ac:dyDescent="0.2">
      <c r="Q260" s="37"/>
      <c r="R260" s="37"/>
    </row>
    <row r="261" spans="17:18" s="38" customFormat="1" x14ac:dyDescent="0.2">
      <c r="Q261" s="37"/>
      <c r="R261" s="37"/>
    </row>
    <row r="262" spans="17:18" s="38" customFormat="1" x14ac:dyDescent="0.2">
      <c r="Q262" s="37"/>
      <c r="R262" s="37"/>
    </row>
    <row r="263" spans="17:18" s="38" customFormat="1" x14ac:dyDescent="0.2">
      <c r="Q263" s="37"/>
      <c r="R263" s="37"/>
    </row>
    <row r="264" spans="17:18" s="38" customFormat="1" x14ac:dyDescent="0.2">
      <c r="Q264" s="37"/>
      <c r="R264" s="37"/>
    </row>
    <row r="265" spans="17:18" s="38" customFormat="1" x14ac:dyDescent="0.2">
      <c r="Q265" s="37"/>
      <c r="R265" s="37"/>
    </row>
    <row r="266" spans="17:18" s="38" customFormat="1" x14ac:dyDescent="0.2">
      <c r="Q266" s="37"/>
      <c r="R266" s="37"/>
    </row>
    <row r="267" spans="17:18" s="38" customFormat="1" x14ac:dyDescent="0.2">
      <c r="Q267" s="37"/>
      <c r="R267" s="37"/>
    </row>
    <row r="268" spans="17:18" s="38" customFormat="1" x14ac:dyDescent="0.2">
      <c r="Q268" s="37"/>
      <c r="R268" s="37"/>
    </row>
    <row r="269" spans="17:18" s="38" customFormat="1" x14ac:dyDescent="0.2">
      <c r="Q269" s="37"/>
      <c r="R269" s="37"/>
    </row>
    <row r="270" spans="17:18" s="38" customFormat="1" x14ac:dyDescent="0.2">
      <c r="Q270" s="37"/>
      <c r="R270" s="37"/>
    </row>
    <row r="271" spans="17:18" s="38" customFormat="1" x14ac:dyDescent="0.2">
      <c r="Q271" s="37"/>
      <c r="R271" s="37"/>
    </row>
    <row r="272" spans="17:18" s="38" customFormat="1" x14ac:dyDescent="0.2">
      <c r="Q272" s="37"/>
      <c r="R272" s="37"/>
    </row>
    <row r="273" spans="17:18" s="38" customFormat="1" x14ac:dyDescent="0.2">
      <c r="Q273" s="37"/>
      <c r="R273" s="37"/>
    </row>
    <row r="274" spans="17:18" s="38" customFormat="1" x14ac:dyDescent="0.2">
      <c r="Q274" s="37"/>
      <c r="R274" s="37"/>
    </row>
    <row r="275" spans="17:18" s="38" customFormat="1" x14ac:dyDescent="0.2">
      <c r="Q275" s="37"/>
      <c r="R275" s="37"/>
    </row>
    <row r="276" spans="17:18" s="38" customFormat="1" x14ac:dyDescent="0.2">
      <c r="Q276" s="37"/>
      <c r="R276" s="37"/>
    </row>
    <row r="277" spans="17:18" s="38" customFormat="1" x14ac:dyDescent="0.2">
      <c r="Q277" s="37"/>
      <c r="R277" s="37"/>
    </row>
    <row r="278" spans="17:18" s="38" customFormat="1" x14ac:dyDescent="0.2">
      <c r="Q278" s="37"/>
      <c r="R278" s="37"/>
    </row>
    <row r="279" spans="17:18" s="38" customFormat="1" x14ac:dyDescent="0.2">
      <c r="Q279" s="37"/>
      <c r="R279" s="37"/>
    </row>
    <row r="280" spans="17:18" s="38" customFormat="1" x14ac:dyDescent="0.2">
      <c r="Q280" s="37"/>
      <c r="R280" s="37"/>
    </row>
    <row r="281" spans="17:18" s="38" customFormat="1" x14ac:dyDescent="0.2">
      <c r="Q281" s="37"/>
      <c r="R281" s="37"/>
    </row>
    <row r="282" spans="17:18" s="38" customFormat="1" x14ac:dyDescent="0.2">
      <c r="Q282" s="37"/>
      <c r="R282" s="37"/>
    </row>
    <row r="283" spans="17:18" s="38" customFormat="1" x14ac:dyDescent="0.2">
      <c r="Q283" s="37"/>
      <c r="R283" s="37"/>
    </row>
    <row r="284" spans="17:18" s="38" customFormat="1" x14ac:dyDescent="0.2">
      <c r="Q284" s="37"/>
      <c r="R284" s="37"/>
    </row>
    <row r="285" spans="17:18" s="38" customFormat="1" x14ac:dyDescent="0.2">
      <c r="Q285" s="37"/>
      <c r="R285" s="37"/>
    </row>
    <row r="286" spans="17:18" s="38" customFormat="1" x14ac:dyDescent="0.2">
      <c r="Q286" s="37"/>
      <c r="R286" s="37"/>
    </row>
    <row r="287" spans="17:18" s="38" customFormat="1" x14ac:dyDescent="0.2">
      <c r="Q287" s="37"/>
      <c r="R287" s="37"/>
    </row>
    <row r="288" spans="17:18" s="38" customFormat="1" x14ac:dyDescent="0.2">
      <c r="Q288" s="37"/>
      <c r="R288" s="37"/>
    </row>
    <row r="289" spans="17:18" s="38" customFormat="1" x14ac:dyDescent="0.2">
      <c r="Q289" s="37"/>
      <c r="R289" s="37"/>
    </row>
    <row r="290" spans="17:18" s="38" customFormat="1" x14ac:dyDescent="0.2">
      <c r="Q290" s="37"/>
      <c r="R290" s="37"/>
    </row>
    <row r="291" spans="17:18" s="38" customFormat="1" x14ac:dyDescent="0.2">
      <c r="Q291" s="37"/>
      <c r="R291" s="37"/>
    </row>
    <row r="292" spans="17:18" s="38" customFormat="1" x14ac:dyDescent="0.2">
      <c r="Q292" s="37"/>
      <c r="R292" s="37"/>
    </row>
    <row r="293" spans="17:18" s="38" customFormat="1" x14ac:dyDescent="0.2">
      <c r="Q293" s="37"/>
      <c r="R293" s="37"/>
    </row>
    <row r="294" spans="17:18" s="38" customFormat="1" x14ac:dyDescent="0.2">
      <c r="Q294" s="37"/>
      <c r="R294" s="37"/>
    </row>
    <row r="295" spans="17:18" s="38" customFormat="1" x14ac:dyDescent="0.2">
      <c r="Q295" s="37"/>
      <c r="R295" s="37"/>
    </row>
    <row r="296" spans="17:18" s="38" customFormat="1" x14ac:dyDescent="0.2">
      <c r="Q296" s="37"/>
      <c r="R296" s="37"/>
    </row>
    <row r="297" spans="17:18" s="38" customFormat="1" x14ac:dyDescent="0.2">
      <c r="Q297" s="37"/>
      <c r="R297" s="37"/>
    </row>
    <row r="298" spans="17:18" s="38" customFormat="1" x14ac:dyDescent="0.2">
      <c r="Q298" s="37"/>
      <c r="R298" s="37"/>
    </row>
    <row r="299" spans="17:18" s="38" customFormat="1" x14ac:dyDescent="0.2">
      <c r="Q299" s="37"/>
      <c r="R299" s="37"/>
    </row>
    <row r="300" spans="17:18" s="38" customFormat="1" x14ac:dyDescent="0.2">
      <c r="Q300" s="37"/>
      <c r="R300" s="37"/>
    </row>
    <row r="301" spans="17:18" s="38" customFormat="1" x14ac:dyDescent="0.2">
      <c r="Q301" s="37"/>
      <c r="R301" s="37"/>
    </row>
    <row r="302" spans="17:18" s="38" customFormat="1" x14ac:dyDescent="0.2">
      <c r="Q302" s="37"/>
      <c r="R302" s="37"/>
    </row>
    <row r="303" spans="17:18" s="38" customFormat="1" x14ac:dyDescent="0.2">
      <c r="Q303" s="37"/>
      <c r="R303" s="37"/>
    </row>
    <row r="304" spans="17:18" s="38" customFormat="1" x14ac:dyDescent="0.2">
      <c r="Q304" s="37"/>
      <c r="R304" s="37"/>
    </row>
    <row r="305" spans="17:18" s="38" customFormat="1" x14ac:dyDescent="0.2">
      <c r="Q305" s="37"/>
      <c r="R305" s="37"/>
    </row>
    <row r="306" spans="17:18" s="38" customFormat="1" x14ac:dyDescent="0.2">
      <c r="Q306" s="37"/>
      <c r="R306" s="37"/>
    </row>
    <row r="307" spans="17:18" s="38" customFormat="1" x14ac:dyDescent="0.2">
      <c r="Q307" s="37"/>
      <c r="R307" s="37"/>
    </row>
    <row r="308" spans="17:18" s="38" customFormat="1" x14ac:dyDescent="0.2">
      <c r="Q308" s="37"/>
      <c r="R308" s="37"/>
    </row>
    <row r="309" spans="17:18" s="38" customFormat="1" x14ac:dyDescent="0.2">
      <c r="Q309" s="37"/>
      <c r="R309" s="37"/>
    </row>
    <row r="310" spans="17:18" s="38" customFormat="1" x14ac:dyDescent="0.2">
      <c r="Q310" s="37"/>
      <c r="R310" s="37"/>
    </row>
    <row r="311" spans="17:18" s="38" customFormat="1" x14ac:dyDescent="0.2">
      <c r="Q311" s="37"/>
      <c r="R311" s="37"/>
    </row>
    <row r="312" spans="17:18" s="38" customFormat="1" x14ac:dyDescent="0.2">
      <c r="Q312" s="37"/>
      <c r="R312" s="37"/>
    </row>
    <row r="313" spans="17:18" s="38" customFormat="1" x14ac:dyDescent="0.2">
      <c r="Q313" s="37"/>
      <c r="R313" s="37"/>
    </row>
    <row r="314" spans="17:18" s="38" customFormat="1" x14ac:dyDescent="0.2">
      <c r="Q314" s="37"/>
      <c r="R314" s="37"/>
    </row>
    <row r="315" spans="17:18" s="38" customFormat="1" x14ac:dyDescent="0.2">
      <c r="Q315" s="37"/>
      <c r="R315" s="37"/>
    </row>
    <row r="316" spans="17:18" s="38" customFormat="1" x14ac:dyDescent="0.2">
      <c r="Q316" s="37"/>
      <c r="R316" s="37"/>
    </row>
    <row r="317" spans="17:18" s="38" customFormat="1" x14ac:dyDescent="0.2">
      <c r="Q317" s="37"/>
      <c r="R317" s="37"/>
    </row>
    <row r="318" spans="17:18" s="38" customFormat="1" x14ac:dyDescent="0.2">
      <c r="Q318" s="37"/>
      <c r="R318" s="37"/>
    </row>
    <row r="319" spans="17:18" s="38" customFormat="1" x14ac:dyDescent="0.2">
      <c r="Q319" s="37"/>
      <c r="R319" s="37"/>
    </row>
    <row r="320" spans="17:18" s="38" customFormat="1" x14ac:dyDescent="0.2">
      <c r="Q320" s="37"/>
      <c r="R320" s="37"/>
    </row>
    <row r="321" spans="17:18" s="38" customFormat="1" x14ac:dyDescent="0.2">
      <c r="Q321" s="37"/>
      <c r="R321" s="37"/>
    </row>
    <row r="322" spans="17:18" s="38" customFormat="1" x14ac:dyDescent="0.2">
      <c r="Q322" s="37"/>
      <c r="R322" s="37"/>
    </row>
    <row r="323" spans="17:18" s="38" customFormat="1" x14ac:dyDescent="0.2">
      <c r="Q323" s="37"/>
      <c r="R323" s="37"/>
    </row>
    <row r="324" spans="17:18" s="38" customFormat="1" x14ac:dyDescent="0.2">
      <c r="Q324" s="37"/>
      <c r="R324" s="37"/>
    </row>
    <row r="325" spans="17:18" s="38" customFormat="1" x14ac:dyDescent="0.2">
      <c r="Q325" s="37"/>
      <c r="R325" s="37"/>
    </row>
    <row r="326" spans="17:18" s="38" customFormat="1" x14ac:dyDescent="0.2">
      <c r="Q326" s="37"/>
      <c r="R326" s="37"/>
    </row>
    <row r="327" spans="17:18" s="38" customFormat="1" x14ac:dyDescent="0.2">
      <c r="Q327" s="37"/>
      <c r="R327" s="37"/>
    </row>
    <row r="328" spans="17:18" s="38" customFormat="1" x14ac:dyDescent="0.2">
      <c r="Q328" s="37"/>
      <c r="R328" s="37"/>
    </row>
    <row r="329" spans="17:18" s="38" customFormat="1" x14ac:dyDescent="0.2">
      <c r="Q329" s="37"/>
      <c r="R329" s="37"/>
    </row>
    <row r="330" spans="17:18" s="38" customFormat="1" x14ac:dyDescent="0.2">
      <c r="Q330" s="37"/>
      <c r="R330" s="37"/>
    </row>
    <row r="331" spans="17:18" s="38" customFormat="1" x14ac:dyDescent="0.2">
      <c r="Q331" s="37"/>
      <c r="R331" s="37"/>
    </row>
    <row r="332" spans="17:18" s="38" customFormat="1" x14ac:dyDescent="0.2">
      <c r="Q332" s="37"/>
      <c r="R332" s="37"/>
    </row>
    <row r="333" spans="17:18" s="38" customFormat="1" x14ac:dyDescent="0.2">
      <c r="Q333" s="37"/>
      <c r="R333" s="37"/>
    </row>
    <row r="334" spans="17:18" s="38" customFormat="1" x14ac:dyDescent="0.2">
      <c r="Q334" s="37"/>
      <c r="R334" s="37"/>
    </row>
    <row r="335" spans="17:18" s="38" customFormat="1" x14ac:dyDescent="0.2">
      <c r="Q335" s="37"/>
      <c r="R335" s="37"/>
    </row>
    <row r="336" spans="17:18" s="38" customFormat="1" x14ac:dyDescent="0.2">
      <c r="Q336" s="37"/>
      <c r="R336" s="37"/>
    </row>
    <row r="337" spans="17:18" s="38" customFormat="1" x14ac:dyDescent="0.2">
      <c r="Q337" s="37"/>
      <c r="R337" s="37"/>
    </row>
    <row r="338" spans="17:18" s="38" customFormat="1" x14ac:dyDescent="0.2">
      <c r="Q338" s="37"/>
      <c r="R338" s="37"/>
    </row>
    <row r="339" spans="17:18" s="38" customFormat="1" x14ac:dyDescent="0.2">
      <c r="Q339" s="37"/>
      <c r="R339" s="37"/>
    </row>
    <row r="340" spans="17:18" s="38" customFormat="1" x14ac:dyDescent="0.2">
      <c r="Q340" s="37"/>
      <c r="R340" s="37"/>
    </row>
    <row r="341" spans="17:18" s="38" customFormat="1" x14ac:dyDescent="0.2">
      <c r="Q341" s="37"/>
      <c r="R341" s="37"/>
    </row>
    <row r="342" spans="17:18" s="38" customFormat="1" x14ac:dyDescent="0.2">
      <c r="Q342" s="37"/>
      <c r="R342" s="37"/>
    </row>
    <row r="343" spans="17:18" s="38" customFormat="1" x14ac:dyDescent="0.2">
      <c r="Q343" s="37"/>
      <c r="R343" s="37"/>
    </row>
    <row r="344" spans="17:18" s="38" customFormat="1" x14ac:dyDescent="0.2">
      <c r="Q344" s="37"/>
      <c r="R344" s="37"/>
    </row>
    <row r="345" spans="17:18" s="38" customFormat="1" x14ac:dyDescent="0.2">
      <c r="Q345" s="37"/>
      <c r="R345" s="37"/>
    </row>
    <row r="346" spans="17:18" s="38" customFormat="1" x14ac:dyDescent="0.2">
      <c r="Q346" s="37"/>
      <c r="R346" s="37"/>
    </row>
    <row r="347" spans="17:18" s="38" customFormat="1" x14ac:dyDescent="0.2">
      <c r="Q347" s="37"/>
      <c r="R347" s="37"/>
    </row>
    <row r="348" spans="17:18" s="38" customFormat="1" x14ac:dyDescent="0.2">
      <c r="Q348" s="37"/>
      <c r="R348" s="37"/>
    </row>
    <row r="349" spans="17:18" s="38" customFormat="1" x14ac:dyDescent="0.2">
      <c r="Q349" s="37"/>
      <c r="R349" s="37"/>
    </row>
    <row r="350" spans="17:18" s="38" customFormat="1" x14ac:dyDescent="0.2">
      <c r="Q350" s="37"/>
      <c r="R350" s="37"/>
    </row>
    <row r="351" spans="17:18" s="38" customFormat="1" x14ac:dyDescent="0.2">
      <c r="Q351" s="37"/>
      <c r="R351" s="37"/>
    </row>
    <row r="352" spans="17:18" s="38" customFormat="1" x14ac:dyDescent="0.2">
      <c r="Q352" s="37"/>
      <c r="R352" s="37"/>
    </row>
    <row r="353" spans="17:18" s="38" customFormat="1" x14ac:dyDescent="0.2">
      <c r="Q353" s="37"/>
      <c r="R353" s="37"/>
    </row>
    <row r="354" spans="17:18" s="38" customFormat="1" x14ac:dyDescent="0.2">
      <c r="Q354" s="37"/>
      <c r="R354" s="37"/>
    </row>
    <row r="355" spans="17:18" s="38" customFormat="1" x14ac:dyDescent="0.2">
      <c r="Q355" s="37"/>
      <c r="R355" s="37"/>
    </row>
    <row r="356" spans="17:18" s="38" customFormat="1" x14ac:dyDescent="0.2">
      <c r="Q356" s="37"/>
      <c r="R356" s="37"/>
    </row>
    <row r="357" spans="17:18" s="38" customFormat="1" x14ac:dyDescent="0.2">
      <c r="Q357" s="37"/>
      <c r="R357" s="37"/>
    </row>
    <row r="358" spans="17:18" s="38" customFormat="1" x14ac:dyDescent="0.2">
      <c r="Q358" s="37"/>
      <c r="R358" s="37"/>
    </row>
    <row r="359" spans="17:18" s="38" customFormat="1" x14ac:dyDescent="0.2">
      <c r="Q359" s="37"/>
      <c r="R359" s="37"/>
    </row>
    <row r="360" spans="17:18" s="38" customFormat="1" x14ac:dyDescent="0.2">
      <c r="Q360" s="37"/>
      <c r="R360" s="37"/>
    </row>
    <row r="361" spans="17:18" s="38" customFormat="1" x14ac:dyDescent="0.2">
      <c r="Q361" s="37"/>
      <c r="R361" s="37"/>
    </row>
    <row r="362" spans="17:18" s="38" customFormat="1" x14ac:dyDescent="0.2">
      <c r="Q362" s="37"/>
      <c r="R362" s="37"/>
    </row>
    <row r="363" spans="17:18" s="38" customFormat="1" x14ac:dyDescent="0.2">
      <c r="Q363" s="37"/>
      <c r="R363" s="37"/>
    </row>
    <row r="364" spans="17:18" s="38" customFormat="1" x14ac:dyDescent="0.2">
      <c r="Q364" s="37"/>
      <c r="R364" s="37"/>
    </row>
    <row r="365" spans="17:18" s="38" customFormat="1" x14ac:dyDescent="0.2">
      <c r="Q365" s="37"/>
      <c r="R365" s="37"/>
    </row>
    <row r="366" spans="17:18" s="38" customFormat="1" x14ac:dyDescent="0.2">
      <c r="Q366" s="37"/>
      <c r="R366" s="37"/>
    </row>
    <row r="367" spans="17:18" s="38" customFormat="1" x14ac:dyDescent="0.2">
      <c r="Q367" s="37"/>
      <c r="R367" s="37"/>
    </row>
    <row r="368" spans="17:18" s="38" customFormat="1" x14ac:dyDescent="0.2">
      <c r="Q368" s="37"/>
      <c r="R368" s="37"/>
    </row>
    <row r="369" spans="17:18" s="38" customFormat="1" x14ac:dyDescent="0.2">
      <c r="Q369" s="37"/>
      <c r="R369" s="37"/>
    </row>
    <row r="370" spans="17:18" s="38" customFormat="1" x14ac:dyDescent="0.2">
      <c r="Q370" s="37"/>
      <c r="R370" s="37"/>
    </row>
    <row r="371" spans="17:18" s="38" customFormat="1" x14ac:dyDescent="0.2">
      <c r="Q371" s="37"/>
      <c r="R371" s="37"/>
    </row>
    <row r="372" spans="17:18" s="38" customFormat="1" x14ac:dyDescent="0.2">
      <c r="Q372" s="37"/>
      <c r="R372" s="37"/>
    </row>
    <row r="373" spans="17:18" s="38" customFormat="1" x14ac:dyDescent="0.2">
      <c r="Q373" s="37"/>
      <c r="R373" s="37"/>
    </row>
    <row r="374" spans="17:18" s="38" customFormat="1" x14ac:dyDescent="0.2">
      <c r="Q374" s="37"/>
      <c r="R374" s="37"/>
    </row>
    <row r="375" spans="17:18" s="38" customFormat="1" x14ac:dyDescent="0.2">
      <c r="Q375" s="37"/>
      <c r="R375" s="37"/>
    </row>
    <row r="376" spans="17:18" s="38" customFormat="1" x14ac:dyDescent="0.2">
      <c r="Q376" s="37"/>
      <c r="R376" s="37"/>
    </row>
    <row r="377" spans="17:18" s="38" customFormat="1" x14ac:dyDescent="0.2">
      <c r="Q377" s="37"/>
      <c r="R377" s="37"/>
    </row>
    <row r="378" spans="17:18" s="38" customFormat="1" x14ac:dyDescent="0.2">
      <c r="Q378" s="37"/>
      <c r="R378" s="37"/>
    </row>
    <row r="379" spans="17:18" s="38" customFormat="1" x14ac:dyDescent="0.2">
      <c r="Q379" s="37"/>
      <c r="R379" s="37"/>
    </row>
    <row r="380" spans="17:18" s="38" customFormat="1" x14ac:dyDescent="0.2">
      <c r="Q380" s="37"/>
      <c r="R380" s="37"/>
    </row>
    <row r="381" spans="17:18" s="38" customFormat="1" x14ac:dyDescent="0.2">
      <c r="Q381" s="37"/>
      <c r="R381" s="37"/>
    </row>
    <row r="382" spans="17:18" s="38" customFormat="1" x14ac:dyDescent="0.2">
      <c r="Q382" s="37"/>
      <c r="R382" s="37"/>
    </row>
    <row r="383" spans="17:18" s="38" customFormat="1" x14ac:dyDescent="0.2">
      <c r="Q383" s="37"/>
      <c r="R383" s="37"/>
    </row>
    <row r="384" spans="17:18" s="38" customFormat="1" x14ac:dyDescent="0.2">
      <c r="Q384" s="37"/>
      <c r="R384" s="37"/>
    </row>
    <row r="385" spans="17:18" s="38" customFormat="1" x14ac:dyDescent="0.2">
      <c r="Q385" s="37"/>
      <c r="R385" s="37"/>
    </row>
    <row r="386" spans="17:18" s="38" customFormat="1" x14ac:dyDescent="0.2">
      <c r="Q386" s="37"/>
      <c r="R386" s="37"/>
    </row>
    <row r="387" spans="17:18" s="38" customFormat="1" x14ac:dyDescent="0.2">
      <c r="Q387" s="37"/>
      <c r="R387" s="37"/>
    </row>
    <row r="388" spans="17:18" s="38" customFormat="1" x14ac:dyDescent="0.2">
      <c r="Q388" s="37"/>
      <c r="R388" s="37"/>
    </row>
    <row r="389" spans="17:18" s="38" customFormat="1" x14ac:dyDescent="0.2">
      <c r="Q389" s="37"/>
      <c r="R389" s="37"/>
    </row>
    <row r="390" spans="17:18" s="38" customFormat="1" x14ac:dyDescent="0.2">
      <c r="Q390" s="37"/>
      <c r="R390" s="37"/>
    </row>
    <row r="391" spans="17:18" s="38" customFormat="1" x14ac:dyDescent="0.2">
      <c r="Q391" s="37"/>
      <c r="R391" s="37"/>
    </row>
    <row r="392" spans="17:18" s="38" customFormat="1" x14ac:dyDescent="0.2">
      <c r="Q392" s="37"/>
      <c r="R392" s="37"/>
    </row>
    <row r="393" spans="17:18" s="38" customFormat="1" x14ac:dyDescent="0.2">
      <c r="Q393" s="37"/>
      <c r="R393" s="37"/>
    </row>
    <row r="394" spans="17:18" s="38" customFormat="1" x14ac:dyDescent="0.2">
      <c r="Q394" s="37"/>
      <c r="R394" s="37"/>
    </row>
    <row r="395" spans="17:18" s="38" customFormat="1" x14ac:dyDescent="0.2">
      <c r="Q395" s="37"/>
      <c r="R395" s="37"/>
    </row>
    <row r="396" spans="17:18" s="38" customFormat="1" x14ac:dyDescent="0.2">
      <c r="Q396" s="37"/>
      <c r="R396" s="37"/>
    </row>
    <row r="397" spans="17:18" s="38" customFormat="1" x14ac:dyDescent="0.2">
      <c r="Q397" s="37"/>
      <c r="R397" s="37"/>
    </row>
    <row r="398" spans="17:18" s="38" customFormat="1" x14ac:dyDescent="0.2">
      <c r="Q398" s="37"/>
      <c r="R398" s="37"/>
    </row>
    <row r="399" spans="17:18" s="38" customFormat="1" x14ac:dyDescent="0.2">
      <c r="Q399" s="37"/>
      <c r="R399" s="37"/>
    </row>
    <row r="400" spans="17:18" s="38" customFormat="1" x14ac:dyDescent="0.2">
      <c r="Q400" s="37"/>
      <c r="R400" s="37"/>
    </row>
    <row r="401" spans="17:18" s="38" customFormat="1" x14ac:dyDescent="0.2">
      <c r="Q401" s="37"/>
      <c r="R401" s="37"/>
    </row>
    <row r="402" spans="17:18" s="38" customFormat="1" x14ac:dyDescent="0.2">
      <c r="Q402" s="37"/>
      <c r="R402" s="37"/>
    </row>
    <row r="403" spans="17:18" s="38" customFormat="1" x14ac:dyDescent="0.2">
      <c r="Q403" s="37"/>
      <c r="R403" s="37"/>
    </row>
    <row r="404" spans="17:18" s="38" customFormat="1" x14ac:dyDescent="0.2">
      <c r="Q404" s="37"/>
      <c r="R404" s="37"/>
    </row>
    <row r="405" spans="17:18" s="38" customFormat="1" x14ac:dyDescent="0.2">
      <c r="Q405" s="37"/>
      <c r="R405" s="37"/>
    </row>
    <row r="406" spans="17:18" s="38" customFormat="1" x14ac:dyDescent="0.2">
      <c r="Q406" s="37"/>
      <c r="R406" s="37"/>
    </row>
    <row r="407" spans="17:18" s="38" customFormat="1" x14ac:dyDescent="0.2">
      <c r="Q407" s="37"/>
      <c r="R407" s="37"/>
    </row>
    <row r="408" spans="17:18" s="38" customFormat="1" x14ac:dyDescent="0.2">
      <c r="Q408" s="37"/>
      <c r="R408" s="37"/>
    </row>
    <row r="409" spans="17:18" s="38" customFormat="1" x14ac:dyDescent="0.2">
      <c r="Q409" s="37"/>
      <c r="R409" s="37"/>
    </row>
    <row r="410" spans="17:18" s="38" customFormat="1" x14ac:dyDescent="0.2">
      <c r="Q410" s="37"/>
      <c r="R410" s="37"/>
    </row>
    <row r="411" spans="17:18" s="38" customFormat="1" x14ac:dyDescent="0.2">
      <c r="Q411" s="37"/>
      <c r="R411" s="37"/>
    </row>
    <row r="412" spans="17:18" s="38" customFormat="1" x14ac:dyDescent="0.2">
      <c r="Q412" s="37"/>
      <c r="R412" s="37"/>
    </row>
    <row r="413" spans="17:18" s="38" customFormat="1" x14ac:dyDescent="0.2">
      <c r="Q413" s="37"/>
      <c r="R413" s="37"/>
    </row>
    <row r="414" spans="17:18" s="38" customFormat="1" x14ac:dyDescent="0.2">
      <c r="Q414" s="37"/>
      <c r="R414" s="37"/>
    </row>
    <row r="415" spans="17:18" s="38" customFormat="1" x14ac:dyDescent="0.2">
      <c r="Q415" s="37"/>
      <c r="R415" s="37"/>
    </row>
    <row r="416" spans="17:18" s="38" customFormat="1" x14ac:dyDescent="0.2">
      <c r="Q416" s="37"/>
      <c r="R416" s="37"/>
    </row>
    <row r="417" spans="17:18" s="38" customFormat="1" x14ac:dyDescent="0.2">
      <c r="Q417" s="37"/>
      <c r="R417" s="37"/>
    </row>
    <row r="418" spans="17:18" s="38" customFormat="1" x14ac:dyDescent="0.2">
      <c r="Q418" s="37"/>
      <c r="R418" s="37"/>
    </row>
    <row r="419" spans="17:18" s="38" customFormat="1" x14ac:dyDescent="0.2">
      <c r="Q419" s="37"/>
      <c r="R419" s="37"/>
    </row>
    <row r="420" spans="17:18" s="38" customFormat="1" x14ac:dyDescent="0.2">
      <c r="Q420" s="37"/>
      <c r="R420" s="37"/>
    </row>
    <row r="421" spans="17:18" s="38" customFormat="1" x14ac:dyDescent="0.2">
      <c r="Q421" s="37"/>
      <c r="R421" s="37"/>
    </row>
    <row r="422" spans="17:18" s="38" customFormat="1" x14ac:dyDescent="0.2">
      <c r="Q422" s="37"/>
      <c r="R422" s="37"/>
    </row>
    <row r="423" spans="17:18" s="38" customFormat="1" x14ac:dyDescent="0.2">
      <c r="Q423" s="37"/>
      <c r="R423" s="37"/>
    </row>
    <row r="424" spans="17:18" s="38" customFormat="1" x14ac:dyDescent="0.2">
      <c r="Q424" s="37"/>
      <c r="R424" s="37"/>
    </row>
    <row r="425" spans="17:18" s="38" customFormat="1" x14ac:dyDescent="0.2">
      <c r="Q425" s="37"/>
      <c r="R425" s="37"/>
    </row>
    <row r="426" spans="17:18" s="38" customFormat="1" x14ac:dyDescent="0.2">
      <c r="Q426" s="37"/>
      <c r="R426" s="37"/>
    </row>
    <row r="427" spans="17:18" s="38" customFormat="1" x14ac:dyDescent="0.2">
      <c r="Q427" s="37"/>
      <c r="R427" s="37"/>
    </row>
    <row r="428" spans="17:18" s="38" customFormat="1" x14ac:dyDescent="0.2">
      <c r="Q428" s="37"/>
      <c r="R428" s="37"/>
    </row>
    <row r="429" spans="17:18" s="38" customFormat="1" x14ac:dyDescent="0.2">
      <c r="Q429" s="37"/>
      <c r="R429" s="37"/>
    </row>
    <row r="430" spans="17:18" s="38" customFormat="1" x14ac:dyDescent="0.2">
      <c r="Q430" s="37"/>
      <c r="R430" s="37"/>
    </row>
    <row r="431" spans="17:18" s="38" customFormat="1" x14ac:dyDescent="0.2">
      <c r="Q431" s="37"/>
      <c r="R431" s="37"/>
    </row>
    <row r="432" spans="17:18" s="38" customFormat="1" x14ac:dyDescent="0.2">
      <c r="Q432" s="37"/>
      <c r="R432" s="37"/>
    </row>
    <row r="433" spans="17:18" s="38" customFormat="1" x14ac:dyDescent="0.2">
      <c r="Q433" s="37"/>
      <c r="R433" s="37"/>
    </row>
    <row r="434" spans="17:18" s="38" customFormat="1" x14ac:dyDescent="0.2">
      <c r="Q434" s="37"/>
      <c r="R434" s="37"/>
    </row>
    <row r="435" spans="17:18" s="38" customFormat="1" x14ac:dyDescent="0.2">
      <c r="Q435" s="37"/>
      <c r="R435" s="37"/>
    </row>
    <row r="436" spans="17:18" s="38" customFormat="1" x14ac:dyDescent="0.2">
      <c r="Q436" s="37"/>
      <c r="R436" s="37"/>
    </row>
    <row r="437" spans="17:18" s="38" customFormat="1" x14ac:dyDescent="0.2">
      <c r="Q437" s="37"/>
      <c r="R437" s="37"/>
    </row>
    <row r="438" spans="17:18" s="38" customFormat="1" x14ac:dyDescent="0.2">
      <c r="Q438" s="37"/>
      <c r="R438" s="37"/>
    </row>
    <row r="439" spans="17:18" s="38" customFormat="1" x14ac:dyDescent="0.2">
      <c r="Q439" s="37"/>
      <c r="R439" s="37"/>
    </row>
    <row r="440" spans="17:18" s="38" customFormat="1" x14ac:dyDescent="0.2">
      <c r="Q440" s="37"/>
      <c r="R440" s="37"/>
    </row>
    <row r="441" spans="17:18" s="38" customFormat="1" x14ac:dyDescent="0.2">
      <c r="Q441" s="37"/>
      <c r="R441" s="37"/>
    </row>
    <row r="442" spans="17:18" s="38" customFormat="1" x14ac:dyDescent="0.2">
      <c r="Q442" s="37"/>
      <c r="R442" s="37"/>
    </row>
    <row r="443" spans="17:18" s="38" customFormat="1" x14ac:dyDescent="0.2">
      <c r="Q443" s="37"/>
      <c r="R443" s="37"/>
    </row>
    <row r="444" spans="17:18" s="38" customFormat="1" x14ac:dyDescent="0.2">
      <c r="Q444" s="37"/>
      <c r="R444" s="37"/>
    </row>
    <row r="445" spans="17:18" s="38" customFormat="1" x14ac:dyDescent="0.2">
      <c r="Q445" s="37"/>
      <c r="R445" s="37"/>
    </row>
    <row r="446" spans="17:18" s="38" customFormat="1" x14ac:dyDescent="0.2">
      <c r="Q446" s="37"/>
      <c r="R446" s="37"/>
    </row>
    <row r="447" spans="17:18" s="38" customFormat="1" x14ac:dyDescent="0.2">
      <c r="Q447" s="37"/>
      <c r="R447" s="37"/>
    </row>
    <row r="448" spans="17:18" s="38" customFormat="1" x14ac:dyDescent="0.2">
      <c r="Q448" s="37"/>
      <c r="R448" s="37"/>
    </row>
    <row r="449" spans="17:18" s="38" customFormat="1" x14ac:dyDescent="0.2">
      <c r="Q449" s="37"/>
      <c r="R449" s="37"/>
    </row>
    <row r="450" spans="17:18" s="38" customFormat="1" x14ac:dyDescent="0.2">
      <c r="Q450" s="37"/>
      <c r="R450" s="37"/>
    </row>
    <row r="451" spans="17:18" s="38" customFormat="1" x14ac:dyDescent="0.2">
      <c r="Q451" s="37"/>
      <c r="R451" s="37"/>
    </row>
    <row r="452" spans="17:18" s="38" customFormat="1" x14ac:dyDescent="0.2">
      <c r="Q452" s="37"/>
      <c r="R452" s="37"/>
    </row>
    <row r="453" spans="17:18" s="38" customFormat="1" x14ac:dyDescent="0.2">
      <c r="Q453" s="37"/>
      <c r="R453" s="37"/>
    </row>
    <row r="454" spans="17:18" s="38" customFormat="1" x14ac:dyDescent="0.2">
      <c r="Q454" s="37"/>
      <c r="R454" s="37"/>
    </row>
    <row r="455" spans="17:18" s="38" customFormat="1" x14ac:dyDescent="0.2">
      <c r="Q455" s="37"/>
      <c r="R455" s="37"/>
    </row>
  </sheetData>
  <conditionalFormatting sqref="E4:R4 R5:R205 E5:Q231">
    <cfRule type="cellIs" dxfId="2" priority="1" stopIfTrue="1" operator="equal">
      <formula>#REF!</formula>
    </cfRule>
  </conditionalFormatting>
  <pageMargins left="0.66" right="0.3" top="0.75" bottom="0.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B77D-36EE-484B-82E9-6377F52B837F}">
  <sheetPr codeName="Sheet4"/>
  <dimension ref="C1:Q228"/>
  <sheetViews>
    <sheetView showGridLines="0" view="pageBreakPreview" zoomScale="130" zoomScaleNormal="40" zoomScaleSheetLayoutView="130" workbookViewId="0">
      <selection activeCell="E232" sqref="E232:P232"/>
    </sheetView>
  </sheetViews>
  <sheetFormatPr defaultColWidth="8.85546875" defaultRowHeight="12.75" x14ac:dyDescent="0.2"/>
  <cols>
    <col min="1" max="2" width="8.85546875" style="37"/>
    <col min="3" max="3" width="17.42578125" style="37" customWidth="1"/>
    <col min="4" max="15" width="4.7109375" style="38" customWidth="1"/>
    <col min="16" max="16" width="8.85546875" style="37"/>
    <col min="17" max="17" width="18.140625" style="37" bestFit="1" customWidth="1"/>
    <col min="18" max="16384" width="8.85546875" style="37"/>
  </cols>
  <sheetData>
    <row r="1" spans="3:17" x14ac:dyDescent="0.2">
      <c r="C1" s="36" t="str">
        <f>[4]jan!B1</f>
        <v>CURAH  HUJAN  WS BENGAWAN SOLO</v>
      </c>
    </row>
    <row r="2" spans="3:17" x14ac:dyDescent="0.2">
      <c r="C2" s="39" t="s">
        <v>3606</v>
      </c>
      <c r="D2" s="40">
        <f>[3]jan!C3</f>
        <v>2022</v>
      </c>
    </row>
    <row r="3" spans="3:17" x14ac:dyDescent="0.2">
      <c r="C3" s="41" t="s">
        <v>3607</v>
      </c>
      <c r="D3" s="41" t="s">
        <v>3591</v>
      </c>
      <c r="E3" s="41" t="s">
        <v>3592</v>
      </c>
      <c r="F3" s="41" t="s">
        <v>3593</v>
      </c>
      <c r="G3" s="41" t="s">
        <v>3594</v>
      </c>
      <c r="H3" s="41" t="s">
        <v>3595</v>
      </c>
      <c r="I3" s="41" t="s">
        <v>3596</v>
      </c>
      <c r="J3" s="41" t="s">
        <v>3597</v>
      </c>
      <c r="K3" s="41" t="s">
        <v>3598</v>
      </c>
      <c r="L3" s="41" t="s">
        <v>3599</v>
      </c>
      <c r="M3" s="41" t="s">
        <v>3600</v>
      </c>
      <c r="N3" s="41" t="s">
        <v>3601</v>
      </c>
      <c r="O3" s="41" t="s">
        <v>3602</v>
      </c>
      <c r="P3" s="41" t="s">
        <v>2050</v>
      </c>
      <c r="Q3" s="42"/>
    </row>
    <row r="4" spans="3:17" x14ac:dyDescent="0.2">
      <c r="C4" s="43" t="s">
        <v>3608</v>
      </c>
      <c r="D4" s="45">
        <f>'Rekap Bulanan'!E232</f>
        <v>273.84543859649125</v>
      </c>
      <c r="E4" s="45">
        <f>'Rekap Bulanan'!F232</f>
        <v>238.38771929824566</v>
      </c>
      <c r="F4" s="45">
        <f>'Rekap Bulanan'!G232</f>
        <v>319.23201754385968</v>
      </c>
      <c r="G4" s="45">
        <f>'Rekap Bulanan'!H232</f>
        <v>192.0552631578947</v>
      </c>
      <c r="H4" s="45">
        <f>'Rekap Bulanan'!I232</f>
        <v>167.89956140350876</v>
      </c>
      <c r="I4" s="45">
        <f>'Rekap Bulanan'!J232</f>
        <v>142.86798245614034</v>
      </c>
      <c r="J4" s="45">
        <f>'Rekap Bulanan'!K232</f>
        <v>46.401754385964921</v>
      </c>
      <c r="K4" s="45">
        <f>'Rekap Bulanan'!L232</f>
        <v>54.469298245614034</v>
      </c>
      <c r="L4" s="45">
        <f>'Rekap Bulanan'!M232</f>
        <v>58.208333333333336</v>
      </c>
      <c r="M4" s="45">
        <f>'Rekap Bulanan'!N232</f>
        <v>323.47039473684208</v>
      </c>
      <c r="N4" s="45">
        <f>'Rekap Bulanan'!O232</f>
        <v>365.75131578947361</v>
      </c>
      <c r="O4" s="45">
        <f>'Rekap Bulanan'!P232</f>
        <v>248.50175438596489</v>
      </c>
      <c r="P4" s="45">
        <f>SUM(D4:O4)</f>
        <v>2431.0908333333332</v>
      </c>
      <c r="Q4" s="46"/>
    </row>
    <row r="5" spans="3:17" x14ac:dyDescent="0.2">
      <c r="C5" s="43" t="s">
        <v>3609</v>
      </c>
      <c r="D5" s="45">
        <f>'Rekap Max'!E232</f>
        <v>137</v>
      </c>
      <c r="E5" s="45">
        <f>'Rekap Max'!F232</f>
        <v>155</v>
      </c>
      <c r="F5" s="45">
        <f>'Rekap Max'!G232</f>
        <v>152</v>
      </c>
      <c r="G5" s="45">
        <f>'Rekap Max'!H232</f>
        <v>157</v>
      </c>
      <c r="H5" s="45">
        <f>'Rekap Max'!I232</f>
        <v>145</v>
      </c>
      <c r="I5" s="45">
        <f>'Rekap Max'!J232</f>
        <v>157</v>
      </c>
      <c r="J5" s="45">
        <f>'Rekap Max'!K232</f>
        <v>179</v>
      </c>
      <c r="K5" s="45">
        <f>'Rekap Max'!L232</f>
        <v>158</v>
      </c>
      <c r="L5" s="45">
        <f>'Rekap Max'!M232</f>
        <v>200</v>
      </c>
      <c r="M5" s="45">
        <f>'Rekap Max'!N232</f>
        <v>201</v>
      </c>
      <c r="N5" s="45">
        <f>'Rekap Max'!O232</f>
        <v>211</v>
      </c>
      <c r="O5" s="45">
        <f>'Rekap Max'!P232</f>
        <v>136</v>
      </c>
      <c r="P5" s="45">
        <f t="shared" ref="P5" si="0">MAX(D5:O5)</f>
        <v>211</v>
      </c>
      <c r="Q5" s="48"/>
    </row>
    <row r="6" spans="3:17" x14ac:dyDescent="0.2">
      <c r="C6" s="5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3:17" x14ac:dyDescent="0.2"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3:17" x14ac:dyDescent="0.2">
      <c r="C8" s="38"/>
    </row>
    <row r="9" spans="3:17" x14ac:dyDescent="0.2">
      <c r="C9" s="38"/>
    </row>
    <row r="10" spans="3:17" x14ac:dyDescent="0.2">
      <c r="C10" s="38"/>
    </row>
    <row r="11" spans="3:17" x14ac:dyDescent="0.2">
      <c r="C11" s="38"/>
    </row>
    <row r="12" spans="3:17" x14ac:dyDescent="0.2">
      <c r="C12" s="38"/>
    </row>
    <row r="13" spans="3:17" x14ac:dyDescent="0.2">
      <c r="C13" s="38"/>
    </row>
    <row r="14" spans="3:17" x14ac:dyDescent="0.2">
      <c r="C14" s="38"/>
    </row>
    <row r="15" spans="3:17" x14ac:dyDescent="0.2">
      <c r="C15" s="38"/>
    </row>
    <row r="16" spans="3:17" x14ac:dyDescent="0.2">
      <c r="C16" s="38"/>
    </row>
    <row r="17" spans="3:17" x14ac:dyDescent="0.2">
      <c r="C17" s="38"/>
    </row>
    <row r="18" spans="3:17" x14ac:dyDescent="0.2">
      <c r="C18" s="38"/>
    </row>
    <row r="19" spans="3:17" s="38" customFormat="1" x14ac:dyDescent="0.2">
      <c r="P19" s="37"/>
      <c r="Q19" s="37"/>
    </row>
    <row r="20" spans="3:17" s="38" customFormat="1" x14ac:dyDescent="0.2">
      <c r="P20" s="37"/>
      <c r="Q20" s="37"/>
    </row>
    <row r="21" spans="3:17" s="38" customFormat="1" x14ac:dyDescent="0.2">
      <c r="P21" s="37"/>
      <c r="Q21" s="37"/>
    </row>
    <row r="22" spans="3:17" s="38" customFormat="1" x14ac:dyDescent="0.2">
      <c r="P22" s="37"/>
      <c r="Q22" s="37"/>
    </row>
    <row r="23" spans="3:17" s="38" customFormat="1" x14ac:dyDescent="0.2">
      <c r="P23" s="37"/>
      <c r="Q23" s="37"/>
    </row>
    <row r="24" spans="3:17" s="38" customFormat="1" x14ac:dyDescent="0.2">
      <c r="P24" s="37"/>
      <c r="Q24" s="37"/>
    </row>
    <row r="25" spans="3:17" s="38" customFormat="1" x14ac:dyDescent="0.2">
      <c r="P25" s="37"/>
      <c r="Q25" s="37"/>
    </row>
    <row r="26" spans="3:17" s="38" customFormat="1" x14ac:dyDescent="0.2">
      <c r="P26" s="37"/>
      <c r="Q26" s="37"/>
    </row>
    <row r="27" spans="3:17" s="38" customFormat="1" x14ac:dyDescent="0.2">
      <c r="P27" s="37"/>
      <c r="Q27" s="37"/>
    </row>
    <row r="28" spans="3:17" s="38" customFormat="1" x14ac:dyDescent="0.2">
      <c r="P28" s="37"/>
      <c r="Q28" s="37"/>
    </row>
    <row r="29" spans="3:17" s="38" customFormat="1" x14ac:dyDescent="0.2">
      <c r="P29" s="37"/>
      <c r="Q29" s="37"/>
    </row>
    <row r="30" spans="3:17" s="38" customFormat="1" x14ac:dyDescent="0.2">
      <c r="P30" s="37"/>
      <c r="Q30" s="37"/>
    </row>
    <row r="31" spans="3:17" s="38" customFormat="1" x14ac:dyDescent="0.2">
      <c r="P31" s="37"/>
      <c r="Q31" s="37"/>
    </row>
    <row r="32" spans="3:17" s="38" customFormat="1" x14ac:dyDescent="0.2">
      <c r="P32" s="37"/>
      <c r="Q32" s="37"/>
    </row>
    <row r="33" spans="16:17" s="38" customFormat="1" x14ac:dyDescent="0.2">
      <c r="P33" s="37"/>
      <c r="Q33" s="37"/>
    </row>
    <row r="34" spans="16:17" s="38" customFormat="1" x14ac:dyDescent="0.2">
      <c r="P34" s="37"/>
      <c r="Q34" s="37"/>
    </row>
    <row r="35" spans="16:17" s="38" customFormat="1" x14ac:dyDescent="0.2">
      <c r="P35" s="37"/>
      <c r="Q35" s="37"/>
    </row>
    <row r="36" spans="16:17" s="38" customFormat="1" x14ac:dyDescent="0.2">
      <c r="P36" s="37"/>
      <c r="Q36" s="37"/>
    </row>
    <row r="37" spans="16:17" s="38" customFormat="1" x14ac:dyDescent="0.2">
      <c r="P37" s="37"/>
      <c r="Q37" s="37"/>
    </row>
    <row r="38" spans="16:17" s="38" customFormat="1" x14ac:dyDescent="0.2">
      <c r="P38" s="37"/>
      <c r="Q38" s="37"/>
    </row>
    <row r="39" spans="16:17" s="38" customFormat="1" x14ac:dyDescent="0.2">
      <c r="P39" s="37"/>
      <c r="Q39" s="37"/>
    </row>
    <row r="40" spans="16:17" s="38" customFormat="1" x14ac:dyDescent="0.2">
      <c r="P40" s="37"/>
      <c r="Q40" s="37"/>
    </row>
    <row r="41" spans="16:17" s="38" customFormat="1" x14ac:dyDescent="0.2">
      <c r="P41" s="37"/>
      <c r="Q41" s="37"/>
    </row>
    <row r="42" spans="16:17" s="38" customFormat="1" x14ac:dyDescent="0.2">
      <c r="P42" s="37"/>
      <c r="Q42" s="37"/>
    </row>
    <row r="43" spans="16:17" s="38" customFormat="1" x14ac:dyDescent="0.2">
      <c r="P43" s="37"/>
      <c r="Q43" s="37"/>
    </row>
    <row r="44" spans="16:17" s="38" customFormat="1" x14ac:dyDescent="0.2">
      <c r="P44" s="37"/>
      <c r="Q44" s="37"/>
    </row>
    <row r="45" spans="16:17" s="38" customFormat="1" x14ac:dyDescent="0.2">
      <c r="P45" s="37"/>
      <c r="Q45" s="37"/>
    </row>
    <row r="46" spans="16:17" s="38" customFormat="1" x14ac:dyDescent="0.2">
      <c r="P46" s="37"/>
      <c r="Q46" s="37"/>
    </row>
    <row r="47" spans="16:17" s="38" customFormat="1" x14ac:dyDescent="0.2">
      <c r="P47" s="37"/>
      <c r="Q47" s="37"/>
    </row>
    <row r="48" spans="16:17" s="38" customFormat="1" x14ac:dyDescent="0.2">
      <c r="P48" s="37"/>
      <c r="Q48" s="37"/>
    </row>
    <row r="49" spans="16:17" s="38" customFormat="1" x14ac:dyDescent="0.2">
      <c r="P49" s="37"/>
      <c r="Q49" s="37"/>
    </row>
    <row r="50" spans="16:17" s="38" customFormat="1" x14ac:dyDescent="0.2">
      <c r="P50" s="37"/>
      <c r="Q50" s="37"/>
    </row>
    <row r="51" spans="16:17" s="38" customFormat="1" x14ac:dyDescent="0.2">
      <c r="P51" s="37"/>
      <c r="Q51" s="37"/>
    </row>
    <row r="52" spans="16:17" s="38" customFormat="1" x14ac:dyDescent="0.2">
      <c r="P52" s="37"/>
      <c r="Q52" s="37"/>
    </row>
    <row r="53" spans="16:17" s="38" customFormat="1" x14ac:dyDescent="0.2">
      <c r="P53" s="37"/>
      <c r="Q53" s="37"/>
    </row>
    <row r="54" spans="16:17" s="38" customFormat="1" x14ac:dyDescent="0.2">
      <c r="P54" s="37"/>
      <c r="Q54" s="37"/>
    </row>
    <row r="55" spans="16:17" s="38" customFormat="1" x14ac:dyDescent="0.2">
      <c r="P55" s="37"/>
      <c r="Q55" s="37"/>
    </row>
    <row r="56" spans="16:17" s="38" customFormat="1" x14ac:dyDescent="0.2">
      <c r="P56" s="37"/>
      <c r="Q56" s="37"/>
    </row>
    <row r="57" spans="16:17" s="38" customFormat="1" x14ac:dyDescent="0.2">
      <c r="P57" s="37"/>
      <c r="Q57" s="37"/>
    </row>
    <row r="58" spans="16:17" s="38" customFormat="1" x14ac:dyDescent="0.2">
      <c r="P58" s="37"/>
      <c r="Q58" s="37"/>
    </row>
    <row r="59" spans="16:17" s="38" customFormat="1" x14ac:dyDescent="0.2">
      <c r="P59" s="37"/>
      <c r="Q59" s="37"/>
    </row>
    <row r="60" spans="16:17" s="38" customFormat="1" x14ac:dyDescent="0.2">
      <c r="P60" s="37"/>
      <c r="Q60" s="37"/>
    </row>
    <row r="61" spans="16:17" s="38" customFormat="1" x14ac:dyDescent="0.2">
      <c r="P61" s="37"/>
      <c r="Q61" s="37"/>
    </row>
    <row r="62" spans="16:17" s="38" customFormat="1" x14ac:dyDescent="0.2">
      <c r="P62" s="37"/>
      <c r="Q62" s="37"/>
    </row>
    <row r="63" spans="16:17" s="38" customFormat="1" x14ac:dyDescent="0.2">
      <c r="P63" s="37"/>
      <c r="Q63" s="37"/>
    </row>
    <row r="64" spans="16:17" s="38" customFormat="1" x14ac:dyDescent="0.2">
      <c r="P64" s="37"/>
      <c r="Q64" s="37"/>
    </row>
    <row r="65" spans="16:17" s="38" customFormat="1" x14ac:dyDescent="0.2">
      <c r="P65" s="37"/>
      <c r="Q65" s="37"/>
    </row>
    <row r="66" spans="16:17" s="38" customFormat="1" x14ac:dyDescent="0.2">
      <c r="P66" s="37"/>
      <c r="Q66" s="37"/>
    </row>
    <row r="67" spans="16:17" s="38" customFormat="1" x14ac:dyDescent="0.2">
      <c r="P67" s="37"/>
      <c r="Q67" s="37"/>
    </row>
    <row r="68" spans="16:17" s="38" customFormat="1" x14ac:dyDescent="0.2">
      <c r="P68" s="37"/>
      <c r="Q68" s="37"/>
    </row>
    <row r="69" spans="16:17" s="38" customFormat="1" x14ac:dyDescent="0.2">
      <c r="P69" s="37"/>
      <c r="Q69" s="37"/>
    </row>
    <row r="70" spans="16:17" s="38" customFormat="1" x14ac:dyDescent="0.2">
      <c r="P70" s="37"/>
      <c r="Q70" s="37"/>
    </row>
    <row r="71" spans="16:17" s="38" customFormat="1" x14ac:dyDescent="0.2">
      <c r="P71" s="37"/>
      <c r="Q71" s="37"/>
    </row>
    <row r="72" spans="16:17" s="38" customFormat="1" x14ac:dyDescent="0.2">
      <c r="P72" s="37"/>
      <c r="Q72" s="37"/>
    </row>
    <row r="73" spans="16:17" s="38" customFormat="1" x14ac:dyDescent="0.2">
      <c r="P73" s="37"/>
      <c r="Q73" s="37"/>
    </row>
    <row r="74" spans="16:17" s="38" customFormat="1" x14ac:dyDescent="0.2">
      <c r="P74" s="37"/>
      <c r="Q74" s="37"/>
    </row>
    <row r="75" spans="16:17" s="38" customFormat="1" x14ac:dyDescent="0.2">
      <c r="P75" s="37"/>
      <c r="Q75" s="37"/>
    </row>
    <row r="76" spans="16:17" s="38" customFormat="1" x14ac:dyDescent="0.2">
      <c r="P76" s="37"/>
      <c r="Q76" s="37"/>
    </row>
    <row r="77" spans="16:17" s="38" customFormat="1" x14ac:dyDescent="0.2">
      <c r="P77" s="37"/>
      <c r="Q77" s="37"/>
    </row>
    <row r="78" spans="16:17" s="38" customFormat="1" x14ac:dyDescent="0.2">
      <c r="P78" s="37"/>
      <c r="Q78" s="37"/>
    </row>
    <row r="79" spans="16:17" s="38" customFormat="1" x14ac:dyDescent="0.2">
      <c r="P79" s="37"/>
      <c r="Q79" s="37"/>
    </row>
    <row r="80" spans="16:17" s="38" customFormat="1" x14ac:dyDescent="0.2">
      <c r="P80" s="37"/>
      <c r="Q80" s="37"/>
    </row>
    <row r="81" spans="16:17" s="38" customFormat="1" x14ac:dyDescent="0.2">
      <c r="P81" s="37"/>
      <c r="Q81" s="37"/>
    </row>
    <row r="82" spans="16:17" s="38" customFormat="1" x14ac:dyDescent="0.2">
      <c r="P82" s="37"/>
      <c r="Q82" s="37"/>
    </row>
    <row r="83" spans="16:17" s="38" customFormat="1" x14ac:dyDescent="0.2">
      <c r="P83" s="37"/>
      <c r="Q83" s="37"/>
    </row>
    <row r="84" spans="16:17" s="38" customFormat="1" x14ac:dyDescent="0.2">
      <c r="P84" s="37"/>
      <c r="Q84" s="37"/>
    </row>
    <row r="85" spans="16:17" s="38" customFormat="1" x14ac:dyDescent="0.2">
      <c r="P85" s="37"/>
      <c r="Q85" s="37"/>
    </row>
    <row r="86" spans="16:17" s="38" customFormat="1" x14ac:dyDescent="0.2">
      <c r="P86" s="37"/>
      <c r="Q86" s="37"/>
    </row>
    <row r="87" spans="16:17" s="38" customFormat="1" x14ac:dyDescent="0.2">
      <c r="P87" s="37"/>
      <c r="Q87" s="37"/>
    </row>
    <row r="88" spans="16:17" s="38" customFormat="1" x14ac:dyDescent="0.2">
      <c r="P88" s="37"/>
      <c r="Q88" s="37"/>
    </row>
    <row r="89" spans="16:17" s="38" customFormat="1" x14ac:dyDescent="0.2">
      <c r="P89" s="37"/>
      <c r="Q89" s="37"/>
    </row>
    <row r="90" spans="16:17" s="38" customFormat="1" x14ac:dyDescent="0.2">
      <c r="P90" s="37"/>
      <c r="Q90" s="37"/>
    </row>
    <row r="91" spans="16:17" s="38" customFormat="1" x14ac:dyDescent="0.2">
      <c r="P91" s="37"/>
      <c r="Q91" s="37"/>
    </row>
    <row r="92" spans="16:17" s="38" customFormat="1" x14ac:dyDescent="0.2">
      <c r="P92" s="37"/>
      <c r="Q92" s="37"/>
    </row>
    <row r="93" spans="16:17" s="38" customFormat="1" x14ac:dyDescent="0.2">
      <c r="P93" s="37"/>
      <c r="Q93" s="37"/>
    </row>
    <row r="94" spans="16:17" s="38" customFormat="1" x14ac:dyDescent="0.2">
      <c r="P94" s="37"/>
      <c r="Q94" s="37"/>
    </row>
    <row r="95" spans="16:17" s="38" customFormat="1" x14ac:dyDescent="0.2">
      <c r="P95" s="37"/>
      <c r="Q95" s="37"/>
    </row>
    <row r="96" spans="16:17" s="38" customFormat="1" x14ac:dyDescent="0.2">
      <c r="P96" s="37"/>
      <c r="Q96" s="37"/>
    </row>
    <row r="97" spans="16:17" s="38" customFormat="1" x14ac:dyDescent="0.2">
      <c r="P97" s="37"/>
      <c r="Q97" s="37"/>
    </row>
    <row r="98" spans="16:17" s="38" customFormat="1" x14ac:dyDescent="0.2">
      <c r="P98" s="37"/>
      <c r="Q98" s="37"/>
    </row>
    <row r="99" spans="16:17" s="38" customFormat="1" x14ac:dyDescent="0.2">
      <c r="P99" s="37"/>
      <c r="Q99" s="37"/>
    </row>
    <row r="100" spans="16:17" s="38" customFormat="1" x14ac:dyDescent="0.2">
      <c r="P100" s="37"/>
      <c r="Q100" s="37"/>
    </row>
    <row r="101" spans="16:17" s="38" customFormat="1" x14ac:dyDescent="0.2">
      <c r="P101" s="37"/>
      <c r="Q101" s="37"/>
    </row>
    <row r="102" spans="16:17" s="38" customFormat="1" x14ac:dyDescent="0.2">
      <c r="P102" s="37"/>
      <c r="Q102" s="37"/>
    </row>
    <row r="103" spans="16:17" s="38" customFormat="1" x14ac:dyDescent="0.2">
      <c r="P103" s="37"/>
      <c r="Q103" s="37"/>
    </row>
    <row r="104" spans="16:17" s="38" customFormat="1" x14ac:dyDescent="0.2">
      <c r="P104" s="37"/>
      <c r="Q104" s="37"/>
    </row>
    <row r="105" spans="16:17" s="38" customFormat="1" x14ac:dyDescent="0.2">
      <c r="P105" s="37"/>
      <c r="Q105" s="37"/>
    </row>
    <row r="106" spans="16:17" s="38" customFormat="1" x14ac:dyDescent="0.2">
      <c r="P106" s="37"/>
      <c r="Q106" s="37"/>
    </row>
    <row r="107" spans="16:17" s="38" customFormat="1" x14ac:dyDescent="0.2">
      <c r="P107" s="37"/>
      <c r="Q107" s="37"/>
    </row>
    <row r="108" spans="16:17" s="38" customFormat="1" x14ac:dyDescent="0.2">
      <c r="P108" s="37"/>
      <c r="Q108" s="37"/>
    </row>
    <row r="109" spans="16:17" s="38" customFormat="1" x14ac:dyDescent="0.2">
      <c r="P109" s="37"/>
      <c r="Q109" s="37"/>
    </row>
    <row r="110" spans="16:17" s="38" customFormat="1" x14ac:dyDescent="0.2">
      <c r="P110" s="37"/>
      <c r="Q110" s="37"/>
    </row>
    <row r="111" spans="16:17" s="38" customFormat="1" x14ac:dyDescent="0.2">
      <c r="P111" s="37"/>
      <c r="Q111" s="37"/>
    </row>
    <row r="112" spans="16:17" s="38" customFormat="1" x14ac:dyDescent="0.2">
      <c r="P112" s="37"/>
      <c r="Q112" s="37"/>
    </row>
    <row r="113" spans="16:17" s="38" customFormat="1" x14ac:dyDescent="0.2">
      <c r="P113" s="37"/>
      <c r="Q113" s="37"/>
    </row>
    <row r="114" spans="16:17" s="38" customFormat="1" x14ac:dyDescent="0.2">
      <c r="P114" s="37"/>
      <c r="Q114" s="37"/>
    </row>
    <row r="115" spans="16:17" s="38" customFormat="1" x14ac:dyDescent="0.2">
      <c r="P115" s="37"/>
      <c r="Q115" s="37"/>
    </row>
    <row r="116" spans="16:17" s="38" customFormat="1" x14ac:dyDescent="0.2">
      <c r="P116" s="37"/>
      <c r="Q116" s="37"/>
    </row>
    <row r="117" spans="16:17" s="38" customFormat="1" x14ac:dyDescent="0.2">
      <c r="P117" s="37"/>
      <c r="Q117" s="37"/>
    </row>
    <row r="118" spans="16:17" s="38" customFormat="1" x14ac:dyDescent="0.2">
      <c r="P118" s="37"/>
      <c r="Q118" s="37"/>
    </row>
    <row r="119" spans="16:17" s="38" customFormat="1" x14ac:dyDescent="0.2">
      <c r="P119" s="37"/>
      <c r="Q119" s="37"/>
    </row>
    <row r="120" spans="16:17" s="38" customFormat="1" x14ac:dyDescent="0.2">
      <c r="P120" s="37"/>
      <c r="Q120" s="37"/>
    </row>
    <row r="121" spans="16:17" s="38" customFormat="1" x14ac:dyDescent="0.2">
      <c r="P121" s="37"/>
      <c r="Q121" s="37"/>
    </row>
    <row r="122" spans="16:17" s="38" customFormat="1" x14ac:dyDescent="0.2">
      <c r="P122" s="37"/>
      <c r="Q122" s="37"/>
    </row>
    <row r="123" spans="16:17" s="38" customFormat="1" x14ac:dyDescent="0.2">
      <c r="P123" s="37"/>
      <c r="Q123" s="37"/>
    </row>
    <row r="124" spans="16:17" s="38" customFormat="1" x14ac:dyDescent="0.2">
      <c r="P124" s="37"/>
      <c r="Q124" s="37"/>
    </row>
    <row r="125" spans="16:17" s="38" customFormat="1" x14ac:dyDescent="0.2">
      <c r="P125" s="37"/>
      <c r="Q125" s="37"/>
    </row>
    <row r="126" spans="16:17" s="38" customFormat="1" x14ac:dyDescent="0.2">
      <c r="P126" s="37"/>
      <c r="Q126" s="37"/>
    </row>
    <row r="127" spans="16:17" s="38" customFormat="1" x14ac:dyDescent="0.2">
      <c r="P127" s="37"/>
      <c r="Q127" s="37"/>
    </row>
    <row r="128" spans="16:17" s="38" customFormat="1" x14ac:dyDescent="0.2">
      <c r="P128" s="37"/>
      <c r="Q128" s="37"/>
    </row>
    <row r="129" spans="16:17" s="38" customFormat="1" x14ac:dyDescent="0.2">
      <c r="P129" s="37"/>
      <c r="Q129" s="37"/>
    </row>
    <row r="130" spans="16:17" s="38" customFormat="1" x14ac:dyDescent="0.2">
      <c r="P130" s="37"/>
      <c r="Q130" s="37"/>
    </row>
    <row r="131" spans="16:17" s="38" customFormat="1" x14ac:dyDescent="0.2">
      <c r="P131" s="37"/>
      <c r="Q131" s="37"/>
    </row>
    <row r="132" spans="16:17" s="38" customFormat="1" x14ac:dyDescent="0.2">
      <c r="P132" s="37"/>
      <c r="Q132" s="37"/>
    </row>
    <row r="133" spans="16:17" s="38" customFormat="1" x14ac:dyDescent="0.2">
      <c r="P133" s="37"/>
      <c r="Q133" s="37"/>
    </row>
    <row r="134" spans="16:17" s="38" customFormat="1" x14ac:dyDescent="0.2">
      <c r="P134" s="37"/>
      <c r="Q134" s="37"/>
    </row>
    <row r="135" spans="16:17" s="38" customFormat="1" x14ac:dyDescent="0.2">
      <c r="P135" s="37"/>
      <c r="Q135" s="37"/>
    </row>
    <row r="136" spans="16:17" s="38" customFormat="1" x14ac:dyDescent="0.2">
      <c r="P136" s="37"/>
      <c r="Q136" s="37"/>
    </row>
    <row r="137" spans="16:17" s="38" customFormat="1" x14ac:dyDescent="0.2">
      <c r="P137" s="37"/>
      <c r="Q137" s="37"/>
    </row>
    <row r="138" spans="16:17" s="38" customFormat="1" x14ac:dyDescent="0.2">
      <c r="P138" s="37"/>
      <c r="Q138" s="37"/>
    </row>
    <row r="139" spans="16:17" s="38" customFormat="1" x14ac:dyDescent="0.2">
      <c r="P139" s="37"/>
      <c r="Q139" s="37"/>
    </row>
    <row r="140" spans="16:17" s="38" customFormat="1" x14ac:dyDescent="0.2">
      <c r="P140" s="37"/>
      <c r="Q140" s="37"/>
    </row>
    <row r="141" spans="16:17" s="38" customFormat="1" x14ac:dyDescent="0.2">
      <c r="P141" s="37"/>
      <c r="Q141" s="37"/>
    </row>
    <row r="142" spans="16:17" s="38" customFormat="1" x14ac:dyDescent="0.2">
      <c r="P142" s="37"/>
      <c r="Q142" s="37"/>
    </row>
    <row r="143" spans="16:17" s="38" customFormat="1" x14ac:dyDescent="0.2">
      <c r="P143" s="37"/>
      <c r="Q143" s="37"/>
    </row>
    <row r="144" spans="16:17" s="38" customFormat="1" x14ac:dyDescent="0.2">
      <c r="P144" s="37"/>
      <c r="Q144" s="37"/>
    </row>
    <row r="145" spans="16:17" s="38" customFormat="1" x14ac:dyDescent="0.2">
      <c r="P145" s="37"/>
      <c r="Q145" s="37"/>
    </row>
    <row r="146" spans="16:17" s="38" customFormat="1" x14ac:dyDescent="0.2">
      <c r="P146" s="37"/>
      <c r="Q146" s="37"/>
    </row>
    <row r="147" spans="16:17" s="38" customFormat="1" x14ac:dyDescent="0.2">
      <c r="P147" s="37"/>
      <c r="Q147" s="37"/>
    </row>
    <row r="148" spans="16:17" s="38" customFormat="1" x14ac:dyDescent="0.2">
      <c r="P148" s="37"/>
      <c r="Q148" s="37"/>
    </row>
    <row r="149" spans="16:17" s="38" customFormat="1" x14ac:dyDescent="0.2">
      <c r="P149" s="37"/>
      <c r="Q149" s="37"/>
    </row>
    <row r="150" spans="16:17" s="38" customFormat="1" x14ac:dyDescent="0.2">
      <c r="P150" s="37"/>
      <c r="Q150" s="37"/>
    </row>
    <row r="151" spans="16:17" s="38" customFormat="1" x14ac:dyDescent="0.2">
      <c r="P151" s="37"/>
      <c r="Q151" s="37"/>
    </row>
    <row r="152" spans="16:17" s="38" customFormat="1" x14ac:dyDescent="0.2">
      <c r="P152" s="37"/>
      <c r="Q152" s="37"/>
    </row>
    <row r="153" spans="16:17" s="38" customFormat="1" x14ac:dyDescent="0.2">
      <c r="P153" s="37"/>
      <c r="Q153" s="37"/>
    </row>
    <row r="154" spans="16:17" s="38" customFormat="1" x14ac:dyDescent="0.2">
      <c r="P154" s="37"/>
      <c r="Q154" s="37"/>
    </row>
    <row r="155" spans="16:17" s="38" customFormat="1" x14ac:dyDescent="0.2">
      <c r="P155" s="37"/>
      <c r="Q155" s="37"/>
    </row>
    <row r="156" spans="16:17" s="38" customFormat="1" x14ac:dyDescent="0.2">
      <c r="P156" s="37"/>
      <c r="Q156" s="37"/>
    </row>
    <row r="157" spans="16:17" s="38" customFormat="1" x14ac:dyDescent="0.2">
      <c r="P157" s="37"/>
      <c r="Q157" s="37"/>
    </row>
    <row r="158" spans="16:17" s="38" customFormat="1" x14ac:dyDescent="0.2">
      <c r="P158" s="37"/>
      <c r="Q158" s="37"/>
    </row>
    <row r="159" spans="16:17" s="38" customFormat="1" x14ac:dyDescent="0.2">
      <c r="P159" s="37"/>
      <c r="Q159" s="37"/>
    </row>
    <row r="160" spans="16:17" s="38" customFormat="1" x14ac:dyDescent="0.2">
      <c r="P160" s="37"/>
      <c r="Q160" s="37"/>
    </row>
    <row r="161" spans="16:17" s="38" customFormat="1" x14ac:dyDescent="0.2">
      <c r="P161" s="37"/>
      <c r="Q161" s="37"/>
    </row>
    <row r="162" spans="16:17" s="38" customFormat="1" x14ac:dyDescent="0.2">
      <c r="P162" s="37"/>
      <c r="Q162" s="37"/>
    </row>
    <row r="163" spans="16:17" s="38" customFormat="1" x14ac:dyDescent="0.2">
      <c r="P163" s="37"/>
      <c r="Q163" s="37"/>
    </row>
    <row r="164" spans="16:17" s="38" customFormat="1" x14ac:dyDescent="0.2">
      <c r="P164" s="37"/>
      <c r="Q164" s="37"/>
    </row>
    <row r="165" spans="16:17" s="38" customFormat="1" x14ac:dyDescent="0.2">
      <c r="P165" s="37"/>
      <c r="Q165" s="37"/>
    </row>
    <row r="166" spans="16:17" s="38" customFormat="1" x14ac:dyDescent="0.2">
      <c r="P166" s="37"/>
      <c r="Q166" s="37"/>
    </row>
    <row r="167" spans="16:17" s="38" customFormat="1" x14ac:dyDescent="0.2">
      <c r="P167" s="37"/>
      <c r="Q167" s="37"/>
    </row>
    <row r="168" spans="16:17" s="38" customFormat="1" x14ac:dyDescent="0.2">
      <c r="P168" s="37"/>
      <c r="Q168" s="37"/>
    </row>
    <row r="169" spans="16:17" s="38" customFormat="1" x14ac:dyDescent="0.2">
      <c r="P169" s="37"/>
      <c r="Q169" s="37"/>
    </row>
    <row r="170" spans="16:17" s="38" customFormat="1" x14ac:dyDescent="0.2">
      <c r="P170" s="37"/>
      <c r="Q170" s="37"/>
    </row>
    <row r="171" spans="16:17" s="38" customFormat="1" x14ac:dyDescent="0.2">
      <c r="P171" s="37"/>
      <c r="Q171" s="37"/>
    </row>
    <row r="172" spans="16:17" s="38" customFormat="1" x14ac:dyDescent="0.2">
      <c r="P172" s="37"/>
      <c r="Q172" s="37"/>
    </row>
    <row r="173" spans="16:17" s="38" customFormat="1" x14ac:dyDescent="0.2">
      <c r="P173" s="37"/>
      <c r="Q173" s="37"/>
    </row>
    <row r="174" spans="16:17" s="38" customFormat="1" x14ac:dyDescent="0.2">
      <c r="P174" s="37"/>
      <c r="Q174" s="37"/>
    </row>
    <row r="175" spans="16:17" s="38" customFormat="1" x14ac:dyDescent="0.2">
      <c r="P175" s="37"/>
      <c r="Q175" s="37"/>
    </row>
    <row r="176" spans="16:17" s="38" customFormat="1" x14ac:dyDescent="0.2">
      <c r="P176" s="37"/>
      <c r="Q176" s="37"/>
    </row>
    <row r="177" spans="16:17" s="38" customFormat="1" x14ac:dyDescent="0.2">
      <c r="P177" s="37"/>
      <c r="Q177" s="37"/>
    </row>
    <row r="178" spans="16:17" s="38" customFormat="1" x14ac:dyDescent="0.2">
      <c r="P178" s="37"/>
      <c r="Q178" s="37"/>
    </row>
    <row r="179" spans="16:17" s="38" customFormat="1" x14ac:dyDescent="0.2">
      <c r="P179" s="37"/>
      <c r="Q179" s="37"/>
    </row>
    <row r="180" spans="16:17" s="38" customFormat="1" x14ac:dyDescent="0.2">
      <c r="P180" s="37"/>
      <c r="Q180" s="37"/>
    </row>
    <row r="181" spans="16:17" s="38" customFormat="1" x14ac:dyDescent="0.2">
      <c r="P181" s="37"/>
      <c r="Q181" s="37"/>
    </row>
    <row r="182" spans="16:17" s="38" customFormat="1" x14ac:dyDescent="0.2">
      <c r="P182" s="37"/>
      <c r="Q182" s="37"/>
    </row>
    <row r="183" spans="16:17" s="38" customFormat="1" x14ac:dyDescent="0.2">
      <c r="P183" s="37"/>
      <c r="Q183" s="37"/>
    </row>
    <row r="184" spans="16:17" s="38" customFormat="1" x14ac:dyDescent="0.2">
      <c r="P184" s="37"/>
      <c r="Q184" s="37"/>
    </row>
    <row r="185" spans="16:17" s="38" customFormat="1" x14ac:dyDescent="0.2">
      <c r="P185" s="37"/>
      <c r="Q185" s="37"/>
    </row>
    <row r="186" spans="16:17" s="38" customFormat="1" x14ac:dyDescent="0.2">
      <c r="P186" s="37"/>
      <c r="Q186" s="37"/>
    </row>
    <row r="187" spans="16:17" s="38" customFormat="1" x14ac:dyDescent="0.2">
      <c r="P187" s="37"/>
      <c r="Q187" s="37"/>
    </row>
    <row r="188" spans="16:17" s="38" customFormat="1" x14ac:dyDescent="0.2">
      <c r="P188" s="37"/>
      <c r="Q188" s="37"/>
    </row>
    <row r="189" spans="16:17" s="38" customFormat="1" x14ac:dyDescent="0.2">
      <c r="P189" s="37"/>
      <c r="Q189" s="37"/>
    </row>
    <row r="190" spans="16:17" s="38" customFormat="1" x14ac:dyDescent="0.2">
      <c r="P190" s="37"/>
      <c r="Q190" s="37"/>
    </row>
    <row r="191" spans="16:17" s="38" customFormat="1" x14ac:dyDescent="0.2">
      <c r="P191" s="37"/>
      <c r="Q191" s="37"/>
    </row>
    <row r="192" spans="16:17" s="38" customFormat="1" x14ac:dyDescent="0.2">
      <c r="P192" s="37"/>
      <c r="Q192" s="37"/>
    </row>
    <row r="193" spans="16:17" s="38" customFormat="1" x14ac:dyDescent="0.2">
      <c r="P193" s="37"/>
      <c r="Q193" s="37"/>
    </row>
    <row r="194" spans="16:17" s="38" customFormat="1" x14ac:dyDescent="0.2">
      <c r="P194" s="37"/>
      <c r="Q194" s="37"/>
    </row>
    <row r="195" spans="16:17" s="38" customFormat="1" x14ac:dyDescent="0.2">
      <c r="P195" s="37"/>
      <c r="Q195" s="37"/>
    </row>
    <row r="196" spans="16:17" s="38" customFormat="1" x14ac:dyDescent="0.2">
      <c r="P196" s="37"/>
      <c r="Q196" s="37"/>
    </row>
    <row r="197" spans="16:17" s="38" customFormat="1" x14ac:dyDescent="0.2">
      <c r="P197" s="37"/>
      <c r="Q197" s="37"/>
    </row>
    <row r="198" spans="16:17" s="38" customFormat="1" x14ac:dyDescent="0.2">
      <c r="P198" s="37"/>
      <c r="Q198" s="37"/>
    </row>
    <row r="199" spans="16:17" s="38" customFormat="1" x14ac:dyDescent="0.2">
      <c r="P199" s="37"/>
      <c r="Q199" s="37"/>
    </row>
    <row r="200" spans="16:17" s="38" customFormat="1" x14ac:dyDescent="0.2">
      <c r="P200" s="37"/>
      <c r="Q200" s="37"/>
    </row>
    <row r="201" spans="16:17" s="38" customFormat="1" x14ac:dyDescent="0.2">
      <c r="P201" s="37"/>
      <c r="Q201" s="37"/>
    </row>
    <row r="202" spans="16:17" s="38" customFormat="1" x14ac:dyDescent="0.2">
      <c r="P202" s="37"/>
      <c r="Q202" s="37"/>
    </row>
    <row r="203" spans="16:17" s="38" customFormat="1" x14ac:dyDescent="0.2">
      <c r="P203" s="37"/>
      <c r="Q203" s="37"/>
    </row>
    <row r="204" spans="16:17" s="38" customFormat="1" x14ac:dyDescent="0.2">
      <c r="P204" s="37"/>
      <c r="Q204" s="37"/>
    </row>
    <row r="205" spans="16:17" s="38" customFormat="1" x14ac:dyDescent="0.2">
      <c r="P205" s="37"/>
      <c r="Q205" s="37"/>
    </row>
    <row r="206" spans="16:17" s="38" customFormat="1" x14ac:dyDescent="0.2">
      <c r="P206" s="37"/>
      <c r="Q206" s="37"/>
    </row>
    <row r="207" spans="16:17" s="38" customFormat="1" x14ac:dyDescent="0.2">
      <c r="P207" s="37"/>
      <c r="Q207" s="37"/>
    </row>
    <row r="208" spans="16:17" s="38" customFormat="1" x14ac:dyDescent="0.2">
      <c r="P208" s="37"/>
      <c r="Q208" s="37"/>
    </row>
    <row r="209" spans="16:17" s="38" customFormat="1" x14ac:dyDescent="0.2">
      <c r="P209" s="37"/>
      <c r="Q209" s="37"/>
    </row>
    <row r="210" spans="16:17" s="38" customFormat="1" x14ac:dyDescent="0.2">
      <c r="P210" s="37"/>
      <c r="Q210" s="37"/>
    </row>
    <row r="211" spans="16:17" s="38" customFormat="1" x14ac:dyDescent="0.2">
      <c r="P211" s="37"/>
      <c r="Q211" s="37"/>
    </row>
    <row r="212" spans="16:17" s="38" customFormat="1" x14ac:dyDescent="0.2">
      <c r="P212" s="37"/>
      <c r="Q212" s="37"/>
    </row>
    <row r="213" spans="16:17" s="38" customFormat="1" x14ac:dyDescent="0.2">
      <c r="P213" s="37"/>
      <c r="Q213" s="37"/>
    </row>
    <row r="214" spans="16:17" s="38" customFormat="1" x14ac:dyDescent="0.2">
      <c r="P214" s="37"/>
      <c r="Q214" s="37"/>
    </row>
    <row r="215" spans="16:17" s="38" customFormat="1" x14ac:dyDescent="0.2">
      <c r="P215" s="37"/>
      <c r="Q215" s="37"/>
    </row>
    <row r="216" spans="16:17" s="38" customFormat="1" x14ac:dyDescent="0.2">
      <c r="P216" s="37"/>
      <c r="Q216" s="37"/>
    </row>
    <row r="217" spans="16:17" s="38" customFormat="1" x14ac:dyDescent="0.2">
      <c r="P217" s="37"/>
      <c r="Q217" s="37"/>
    </row>
    <row r="218" spans="16:17" s="38" customFormat="1" x14ac:dyDescent="0.2">
      <c r="P218" s="37"/>
      <c r="Q218" s="37"/>
    </row>
    <row r="219" spans="16:17" s="38" customFormat="1" x14ac:dyDescent="0.2">
      <c r="P219" s="37"/>
      <c r="Q219" s="37"/>
    </row>
    <row r="220" spans="16:17" s="38" customFormat="1" x14ac:dyDescent="0.2">
      <c r="P220" s="37"/>
      <c r="Q220" s="37"/>
    </row>
    <row r="221" spans="16:17" s="38" customFormat="1" x14ac:dyDescent="0.2">
      <c r="P221" s="37"/>
      <c r="Q221" s="37"/>
    </row>
    <row r="222" spans="16:17" s="38" customFormat="1" x14ac:dyDescent="0.2">
      <c r="P222" s="37"/>
      <c r="Q222" s="37"/>
    </row>
    <row r="223" spans="16:17" s="38" customFormat="1" x14ac:dyDescent="0.2">
      <c r="P223" s="37"/>
      <c r="Q223" s="37"/>
    </row>
    <row r="224" spans="16:17" s="38" customFormat="1" x14ac:dyDescent="0.2">
      <c r="P224" s="37"/>
      <c r="Q224" s="37"/>
    </row>
    <row r="225" spans="16:17" s="38" customFormat="1" x14ac:dyDescent="0.2">
      <c r="P225" s="37"/>
      <c r="Q225" s="37"/>
    </row>
    <row r="226" spans="16:17" s="38" customFormat="1" x14ac:dyDescent="0.2">
      <c r="P226" s="37"/>
      <c r="Q226" s="37"/>
    </row>
    <row r="227" spans="16:17" s="38" customFormat="1" x14ac:dyDescent="0.2">
      <c r="P227" s="37"/>
      <c r="Q227" s="37"/>
    </row>
    <row r="228" spans="16:17" s="38" customFormat="1" x14ac:dyDescent="0.2">
      <c r="P228" s="37"/>
      <c r="Q228" s="37"/>
    </row>
  </sheetData>
  <conditionalFormatting sqref="D4:Q5">
    <cfRule type="cellIs" dxfId="1" priority="1" stopIfTrue="1" operator="equal">
      <formula>#REF!</formula>
    </cfRule>
  </conditionalFormatting>
  <pageMargins left="0.66" right="0.3" top="0.75" bottom="0.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E536-044F-48F5-95F3-43808B1B0564}">
  <sheetPr codeName="Sheet5"/>
  <dimension ref="A1:P69"/>
  <sheetViews>
    <sheetView showGridLines="0" view="pageBreakPreview" zoomScale="85" zoomScaleNormal="75" zoomScaleSheetLayoutView="85" workbookViewId="0">
      <selection activeCell="E232" sqref="E232:P232"/>
    </sheetView>
  </sheetViews>
  <sheetFormatPr defaultColWidth="9.140625" defaultRowHeight="12.75" x14ac:dyDescent="0.2"/>
  <cols>
    <col min="1" max="1" width="12" style="1" customWidth="1"/>
    <col min="2" max="13" width="7.7109375" style="1" customWidth="1"/>
    <col min="14" max="14" width="8.7109375" style="1" customWidth="1"/>
    <col min="15" max="16384" width="9.140625" style="1"/>
  </cols>
  <sheetData>
    <row r="1" spans="1:16" ht="15.75" x14ac:dyDescent="0.25">
      <c r="A1" s="139" t="s">
        <v>3610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58"/>
    </row>
    <row r="2" spans="1:16" ht="15.75" x14ac:dyDescent="0.25">
      <c r="A2" s="37"/>
      <c r="B2" s="37"/>
      <c r="C2" s="39"/>
      <c r="D2" s="37"/>
      <c r="E2" s="37"/>
      <c r="F2" s="59" t="s">
        <v>40</v>
      </c>
      <c r="G2" s="60">
        <f>'[4]1'!G2</f>
        <v>2022</v>
      </c>
      <c r="H2" s="37"/>
      <c r="I2" s="37"/>
      <c r="J2" s="37"/>
      <c r="K2" s="37"/>
      <c r="L2" s="37"/>
      <c r="M2" s="37"/>
      <c r="N2" s="61"/>
      <c r="O2" s="62">
        <v>1</v>
      </c>
    </row>
    <row r="3" spans="1:16" x14ac:dyDescent="0.2">
      <c r="A3" s="38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61"/>
    </row>
    <row r="4" spans="1:16" ht="13.5" x14ac:dyDescent="0.25">
      <c r="A4" s="63" t="s">
        <v>3611</v>
      </c>
      <c r="B4" s="64" t="str">
        <f>VLOOKUP($L$4,POSHUJAN,2)</f>
        <v>Krikilan</v>
      </c>
      <c r="C4" s="65"/>
      <c r="D4" s="66"/>
      <c r="E4" s="67"/>
      <c r="F4" s="140" t="s">
        <v>3612</v>
      </c>
      <c r="G4" s="141"/>
      <c r="H4" s="68" t="str">
        <f>VLOOKUP($L$4,POSHUJAN,5)</f>
        <v>Krikilan</v>
      </c>
      <c r="I4" s="69"/>
      <c r="J4" s="140" t="s">
        <v>3613</v>
      </c>
      <c r="K4" s="141"/>
      <c r="L4" s="68">
        <f>VLOOKUP(O2,Printout,3)</f>
        <v>350125005</v>
      </c>
      <c r="M4" s="70"/>
      <c r="N4" s="61"/>
    </row>
    <row r="5" spans="1:16" ht="13.5" x14ac:dyDescent="0.25">
      <c r="A5" s="71" t="s">
        <v>3614</v>
      </c>
      <c r="B5" s="72" t="str">
        <f>VLOOKUP($L$4,POSHUJAN,3)</f>
        <v>-</v>
      </c>
      <c r="C5" s="73"/>
      <c r="D5" s="74"/>
      <c r="E5" s="67"/>
      <c r="F5" s="137" t="s">
        <v>12</v>
      </c>
      <c r="G5" s="138"/>
      <c r="H5" s="72" t="str">
        <f>VLOOKUP($L$4,POSHUJAN,6)</f>
        <v>Driyorejo</v>
      </c>
      <c r="I5" s="75"/>
      <c r="J5" s="137" t="s">
        <v>10</v>
      </c>
      <c r="K5" s="138"/>
      <c r="L5" s="72" t="str">
        <f>VLOOKUP($L$4,POSHUJAN,14)</f>
        <v>-</v>
      </c>
      <c r="M5" s="76"/>
      <c r="N5" s="77"/>
      <c r="O5" s="2" t="s">
        <v>3615</v>
      </c>
      <c r="P5" s="2">
        <v>1</v>
      </c>
    </row>
    <row r="6" spans="1:16" ht="15.75" x14ac:dyDescent="0.25">
      <c r="A6" s="78" t="s">
        <v>3616</v>
      </c>
      <c r="B6" s="72" t="str">
        <f>VLOOKUP($L$4,POSHUJAN,9)</f>
        <v>'-7.372667</v>
      </c>
      <c r="C6" s="73"/>
      <c r="D6" s="74"/>
      <c r="E6" s="67"/>
      <c r="F6" s="137" t="s">
        <v>3617</v>
      </c>
      <c r="G6" s="138"/>
      <c r="H6" s="72" t="str">
        <f>VLOOKUP($L$4,POSHUJAN,7)</f>
        <v>Gresik</v>
      </c>
      <c r="I6" s="76"/>
      <c r="J6" s="137" t="s">
        <v>3618</v>
      </c>
      <c r="K6" s="138"/>
      <c r="L6" s="72" t="str">
        <f>VLOOKUP($L$4,POSHUJAN,12)</f>
        <v>PHB</v>
      </c>
      <c r="M6" s="76"/>
      <c r="N6" s="79"/>
      <c r="O6" s="2"/>
    </row>
    <row r="7" spans="1:16" ht="15.75" x14ac:dyDescent="0.25">
      <c r="A7" s="78" t="s">
        <v>3619</v>
      </c>
      <c r="B7" s="72" t="str">
        <f>VLOOKUP($L$4,POSHUJAN,8)</f>
        <v>'112.587194</v>
      </c>
      <c r="C7" s="73"/>
      <c r="D7" s="74"/>
      <c r="E7" s="67"/>
      <c r="F7" s="137" t="s">
        <v>4</v>
      </c>
      <c r="G7" s="138"/>
      <c r="H7" s="142" t="str">
        <f>VLOOKUP($L$4,POSHUJAN,11)</f>
        <v>Bengawan Solo</v>
      </c>
      <c r="I7" s="143"/>
      <c r="J7" s="137" t="s">
        <v>3620</v>
      </c>
      <c r="K7" s="138"/>
      <c r="L7" s="142" t="str">
        <f>VLOOKUP($L$4,POSHUJAN,4)</f>
        <v>PSDA di Bojonegoro</v>
      </c>
      <c r="M7" s="143"/>
      <c r="N7" s="79"/>
      <c r="O7" s="2" t="s">
        <v>3621</v>
      </c>
      <c r="P7" s="2">
        <v>228</v>
      </c>
    </row>
    <row r="8" spans="1:16" ht="13.5" x14ac:dyDescent="0.25">
      <c r="A8" s="80" t="s">
        <v>16</v>
      </c>
      <c r="B8" s="81" t="str">
        <f>VLOOKUP($L$4,POSHUJAN,10)</f>
        <v>-</v>
      </c>
      <c r="C8" s="82"/>
      <c r="D8" s="83" t="s">
        <v>3622</v>
      </c>
      <c r="E8" s="67"/>
      <c r="F8" s="84"/>
      <c r="G8" s="85"/>
      <c r="H8" s="144"/>
      <c r="I8" s="145"/>
      <c r="J8" s="84"/>
      <c r="K8" s="85"/>
      <c r="L8" s="144"/>
      <c r="M8" s="145"/>
      <c r="N8" s="61"/>
    </row>
    <row r="9" spans="1:16" ht="13.5" thickBot="1" x14ac:dyDescent="0.25">
      <c r="A9" s="3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61"/>
    </row>
    <row r="10" spans="1:16" x14ac:dyDescent="0.2">
      <c r="A10" s="146" t="s">
        <v>3623</v>
      </c>
      <c r="B10" s="86" t="s">
        <v>3624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7"/>
    </row>
    <row r="11" spans="1:16" ht="13.5" thickBot="1" x14ac:dyDescent="0.25">
      <c r="A11" s="147"/>
      <c r="B11" s="88" t="s">
        <v>3625</v>
      </c>
      <c r="C11" s="89" t="s">
        <v>3626</v>
      </c>
      <c r="D11" s="89" t="s">
        <v>3627</v>
      </c>
      <c r="E11" s="89" t="s">
        <v>3628</v>
      </c>
      <c r="F11" s="89" t="s">
        <v>3629</v>
      </c>
      <c r="G11" s="89" t="s">
        <v>3630</v>
      </c>
      <c r="H11" s="89" t="s">
        <v>3631</v>
      </c>
      <c r="I11" s="89" t="s">
        <v>3632</v>
      </c>
      <c r="J11" s="89" t="s">
        <v>3633</v>
      </c>
      <c r="K11" s="89" t="s">
        <v>3634</v>
      </c>
      <c r="L11" s="89" t="s">
        <v>3635</v>
      </c>
      <c r="M11" s="90" t="s">
        <v>3636</v>
      </c>
    </row>
    <row r="12" spans="1:16" ht="13.5" thickTop="1" x14ac:dyDescent="0.2">
      <c r="A12" s="91">
        <v>1</v>
      </c>
      <c r="B12" s="92">
        <f>VLOOKUP($L$4,jan,2,FALSE)</f>
        <v>1.5</v>
      </c>
      <c r="C12" s="92">
        <f>VLOOKUP($L$4,peb,2,FALSE)</f>
        <v>23</v>
      </c>
      <c r="D12" s="92">
        <f>VLOOKUP($L$4,mar,2,FALSE)</f>
        <v>44</v>
      </c>
      <c r="E12" s="92">
        <f>VLOOKUP($L$4,apr,2,FALSE)</f>
        <v>43</v>
      </c>
      <c r="F12" s="92">
        <f>VLOOKUP($L$4,mei,2,FALSE)</f>
        <v>0</v>
      </c>
      <c r="G12" s="92">
        <f>VLOOKUP($L$4,jun,2,FALSE)</f>
        <v>17</v>
      </c>
      <c r="H12" s="92">
        <f>VLOOKUP($L$4,jul,2,FALSE)</f>
        <v>0</v>
      </c>
      <c r="I12" s="92">
        <f>VLOOKUP($L$4,ags,2,FALSE)</f>
        <v>0</v>
      </c>
      <c r="J12" s="92">
        <f>VLOOKUP($L$4,sep,2,FALSE)</f>
        <v>0</v>
      </c>
      <c r="K12" s="92">
        <f>VLOOKUP($L$4,okt,2,FALSE)</f>
        <v>0</v>
      </c>
      <c r="L12" s="92">
        <f>VLOOKUP($L$4,nop,2,FALSE)</f>
        <v>0</v>
      </c>
      <c r="M12" s="93">
        <f>VLOOKUP($L$4,des,2,FALSE)</f>
        <v>37</v>
      </c>
      <c r="N12" s="94"/>
      <c r="O12" s="2"/>
    </row>
    <row r="13" spans="1:16" x14ac:dyDescent="0.2">
      <c r="A13" s="95">
        <v>2</v>
      </c>
      <c r="B13" s="96">
        <f>VLOOKUP($L$4,jan,3,FALSE)</f>
        <v>3.5</v>
      </c>
      <c r="C13" s="96">
        <f>VLOOKUP($L$4,peb,3,FALSE)</f>
        <v>6</v>
      </c>
      <c r="D13" s="96">
        <f>VLOOKUP($L$4,mar,3,FALSE)</f>
        <v>0</v>
      </c>
      <c r="E13" s="96">
        <f>VLOOKUP($L$4,apr,3,FALSE)</f>
        <v>9</v>
      </c>
      <c r="F13" s="96">
        <f>VLOOKUP($L$4,mei,3,FALSE)</f>
        <v>0</v>
      </c>
      <c r="G13" s="96">
        <f>VLOOKUP($L$4,jun,3,FALSE)</f>
        <v>0</v>
      </c>
      <c r="H13" s="96">
        <f>VLOOKUP($L$4,jul,3,FALSE)</f>
        <v>0</v>
      </c>
      <c r="I13" s="96">
        <f>VLOOKUP($L$4,ags,3,FALSE)</f>
        <v>0</v>
      </c>
      <c r="J13" s="96">
        <f>VLOOKUP($L$4,sep,3,FALSE)</f>
        <v>0</v>
      </c>
      <c r="K13" s="96">
        <f>VLOOKUP($L$4,okt,3,FALSE)</f>
        <v>8</v>
      </c>
      <c r="L13" s="96">
        <f>VLOOKUP($L$4,nop,3,FALSE)</f>
        <v>34</v>
      </c>
      <c r="M13" s="97">
        <f>VLOOKUP($L$4,des,3,FALSE)</f>
        <v>9</v>
      </c>
      <c r="N13" s="94"/>
      <c r="O13" s="2"/>
    </row>
    <row r="14" spans="1:16" x14ac:dyDescent="0.2">
      <c r="A14" s="95">
        <v>3</v>
      </c>
      <c r="B14" s="96">
        <f>VLOOKUP($L$4,jan,4,FALSE)</f>
        <v>2.6</v>
      </c>
      <c r="C14" s="96">
        <f>VLOOKUP($L$4,peb,4,FALSE)</f>
        <v>37</v>
      </c>
      <c r="D14" s="96">
        <f>VLOOKUP($L$4,mar,4,FALSE)</f>
        <v>12</v>
      </c>
      <c r="E14" s="96">
        <f>VLOOKUP($L$4,apr,4,FALSE)</f>
        <v>57</v>
      </c>
      <c r="F14" s="96">
        <f>VLOOKUP($L$4,mei,4,FALSE)</f>
        <v>0</v>
      </c>
      <c r="G14" s="96">
        <f>VLOOKUP($L$4,jun,4,FALSE)</f>
        <v>0</v>
      </c>
      <c r="H14" s="96">
        <f>VLOOKUP($L$4,jul,4,FALSE)</f>
        <v>0</v>
      </c>
      <c r="I14" s="96">
        <f>VLOOKUP($L$4,ags,4,FALSE)</f>
        <v>0</v>
      </c>
      <c r="J14" s="96">
        <f>VLOOKUP($L$4,sep,4,FALSE)</f>
        <v>0</v>
      </c>
      <c r="K14" s="96">
        <f>VLOOKUP($L$4,okt,4,FALSE)</f>
        <v>47</v>
      </c>
      <c r="L14" s="96">
        <f>VLOOKUP($L$4,nop,4,FALSE)</f>
        <v>45</v>
      </c>
      <c r="M14" s="97">
        <f>VLOOKUP($L$4,des,4,FALSE)</f>
        <v>0</v>
      </c>
      <c r="N14" s="94"/>
      <c r="O14" s="2"/>
    </row>
    <row r="15" spans="1:16" x14ac:dyDescent="0.2">
      <c r="A15" s="95">
        <v>4</v>
      </c>
      <c r="B15" s="96">
        <f>VLOOKUP($L$4,jan,5,FALSE)</f>
        <v>2.2999999999999998</v>
      </c>
      <c r="C15" s="96">
        <f>VLOOKUP($L$4,peb,5,FALSE)</f>
        <v>5</v>
      </c>
      <c r="D15" s="96">
        <f>VLOOKUP($L$4,mar,5,FALSE)</f>
        <v>0</v>
      </c>
      <c r="E15" s="96">
        <f>VLOOKUP($L$4,apr,5,FALSE)</f>
        <v>22</v>
      </c>
      <c r="F15" s="96">
        <f>VLOOKUP($L$4,mei,5,FALSE)</f>
        <v>0</v>
      </c>
      <c r="G15" s="96">
        <f>VLOOKUP($L$4,jun,5,FALSE)</f>
        <v>32</v>
      </c>
      <c r="H15" s="96">
        <f>VLOOKUP($L$4,jul,5,FALSE)</f>
        <v>9</v>
      </c>
      <c r="I15" s="96">
        <f>VLOOKUP($L$4,ags,5,FALSE)</f>
        <v>0</v>
      </c>
      <c r="J15" s="96">
        <f>VLOOKUP($L$4,sep,5,FALSE)</f>
        <v>0</v>
      </c>
      <c r="K15" s="96">
        <f>VLOOKUP($L$4,okt,5,FALSE)</f>
        <v>56</v>
      </c>
      <c r="L15" s="96">
        <f>VLOOKUP($L$4,nop,5,FALSE)</f>
        <v>37</v>
      </c>
      <c r="M15" s="97">
        <f>VLOOKUP($L$4,des,5,FALSE)</f>
        <v>0</v>
      </c>
      <c r="N15" s="94"/>
      <c r="O15" s="2"/>
    </row>
    <row r="16" spans="1:16" x14ac:dyDescent="0.2">
      <c r="A16" s="95">
        <v>5</v>
      </c>
      <c r="B16" s="98">
        <f>VLOOKUP($L$4,jan,6,FALSE)</f>
        <v>1.5</v>
      </c>
      <c r="C16" s="98">
        <f>VLOOKUP($L$4,peb,6,FALSE)</f>
        <v>0</v>
      </c>
      <c r="D16" s="98">
        <f>VLOOKUP($L$4,mar,6,FALSE)</f>
        <v>39</v>
      </c>
      <c r="E16" s="98">
        <f>VLOOKUP($L$4,apr,6,FALSE)</f>
        <v>11</v>
      </c>
      <c r="F16" s="98">
        <f>VLOOKUP($L$4,mei,6,FALSE)</f>
        <v>5</v>
      </c>
      <c r="G16" s="98">
        <f>VLOOKUP($L$4,jun,6,FALSE)</f>
        <v>0</v>
      </c>
      <c r="H16" s="98">
        <f>VLOOKUP($L$4,jul,6,FALSE)</f>
        <v>26</v>
      </c>
      <c r="I16" s="98">
        <f>VLOOKUP($L$4,ags,6,FALSE)</f>
        <v>0</v>
      </c>
      <c r="J16" s="98">
        <f>VLOOKUP($L$4,sep,6,FALSE)</f>
        <v>0</v>
      </c>
      <c r="K16" s="98">
        <f>VLOOKUP($L$4,okt,6,FALSE)</f>
        <v>23</v>
      </c>
      <c r="L16" s="98">
        <f>VLOOKUP($L$4,nop,6,FALSE)</f>
        <v>14</v>
      </c>
      <c r="M16" s="99">
        <f>VLOOKUP($L$4,des,6,FALSE)</f>
        <v>0</v>
      </c>
      <c r="N16" s="94"/>
      <c r="O16" s="2"/>
    </row>
    <row r="17" spans="1:15" x14ac:dyDescent="0.2">
      <c r="A17" s="100">
        <v>6</v>
      </c>
      <c r="B17" s="96">
        <f>VLOOKUP($L$4,jan,7,FALSE)</f>
        <v>6.3</v>
      </c>
      <c r="C17" s="96">
        <f>VLOOKUP($L$4,peb,7,FALSE)</f>
        <v>0</v>
      </c>
      <c r="D17" s="96">
        <f>VLOOKUP($L$4,mar,7,FALSE)</f>
        <v>0</v>
      </c>
      <c r="E17" s="96">
        <f>VLOOKUP($L$4,apr,7,FALSE)</f>
        <v>0</v>
      </c>
      <c r="F17" s="96">
        <f>VLOOKUP($L$4,mei,7,FALSE)</f>
        <v>0</v>
      </c>
      <c r="G17" s="96">
        <f>VLOOKUP($L$4,jun,7,FALSE)</f>
        <v>0</v>
      </c>
      <c r="H17" s="96">
        <f>VLOOKUP($L$4,jul,7,FALSE)</f>
        <v>37</v>
      </c>
      <c r="I17" s="96">
        <f>VLOOKUP($L$4,ags,7,FALSE)</f>
        <v>0</v>
      </c>
      <c r="J17" s="96">
        <f>VLOOKUP($L$4,sep,7,FALSE)</f>
        <v>0</v>
      </c>
      <c r="K17" s="96">
        <f>VLOOKUP($L$4,okt,7,FALSE)</f>
        <v>21</v>
      </c>
      <c r="L17" s="96">
        <f>VLOOKUP($L$4,nop,7,FALSE)</f>
        <v>0</v>
      </c>
      <c r="M17" s="97">
        <f>VLOOKUP($L$4,des,7,FALSE)</f>
        <v>59</v>
      </c>
      <c r="N17" s="94"/>
      <c r="O17" s="2"/>
    </row>
    <row r="18" spans="1:15" x14ac:dyDescent="0.2">
      <c r="A18" s="95">
        <v>7</v>
      </c>
      <c r="B18" s="96">
        <f>VLOOKUP($L$4,jan,8,FALSE)</f>
        <v>6.5</v>
      </c>
      <c r="C18" s="96">
        <f>VLOOKUP($L$4,peb,8,FALSE)</f>
        <v>0</v>
      </c>
      <c r="D18" s="96">
        <f>VLOOKUP($L$4,mar,8,FALSE)</f>
        <v>15</v>
      </c>
      <c r="E18" s="96">
        <f>VLOOKUP($L$4,apr,8,FALSE)</f>
        <v>57</v>
      </c>
      <c r="F18" s="96">
        <f>VLOOKUP($L$4,mei,8,FALSE)</f>
        <v>15</v>
      </c>
      <c r="G18" s="96">
        <f>VLOOKUP($L$4,jun,8,FALSE)</f>
        <v>16</v>
      </c>
      <c r="H18" s="96">
        <f>VLOOKUP($L$4,jul,8,FALSE)</f>
        <v>5</v>
      </c>
      <c r="I18" s="96">
        <f>VLOOKUP($L$4,ags,8,FALSE)</f>
        <v>0</v>
      </c>
      <c r="J18" s="96">
        <f>VLOOKUP($L$4,sep,8,FALSE)</f>
        <v>13</v>
      </c>
      <c r="K18" s="96">
        <f>VLOOKUP($L$4,okt,8,FALSE)</f>
        <v>29</v>
      </c>
      <c r="L18" s="96">
        <f>VLOOKUP($L$4,nop,8,FALSE)</f>
        <v>0</v>
      </c>
      <c r="M18" s="97">
        <f>VLOOKUP($L$4,des,8,FALSE)</f>
        <v>13</v>
      </c>
      <c r="N18" s="94"/>
      <c r="O18" s="2"/>
    </row>
    <row r="19" spans="1:15" x14ac:dyDescent="0.2">
      <c r="A19" s="95">
        <v>8</v>
      </c>
      <c r="B19" s="96">
        <f>VLOOKUP($L$4,jan,9,FALSE)</f>
        <v>18</v>
      </c>
      <c r="C19" s="96">
        <f>VLOOKUP($L$4,peb,9,FALSE)</f>
        <v>12</v>
      </c>
      <c r="D19" s="96">
        <f>VLOOKUP($L$4,mar,9,FALSE)</f>
        <v>0</v>
      </c>
      <c r="E19" s="96">
        <f>VLOOKUP($L$4,apr,9,FALSE)</f>
        <v>0</v>
      </c>
      <c r="F19" s="96">
        <f>VLOOKUP($L$4,mei,9,FALSE)</f>
        <v>16</v>
      </c>
      <c r="G19" s="96">
        <f>VLOOKUP($L$4,jun,9,FALSE)</f>
        <v>0</v>
      </c>
      <c r="H19" s="96">
        <f>VLOOKUP($L$4,jul,9,FALSE)</f>
        <v>0</v>
      </c>
      <c r="I19" s="96">
        <f>VLOOKUP($L$4,ags,9,FALSE)</f>
        <v>0</v>
      </c>
      <c r="J19" s="96">
        <f>VLOOKUP($L$4,sep,9,FALSE)</f>
        <v>5</v>
      </c>
      <c r="K19" s="96">
        <f>VLOOKUP($L$4,okt,9,FALSE)</f>
        <v>3</v>
      </c>
      <c r="L19" s="96">
        <f>VLOOKUP($L$4,nop,9,FALSE)</f>
        <v>25</v>
      </c>
      <c r="M19" s="97">
        <f>VLOOKUP($L$4,des,9,FALSE)</f>
        <v>0</v>
      </c>
      <c r="N19" s="94"/>
      <c r="O19" s="2"/>
    </row>
    <row r="20" spans="1:15" x14ac:dyDescent="0.2">
      <c r="A20" s="95">
        <v>9</v>
      </c>
      <c r="B20" s="96">
        <f>VLOOKUP($L$4,jan,10,FALSE)</f>
        <v>1</v>
      </c>
      <c r="C20" s="96">
        <f>VLOOKUP($L$4,peb,10,FALSE)</f>
        <v>47</v>
      </c>
      <c r="D20" s="96">
        <f>VLOOKUP($L$4,mar,10,FALSE)</f>
        <v>39</v>
      </c>
      <c r="E20" s="96">
        <f>VLOOKUP($L$4,apr,10,FALSE)</f>
        <v>19</v>
      </c>
      <c r="F20" s="96">
        <f>VLOOKUP($L$4,mei,10,FALSE)</f>
        <v>49</v>
      </c>
      <c r="G20" s="96">
        <f>VLOOKUP($L$4,jun,10,FALSE)</f>
        <v>0</v>
      </c>
      <c r="H20" s="96">
        <f>VLOOKUP($L$4,jul,10,FALSE)</f>
        <v>0</v>
      </c>
      <c r="I20" s="96">
        <f>VLOOKUP($L$4,ags,10,FALSE)</f>
        <v>0</v>
      </c>
      <c r="J20" s="96">
        <f>VLOOKUP($L$4,sep,10,FALSE)</f>
        <v>0</v>
      </c>
      <c r="K20" s="96">
        <f>VLOOKUP($L$4,okt,10,FALSE)</f>
        <v>7</v>
      </c>
      <c r="L20" s="96">
        <f>VLOOKUP($L$4,nop,10,FALSE)</f>
        <v>46</v>
      </c>
      <c r="M20" s="97">
        <f>VLOOKUP($L$4,des,10,FALSE)</f>
        <v>0</v>
      </c>
      <c r="N20" s="94"/>
      <c r="O20" s="2"/>
    </row>
    <row r="21" spans="1:15" x14ac:dyDescent="0.2">
      <c r="A21" s="95">
        <v>10</v>
      </c>
      <c r="B21" s="98">
        <f>VLOOKUP($L$4,jan,11,FALSE)</f>
        <v>14</v>
      </c>
      <c r="C21" s="98">
        <f>VLOOKUP($L$4,peb,11,FALSE)</f>
        <v>59</v>
      </c>
      <c r="D21" s="98">
        <f>VLOOKUP($L$4,mar,11,FALSE)</f>
        <v>23</v>
      </c>
      <c r="E21" s="98">
        <f>VLOOKUP($L$4,apr,11,FALSE)</f>
        <v>8</v>
      </c>
      <c r="F21" s="98">
        <f>VLOOKUP($L$4,mei,11,FALSE)</f>
        <v>0</v>
      </c>
      <c r="G21" s="98">
        <f>VLOOKUP($L$4,jun,11,FALSE)</f>
        <v>0</v>
      </c>
      <c r="H21" s="98">
        <f>VLOOKUP($L$4,jul,11,FALSE)</f>
        <v>0</v>
      </c>
      <c r="I21" s="98">
        <f>VLOOKUP($L$4,ags,11,FALSE)</f>
        <v>0</v>
      </c>
      <c r="J21" s="98">
        <f>VLOOKUP($L$4,sep,11,FALSE)</f>
        <v>0</v>
      </c>
      <c r="K21" s="98">
        <f>VLOOKUP($L$4,okt,11,FALSE)</f>
        <v>21</v>
      </c>
      <c r="L21" s="98">
        <f>VLOOKUP($L$4,nop,11,FALSE)</f>
        <v>9</v>
      </c>
      <c r="M21" s="99">
        <f>VLOOKUP($L$4,des,11,FALSE)</f>
        <v>25</v>
      </c>
      <c r="N21" s="94"/>
      <c r="O21" s="2"/>
    </row>
    <row r="22" spans="1:15" x14ac:dyDescent="0.2">
      <c r="A22" s="100">
        <v>11</v>
      </c>
      <c r="B22" s="96">
        <f>VLOOKUP($L$4,jan,12,FALSE)</f>
        <v>12</v>
      </c>
      <c r="C22" s="96">
        <f>VLOOKUP($L$4,peb,12,FALSE)</f>
        <v>23</v>
      </c>
      <c r="D22" s="96">
        <f>VLOOKUP($L$4,mar,12,FALSE)</f>
        <v>54</v>
      </c>
      <c r="E22" s="96">
        <f>VLOOKUP($L$4,apr,12,FALSE)</f>
        <v>0</v>
      </c>
      <c r="F22" s="96">
        <f>VLOOKUP($L$4,mei,12,FALSE)</f>
        <v>26</v>
      </c>
      <c r="G22" s="96">
        <f>VLOOKUP($L$4,jun,12,FALSE)</f>
        <v>0</v>
      </c>
      <c r="H22" s="96">
        <f>VLOOKUP($L$4,jul,12,FALSE)</f>
        <v>0</v>
      </c>
      <c r="I22" s="96">
        <f>VLOOKUP($L$4,ags,12,FALSE)</f>
        <v>0</v>
      </c>
      <c r="J22" s="96">
        <f>VLOOKUP($L$4,sep,12,FALSE)</f>
        <v>0</v>
      </c>
      <c r="K22" s="96">
        <f>VLOOKUP($L$4,okt,12,FALSE)</f>
        <v>0</v>
      </c>
      <c r="L22" s="96">
        <f>VLOOKUP($L$4,nop,12,FALSE)</f>
        <v>23</v>
      </c>
      <c r="M22" s="97">
        <f>VLOOKUP($L$4,des,12,FALSE)</f>
        <v>0</v>
      </c>
      <c r="N22" s="94"/>
      <c r="O22" s="2"/>
    </row>
    <row r="23" spans="1:15" x14ac:dyDescent="0.2">
      <c r="A23" s="95">
        <v>12</v>
      </c>
      <c r="B23" s="96">
        <f>VLOOKUP($L$4,jan,13,FALSE)</f>
        <v>32</v>
      </c>
      <c r="C23" s="96">
        <f>VLOOKUP($L$4,peb,13,FALSE)</f>
        <v>8</v>
      </c>
      <c r="D23" s="96">
        <f>VLOOKUP($L$4,mar,13,FALSE)</f>
        <v>0</v>
      </c>
      <c r="E23" s="96">
        <f>VLOOKUP($L$4,apr,13,FALSE)</f>
        <v>29</v>
      </c>
      <c r="F23" s="96">
        <f>VLOOKUP($L$4,mei,13,FALSE)</f>
        <v>0</v>
      </c>
      <c r="G23" s="96">
        <f>VLOOKUP($L$4,jun,13,FALSE)</f>
        <v>9</v>
      </c>
      <c r="H23" s="96">
        <f>VLOOKUP($L$4,jul,13,FALSE)</f>
        <v>0</v>
      </c>
      <c r="I23" s="96">
        <f>VLOOKUP($L$4,ags,13,FALSE)</f>
        <v>0</v>
      </c>
      <c r="J23" s="96">
        <f>VLOOKUP($L$4,sep,13,FALSE)</f>
        <v>0</v>
      </c>
      <c r="K23" s="96">
        <f>VLOOKUP($L$4,okt,13,FALSE)</f>
        <v>3</v>
      </c>
      <c r="L23" s="96">
        <f>VLOOKUP($L$4,nop,13,FALSE)</f>
        <v>49</v>
      </c>
      <c r="M23" s="97">
        <f>VLOOKUP($L$4,des,13,FALSE)</f>
        <v>0</v>
      </c>
      <c r="N23" s="94"/>
      <c r="O23" s="2"/>
    </row>
    <row r="24" spans="1:15" x14ac:dyDescent="0.2">
      <c r="A24" s="95">
        <v>13</v>
      </c>
      <c r="B24" s="96">
        <f>VLOOKUP($L$4,jan,14,FALSE)</f>
        <v>29</v>
      </c>
      <c r="C24" s="96">
        <f>VLOOKUP($L$4,peb,14,FALSE)</f>
        <v>23</v>
      </c>
      <c r="D24" s="96">
        <f>VLOOKUP($L$4,mar,14,FALSE)</f>
        <v>19</v>
      </c>
      <c r="E24" s="96">
        <f>VLOOKUP($L$4,apr,14,FALSE)</f>
        <v>0</v>
      </c>
      <c r="F24" s="96">
        <f>VLOOKUP($L$4,mei,14,FALSE)</f>
        <v>25</v>
      </c>
      <c r="G24" s="96">
        <f>VLOOKUP($L$4,jun,14,FALSE)</f>
        <v>68</v>
      </c>
      <c r="H24" s="96">
        <f>VLOOKUP($L$4,jul,14,FALSE)</f>
        <v>0</v>
      </c>
      <c r="I24" s="96">
        <f>VLOOKUP($L$4,ags,14,FALSE)</f>
        <v>0</v>
      </c>
      <c r="J24" s="96">
        <f>VLOOKUP($L$4,sep,14,FALSE)</f>
        <v>0</v>
      </c>
      <c r="K24" s="96">
        <f>VLOOKUP($L$4,okt,14,FALSE)</f>
        <v>0</v>
      </c>
      <c r="L24" s="96">
        <f>VLOOKUP($L$4,nop,14,FALSE)</f>
        <v>0</v>
      </c>
      <c r="M24" s="97">
        <f>VLOOKUP($L$4,des,14,FALSE)</f>
        <v>16</v>
      </c>
      <c r="N24" s="94"/>
      <c r="O24" s="2"/>
    </row>
    <row r="25" spans="1:15" x14ac:dyDescent="0.2">
      <c r="A25" s="95">
        <v>14</v>
      </c>
      <c r="B25" s="96">
        <f>VLOOKUP($L$4,jan,15,FALSE)</f>
        <v>0</v>
      </c>
      <c r="C25" s="96">
        <f>VLOOKUP($L$4,peb,15,FALSE)</f>
        <v>17</v>
      </c>
      <c r="D25" s="96">
        <f>VLOOKUP($L$4,mar,15,FALSE)</f>
        <v>59</v>
      </c>
      <c r="E25" s="96">
        <f>VLOOKUP($L$4,apr,15,FALSE)</f>
        <v>0</v>
      </c>
      <c r="F25" s="96">
        <f>VLOOKUP($L$4,mei,15,FALSE)</f>
        <v>0</v>
      </c>
      <c r="G25" s="96">
        <f>VLOOKUP($L$4,jun,15,FALSE)</f>
        <v>15</v>
      </c>
      <c r="H25" s="96">
        <f>VLOOKUP($L$4,jul,15,FALSE)</f>
        <v>7</v>
      </c>
      <c r="I25" s="96">
        <f>VLOOKUP($L$4,ags,15,FALSE)</f>
        <v>5</v>
      </c>
      <c r="J25" s="96">
        <f>VLOOKUP($L$4,sep,15,FALSE)</f>
        <v>0</v>
      </c>
      <c r="K25" s="96">
        <f>VLOOKUP($L$4,okt,15,FALSE)</f>
        <v>19</v>
      </c>
      <c r="L25" s="96">
        <f>VLOOKUP($L$4,nop,15,FALSE)</f>
        <v>5</v>
      </c>
      <c r="M25" s="97">
        <f>VLOOKUP($L$4,des,15,FALSE)</f>
        <v>0</v>
      </c>
      <c r="N25" s="94"/>
      <c r="O25" s="2"/>
    </row>
    <row r="26" spans="1:15" x14ac:dyDescent="0.2">
      <c r="A26" s="95">
        <v>15</v>
      </c>
      <c r="B26" s="98">
        <f>VLOOKUP($L$4,jan,16,FALSE)</f>
        <v>0</v>
      </c>
      <c r="C26" s="98">
        <f>VLOOKUP($L$4,peb,16,FALSE)</f>
        <v>0</v>
      </c>
      <c r="D26" s="98">
        <f>VLOOKUP($L$4,mar,16,FALSE)</f>
        <v>0</v>
      </c>
      <c r="E26" s="98">
        <f>VLOOKUP($L$4,apr,16,FALSE)</f>
        <v>17</v>
      </c>
      <c r="F26" s="98">
        <f>VLOOKUP($L$4,mei,16,FALSE)</f>
        <v>4</v>
      </c>
      <c r="G26" s="98">
        <f>VLOOKUP($L$4,jun,16,FALSE)</f>
        <v>24</v>
      </c>
      <c r="H26" s="98">
        <f>VLOOKUP($L$4,jul,16,FALSE)</f>
        <v>19</v>
      </c>
      <c r="I26" s="98">
        <f>VLOOKUP($L$4,ags,16,FALSE)</f>
        <v>26</v>
      </c>
      <c r="J26" s="98">
        <f>VLOOKUP($L$4,sep,16,FALSE)</f>
        <v>0</v>
      </c>
      <c r="K26" s="98">
        <f>VLOOKUP($L$4,okt,16,FALSE)</f>
        <v>4</v>
      </c>
      <c r="L26" s="98">
        <f>VLOOKUP($L$4,nop,16,FALSE)</f>
        <v>29</v>
      </c>
      <c r="M26" s="99">
        <f>VLOOKUP($L$4,des,16,FALSE)</f>
        <v>0</v>
      </c>
      <c r="N26" s="94"/>
      <c r="O26" s="2"/>
    </row>
    <row r="27" spans="1:15" x14ac:dyDescent="0.2">
      <c r="A27" s="100">
        <v>16</v>
      </c>
      <c r="B27" s="96">
        <f>VLOOKUP($L$4,jan,17,FALSE)</f>
        <v>0</v>
      </c>
      <c r="C27" s="96">
        <f>VLOOKUP($L$4,peb,17,FALSE)</f>
        <v>0</v>
      </c>
      <c r="D27" s="96">
        <f>VLOOKUP($L$4,mar,17,FALSE)</f>
        <v>7</v>
      </c>
      <c r="E27" s="96">
        <f>VLOOKUP($L$4,apr,17,FALSE)</f>
        <v>0</v>
      </c>
      <c r="F27" s="96">
        <f>VLOOKUP($L$4,mei,17,FALSE)</f>
        <v>0</v>
      </c>
      <c r="G27" s="96">
        <f>VLOOKUP($L$4,jun,17,FALSE)</f>
        <v>47</v>
      </c>
      <c r="H27" s="96">
        <f>VLOOKUP($L$4,jul,17,FALSE)</f>
        <v>0</v>
      </c>
      <c r="I27" s="96">
        <f>VLOOKUP($L$4,ags,17,FALSE)</f>
        <v>3</v>
      </c>
      <c r="J27" s="96">
        <f>VLOOKUP($L$4,sep,17,FALSE)</f>
        <v>0</v>
      </c>
      <c r="K27" s="96">
        <f>VLOOKUP($L$4,okt,17,FALSE)</f>
        <v>5</v>
      </c>
      <c r="L27" s="96">
        <f>VLOOKUP($L$4,nop,17,FALSE)</f>
        <v>0</v>
      </c>
      <c r="M27" s="97">
        <f>VLOOKUP($L$4,des,17,FALSE)</f>
        <v>11</v>
      </c>
      <c r="N27" s="94"/>
      <c r="O27" s="2"/>
    </row>
    <row r="28" spans="1:15" x14ac:dyDescent="0.2">
      <c r="A28" s="95">
        <v>17</v>
      </c>
      <c r="B28" s="96">
        <f>VLOOKUP($L$4,jan,18,FALSE)</f>
        <v>39</v>
      </c>
      <c r="C28" s="96">
        <f>VLOOKUP($L$4,peb,18,FALSE)</f>
        <v>0</v>
      </c>
      <c r="D28" s="96">
        <f>VLOOKUP($L$4,mar,18,FALSE)</f>
        <v>0</v>
      </c>
      <c r="E28" s="96">
        <f>VLOOKUP($L$4,apr,18,FALSE)</f>
        <v>16</v>
      </c>
      <c r="F28" s="96">
        <f>VLOOKUP($L$4,mei,18,FALSE)</f>
        <v>12</v>
      </c>
      <c r="G28" s="96">
        <f>VLOOKUP($L$4,jun,18,FALSE)</f>
        <v>17</v>
      </c>
      <c r="H28" s="96">
        <f>VLOOKUP($L$4,jul,18,FALSE)</f>
        <v>0</v>
      </c>
      <c r="I28" s="96">
        <f>VLOOKUP($L$4,ags,18,FALSE)</f>
        <v>0</v>
      </c>
      <c r="J28" s="96">
        <f>VLOOKUP($L$4,sep,18,FALSE)</f>
        <v>0</v>
      </c>
      <c r="K28" s="96">
        <f>VLOOKUP($L$4,okt,18,FALSE)</f>
        <v>0</v>
      </c>
      <c r="L28" s="96">
        <f>VLOOKUP($L$4,nop,18,FALSE)</f>
        <v>0</v>
      </c>
      <c r="M28" s="97">
        <f>VLOOKUP($L$4,des,18,FALSE)</f>
        <v>36</v>
      </c>
      <c r="N28" s="94"/>
      <c r="O28" s="2"/>
    </row>
    <row r="29" spans="1:15" x14ac:dyDescent="0.2">
      <c r="A29" s="95">
        <v>18</v>
      </c>
      <c r="B29" s="96">
        <f>VLOOKUP($L$4,jan,19,FALSE)</f>
        <v>4</v>
      </c>
      <c r="C29" s="96">
        <f>VLOOKUP($L$4,peb,19,FALSE)</f>
        <v>0</v>
      </c>
      <c r="D29" s="96">
        <f>VLOOKUP($L$4,mar,19,FALSE)</f>
        <v>0</v>
      </c>
      <c r="E29" s="96">
        <f>VLOOKUP($L$4,apr,19,FALSE)</f>
        <v>0</v>
      </c>
      <c r="F29" s="96">
        <f>VLOOKUP($L$4,mei,19,FALSE)</f>
        <v>0</v>
      </c>
      <c r="G29" s="96">
        <f>VLOOKUP($L$4,jun,19,FALSE)</f>
        <v>19</v>
      </c>
      <c r="H29" s="96">
        <f>VLOOKUP($L$4,jul,19,FALSE)</f>
        <v>0</v>
      </c>
      <c r="I29" s="96">
        <f>VLOOKUP($L$4,ags,19,FALSE)</f>
        <v>0</v>
      </c>
      <c r="J29" s="96">
        <f>VLOOKUP($L$4,sep,19,FALSE)</f>
        <v>0</v>
      </c>
      <c r="K29" s="96">
        <f>VLOOKUP($L$4,okt,19,FALSE)</f>
        <v>5</v>
      </c>
      <c r="L29" s="96">
        <f>VLOOKUP($L$4,nop,19,FALSE)</f>
        <v>12</v>
      </c>
      <c r="M29" s="97">
        <f>VLOOKUP($L$4,des,19,FALSE)</f>
        <v>0</v>
      </c>
      <c r="N29" s="94"/>
      <c r="O29" s="2"/>
    </row>
    <row r="30" spans="1:15" x14ac:dyDescent="0.2">
      <c r="A30" s="95">
        <v>19</v>
      </c>
      <c r="B30" s="96">
        <f>VLOOKUP($L$4,jan,20,FALSE)</f>
        <v>16</v>
      </c>
      <c r="C30" s="96">
        <f>VLOOKUP($L$4,peb,20,FALSE)</f>
        <v>19</v>
      </c>
      <c r="D30" s="96">
        <f>VLOOKUP($L$4,mar,20,FALSE)</f>
        <v>6</v>
      </c>
      <c r="E30" s="96">
        <f>VLOOKUP($L$4,apr,20,FALSE)</f>
        <v>0</v>
      </c>
      <c r="F30" s="96">
        <f>VLOOKUP($L$4,mei,20,FALSE)</f>
        <v>8</v>
      </c>
      <c r="G30" s="96">
        <f>VLOOKUP($L$4,jun,20,FALSE)</f>
        <v>0</v>
      </c>
      <c r="H30" s="96">
        <f>VLOOKUP($L$4,jul,20,FALSE)</f>
        <v>0</v>
      </c>
      <c r="I30" s="96">
        <f>VLOOKUP($L$4,ags,20,FALSE)</f>
        <v>0</v>
      </c>
      <c r="J30" s="96">
        <f>VLOOKUP($L$4,sep,20,FALSE)</f>
        <v>0</v>
      </c>
      <c r="K30" s="96">
        <f>VLOOKUP($L$4,okt,20,FALSE)</f>
        <v>49</v>
      </c>
      <c r="L30" s="96">
        <f>VLOOKUP($L$4,nop,20,FALSE)</f>
        <v>38</v>
      </c>
      <c r="M30" s="97">
        <f>VLOOKUP($L$4,des,20,FALSE)</f>
        <v>37</v>
      </c>
      <c r="N30" s="94"/>
      <c r="O30" s="2"/>
    </row>
    <row r="31" spans="1:15" x14ac:dyDescent="0.2">
      <c r="A31" s="95">
        <v>20</v>
      </c>
      <c r="B31" s="98">
        <f>VLOOKUP($L$4,jan,21,FALSE)</f>
        <v>44</v>
      </c>
      <c r="C31" s="98">
        <f>VLOOKUP($L$4,peb,21,FALSE)</f>
        <v>0</v>
      </c>
      <c r="D31" s="98">
        <f>VLOOKUP($L$4,mar,21,FALSE)</f>
        <v>30</v>
      </c>
      <c r="E31" s="98">
        <f>VLOOKUP($L$4,apr,21,FALSE)</f>
        <v>76</v>
      </c>
      <c r="F31" s="98">
        <f>VLOOKUP($L$4,mei,21,FALSE)</f>
        <v>23</v>
      </c>
      <c r="G31" s="98">
        <f>VLOOKUP($L$4,jun,21,FALSE)</f>
        <v>0</v>
      </c>
      <c r="H31" s="98">
        <f>VLOOKUP($L$4,jul,21,FALSE)</f>
        <v>0</v>
      </c>
      <c r="I31" s="98">
        <f>VLOOKUP($L$4,ags,21,FALSE)</f>
        <v>0</v>
      </c>
      <c r="J31" s="98">
        <f>VLOOKUP($L$4,sep,21,FALSE)</f>
        <v>0</v>
      </c>
      <c r="K31" s="98">
        <f>VLOOKUP($L$4,okt,21,FALSE)</f>
        <v>17</v>
      </c>
      <c r="L31" s="98">
        <f>VLOOKUP($L$4,nop,21,FALSE)</f>
        <v>0</v>
      </c>
      <c r="M31" s="99">
        <f>VLOOKUP($L$4,des,21,FALSE)</f>
        <v>28</v>
      </c>
      <c r="N31" s="94"/>
      <c r="O31" s="2"/>
    </row>
    <row r="32" spans="1:15" x14ac:dyDescent="0.2">
      <c r="A32" s="100">
        <v>21</v>
      </c>
      <c r="B32" s="96">
        <f>VLOOKUP($L$4,jan,22,FALSE)</f>
        <v>68</v>
      </c>
      <c r="C32" s="96">
        <f>VLOOKUP($L$4,peb,22,FALSE)</f>
        <v>16</v>
      </c>
      <c r="D32" s="96">
        <f>VLOOKUP($L$4,mar,22,FALSE)</f>
        <v>67</v>
      </c>
      <c r="E32" s="96">
        <f>VLOOKUP($L$4,apr,22,FALSE)</f>
        <v>49</v>
      </c>
      <c r="F32" s="96">
        <f>VLOOKUP($L$4,mei,22,FALSE)</f>
        <v>27</v>
      </c>
      <c r="G32" s="96">
        <f>VLOOKUP($L$4,jun,22,FALSE)</f>
        <v>0</v>
      </c>
      <c r="H32" s="96">
        <f>VLOOKUP($L$4,jul,22,FALSE)</f>
        <v>0</v>
      </c>
      <c r="I32" s="96">
        <f>VLOOKUP($L$4,ags,22,FALSE)</f>
        <v>0</v>
      </c>
      <c r="J32" s="96">
        <f>VLOOKUP($L$4,sep,22,FALSE)</f>
        <v>2</v>
      </c>
      <c r="K32" s="96">
        <f>VLOOKUP($L$4,okt,22,FALSE)</f>
        <v>0</v>
      </c>
      <c r="L32" s="96">
        <f>VLOOKUP($L$4,nop,22,FALSE)</f>
        <v>25</v>
      </c>
      <c r="M32" s="97">
        <f>VLOOKUP($L$4,des,22,FALSE)</f>
        <v>39</v>
      </c>
      <c r="N32" s="94"/>
      <c r="O32" s="2"/>
    </row>
    <row r="33" spans="1:15" x14ac:dyDescent="0.2">
      <c r="A33" s="95">
        <v>22</v>
      </c>
      <c r="B33" s="96">
        <f>VLOOKUP($L$4,jan,23,FALSE)</f>
        <v>34</v>
      </c>
      <c r="C33" s="96">
        <f>VLOOKUP($L$4,peb,23,FALSE)</f>
        <v>0</v>
      </c>
      <c r="D33" s="96">
        <f>VLOOKUP($L$4,mar,23,FALSE)</f>
        <v>27</v>
      </c>
      <c r="E33" s="96">
        <f>VLOOKUP($L$4,apr,23,FALSE)</f>
        <v>23</v>
      </c>
      <c r="F33" s="96">
        <f>VLOOKUP($L$4,mei,23,FALSE)</f>
        <v>0</v>
      </c>
      <c r="G33" s="96">
        <f>VLOOKUP($L$4,jun,23,FALSE)</f>
        <v>0</v>
      </c>
      <c r="H33" s="96">
        <f>VLOOKUP($L$4,jul,23,FALSE)</f>
        <v>0</v>
      </c>
      <c r="I33" s="96">
        <f>VLOOKUP($L$4,ags,23,FALSE)</f>
        <v>0</v>
      </c>
      <c r="J33" s="96">
        <f>VLOOKUP($L$4,sep,23,FALSE)</f>
        <v>0</v>
      </c>
      <c r="K33" s="96">
        <f>VLOOKUP($L$4,okt,23,FALSE)</f>
        <v>25</v>
      </c>
      <c r="L33" s="96">
        <f>VLOOKUP($L$4,nop,23,FALSE)</f>
        <v>49</v>
      </c>
      <c r="M33" s="97">
        <f>VLOOKUP($L$4,des,23,FALSE)</f>
        <v>46</v>
      </c>
      <c r="N33" s="94"/>
      <c r="O33" s="2"/>
    </row>
    <row r="34" spans="1:15" x14ac:dyDescent="0.2">
      <c r="A34" s="95">
        <v>23</v>
      </c>
      <c r="B34" s="96">
        <f>VLOOKUP($L$4,jan,24,FALSE)</f>
        <v>7</v>
      </c>
      <c r="C34" s="96">
        <f>VLOOKUP($L$4,peb,24,FALSE)</f>
        <v>0</v>
      </c>
      <c r="D34" s="96">
        <f>VLOOKUP($L$4,mar,24,FALSE)</f>
        <v>23</v>
      </c>
      <c r="E34" s="96">
        <f>VLOOKUP($L$4,apr,24,FALSE)</f>
        <v>0</v>
      </c>
      <c r="F34" s="96">
        <f>VLOOKUP($L$4,mei,24,FALSE)</f>
        <v>4</v>
      </c>
      <c r="G34" s="96">
        <f>VLOOKUP($L$4,jun,24,FALSE)</f>
        <v>0</v>
      </c>
      <c r="H34" s="96">
        <f>VLOOKUP($L$4,jul,24,FALSE)</f>
        <v>0</v>
      </c>
      <c r="I34" s="96">
        <f>VLOOKUP($L$4,ags,24,FALSE)</f>
        <v>0</v>
      </c>
      <c r="J34" s="96">
        <f>VLOOKUP($L$4,sep,24,FALSE)</f>
        <v>3</v>
      </c>
      <c r="K34" s="96">
        <f>VLOOKUP($L$4,okt,24,FALSE)</f>
        <v>0</v>
      </c>
      <c r="L34" s="96">
        <f>VLOOKUP($L$4,nop,24,FALSE)</f>
        <v>0</v>
      </c>
      <c r="M34" s="97">
        <f>VLOOKUP($L$4,des,24,FALSE)</f>
        <v>39</v>
      </c>
      <c r="N34" s="94"/>
      <c r="O34" s="2"/>
    </row>
    <row r="35" spans="1:15" x14ac:dyDescent="0.2">
      <c r="A35" s="95">
        <v>24</v>
      </c>
      <c r="B35" s="96">
        <f>VLOOKUP($L$4,jan,25,FALSE)</f>
        <v>0</v>
      </c>
      <c r="C35" s="96">
        <f>VLOOKUP($L$4,peb,25,FALSE)</f>
        <v>7</v>
      </c>
      <c r="D35" s="96">
        <f>VLOOKUP($L$4,mar,25,FALSE)</f>
        <v>0</v>
      </c>
      <c r="E35" s="96">
        <f>VLOOKUP($L$4,apr,25,FALSE)</f>
        <v>0</v>
      </c>
      <c r="F35" s="96">
        <f>VLOOKUP($L$4,mei,25,FALSE)</f>
        <v>18</v>
      </c>
      <c r="G35" s="96">
        <f>VLOOKUP($L$4,jun,25,FALSE)</f>
        <v>0</v>
      </c>
      <c r="H35" s="96">
        <f>VLOOKUP($L$4,jul,25,FALSE)</f>
        <v>0</v>
      </c>
      <c r="I35" s="96">
        <f>VLOOKUP($L$4,ags,25,FALSE)</f>
        <v>0</v>
      </c>
      <c r="J35" s="96">
        <f>VLOOKUP($L$4,sep,25,FALSE)</f>
        <v>0</v>
      </c>
      <c r="K35" s="96">
        <f>VLOOKUP($L$4,okt,25,FALSE)</f>
        <v>57</v>
      </c>
      <c r="L35" s="96">
        <f>VLOOKUP($L$4,nop,25,FALSE)</f>
        <v>8</v>
      </c>
      <c r="M35" s="97">
        <f>VLOOKUP($L$4,des,25,FALSE)</f>
        <v>17</v>
      </c>
      <c r="N35" s="94"/>
      <c r="O35" s="2"/>
    </row>
    <row r="36" spans="1:15" x14ac:dyDescent="0.2">
      <c r="A36" s="95">
        <v>25</v>
      </c>
      <c r="B36" s="98">
        <f>VLOOKUP($L$4,jan,26,FALSE)</f>
        <v>0</v>
      </c>
      <c r="C36" s="98">
        <f>VLOOKUP($L$4,peb,26,FALSE)</f>
        <v>0</v>
      </c>
      <c r="D36" s="98">
        <f>VLOOKUP($L$4,mar,26,FALSE)</f>
        <v>0</v>
      </c>
      <c r="E36" s="98">
        <f>VLOOKUP($L$4,apr,26,FALSE)</f>
        <v>0</v>
      </c>
      <c r="F36" s="98">
        <f>VLOOKUP($L$4,mei,26,FALSE)</f>
        <v>48</v>
      </c>
      <c r="G36" s="98">
        <f>VLOOKUP($L$4,jun,26,FALSE)</f>
        <v>0</v>
      </c>
      <c r="H36" s="98">
        <f>VLOOKUP($L$4,jul,26,FALSE)</f>
        <v>0</v>
      </c>
      <c r="I36" s="98">
        <f>VLOOKUP($L$4,ags,26,FALSE)</f>
        <v>0</v>
      </c>
      <c r="J36" s="98">
        <f>VLOOKUP($L$4,sep,26,FALSE)</f>
        <v>0</v>
      </c>
      <c r="K36" s="98">
        <f>VLOOKUP($L$4,okt,26,FALSE)</f>
        <v>26</v>
      </c>
      <c r="L36" s="98">
        <f>VLOOKUP($L$4,nop,26,FALSE)</f>
        <v>73</v>
      </c>
      <c r="M36" s="99">
        <f>VLOOKUP($L$4,des,26,FALSE)</f>
        <v>6</v>
      </c>
      <c r="N36" s="94"/>
      <c r="O36" s="2"/>
    </row>
    <row r="37" spans="1:15" x14ac:dyDescent="0.2">
      <c r="A37" s="100">
        <v>26</v>
      </c>
      <c r="B37" s="96">
        <f>VLOOKUP($L$4,jan,27,FALSE)</f>
        <v>9</v>
      </c>
      <c r="C37" s="96">
        <f>VLOOKUP($L$4,peb,27,FALSE)</f>
        <v>6</v>
      </c>
      <c r="D37" s="96">
        <f>VLOOKUP($L$4,mar,27,FALSE)</f>
        <v>23</v>
      </c>
      <c r="E37" s="96">
        <f>VLOOKUP($L$4,apr,27,FALSE)</f>
        <v>6</v>
      </c>
      <c r="F37" s="96">
        <f>VLOOKUP($L$4,mei,27,FALSE)</f>
        <v>0</v>
      </c>
      <c r="G37" s="96">
        <f>VLOOKUP($L$4,jun,27,FALSE)</f>
        <v>9</v>
      </c>
      <c r="H37" s="96">
        <f>VLOOKUP($L$4,jul,27,FALSE)</f>
        <v>0</v>
      </c>
      <c r="I37" s="96">
        <f>VLOOKUP($L$4,ags,27,FALSE)</f>
        <v>0</v>
      </c>
      <c r="J37" s="96">
        <f>VLOOKUP($L$4,sep,27,FALSE)</f>
        <v>0</v>
      </c>
      <c r="K37" s="96">
        <f>VLOOKUP($L$4,okt,27,FALSE)</f>
        <v>14</v>
      </c>
      <c r="L37" s="96">
        <f>VLOOKUP($L$4,nop,27,FALSE)</f>
        <v>7</v>
      </c>
      <c r="M37" s="97">
        <f>VLOOKUP($L$4,des,27,FALSE)</f>
        <v>0</v>
      </c>
      <c r="N37" s="94"/>
      <c r="O37" s="2"/>
    </row>
    <row r="38" spans="1:15" x14ac:dyDescent="0.2">
      <c r="A38" s="95">
        <v>27</v>
      </c>
      <c r="B38" s="96">
        <f>VLOOKUP($L$4,jan,28,FALSE)</f>
        <v>0</v>
      </c>
      <c r="C38" s="96">
        <f>VLOOKUP($L$4,peb,28,FALSE)</f>
        <v>16</v>
      </c>
      <c r="D38" s="96">
        <f>VLOOKUP($L$4,mar,28,FALSE)</f>
        <v>9</v>
      </c>
      <c r="E38" s="96">
        <f>VLOOKUP($L$4,apr,28,FALSE)</f>
        <v>9</v>
      </c>
      <c r="F38" s="96">
        <f>VLOOKUP($L$4,mei,28,FALSE)</f>
        <v>51</v>
      </c>
      <c r="G38" s="96">
        <f>VLOOKUP($L$4,jun,28,FALSE)</f>
        <v>0</v>
      </c>
      <c r="H38" s="96">
        <f>VLOOKUP($L$4,jul,28,FALSE)</f>
        <v>0</v>
      </c>
      <c r="I38" s="96">
        <f>VLOOKUP($L$4,ags,28,FALSE)</f>
        <v>0</v>
      </c>
      <c r="J38" s="96">
        <f>VLOOKUP($L$4,sep,28,FALSE)</f>
        <v>0</v>
      </c>
      <c r="K38" s="96">
        <f>VLOOKUP($L$4,okt,28,FALSE)</f>
        <v>38</v>
      </c>
      <c r="L38" s="96">
        <f>VLOOKUP($L$4,nop,28,FALSE)</f>
        <v>13</v>
      </c>
      <c r="M38" s="97">
        <f>VLOOKUP($L$4,des,28,FALSE)</f>
        <v>16</v>
      </c>
      <c r="N38" s="94"/>
      <c r="O38" s="2"/>
    </row>
    <row r="39" spans="1:15" x14ac:dyDescent="0.2">
      <c r="A39" s="95">
        <v>28</v>
      </c>
      <c r="B39" s="96">
        <f>VLOOKUP($L$4,jan,29,FALSE)</f>
        <v>0</v>
      </c>
      <c r="C39" s="96">
        <f>VLOOKUP($L$4,peb,29,FALSE)</f>
        <v>0</v>
      </c>
      <c r="D39" s="96">
        <f>VLOOKUP($L$4,mar,29,FALSE)</f>
        <v>0</v>
      </c>
      <c r="E39" s="96">
        <f>VLOOKUP($L$4,apr,29,FALSE)</f>
        <v>0</v>
      </c>
      <c r="F39" s="96">
        <f>VLOOKUP($L$4,mei,29,FALSE)</f>
        <v>0</v>
      </c>
      <c r="G39" s="96">
        <f>VLOOKUP($L$4,jun,29,FALSE)</f>
        <v>0</v>
      </c>
      <c r="H39" s="96">
        <f>VLOOKUP($L$4,jul,29,FALSE)</f>
        <v>0</v>
      </c>
      <c r="I39" s="96">
        <f>VLOOKUP($L$4,ags,29,FALSE)</f>
        <v>0</v>
      </c>
      <c r="J39" s="96">
        <f>VLOOKUP($L$4,sep,29,FALSE)</f>
        <v>0</v>
      </c>
      <c r="K39" s="96">
        <f>VLOOKUP($L$4,okt,29,FALSE)</f>
        <v>0</v>
      </c>
      <c r="L39" s="96">
        <f>VLOOKUP($L$4,nop,29,FALSE)</f>
        <v>6</v>
      </c>
      <c r="M39" s="97">
        <f>VLOOKUP($L$4,des,29,FALSE)</f>
        <v>0</v>
      </c>
      <c r="N39" s="94"/>
      <c r="O39" s="2"/>
    </row>
    <row r="40" spans="1:15" x14ac:dyDescent="0.2">
      <c r="A40" s="95">
        <v>29</v>
      </c>
      <c r="B40" s="96">
        <f>VLOOKUP($L$4,jan,30,FALSE)</f>
        <v>21</v>
      </c>
      <c r="C40" s="96">
        <f>VLOOKUP($L$4,peb,30,FALSE)</f>
        <v>0</v>
      </c>
      <c r="D40" s="96">
        <f>VLOOKUP($L$4,mar,30,FALSE)</f>
        <v>18</v>
      </c>
      <c r="E40" s="96">
        <f>VLOOKUP($L$4,apr,30,FALSE)</f>
        <v>11</v>
      </c>
      <c r="F40" s="96">
        <f>VLOOKUP($L$4,mei,30,FALSE)</f>
        <v>0</v>
      </c>
      <c r="G40" s="96">
        <f>VLOOKUP($L$4,jun,30,FALSE)</f>
        <v>0</v>
      </c>
      <c r="H40" s="96">
        <f>VLOOKUP($L$4,jul,30,FALSE)</f>
        <v>0</v>
      </c>
      <c r="I40" s="96">
        <f>VLOOKUP($L$4,ags,30,FALSE)</f>
        <v>0</v>
      </c>
      <c r="J40" s="96">
        <f>VLOOKUP($L$4,sep,30,FALSE)</f>
        <v>0</v>
      </c>
      <c r="K40" s="96">
        <f>VLOOKUP($L$4,okt,30,FALSE)</f>
        <v>0</v>
      </c>
      <c r="L40" s="96">
        <f>VLOOKUP($L$4,nop,30,FALSE)</f>
        <v>0</v>
      </c>
      <c r="M40" s="97">
        <f>VLOOKUP($L$4,des,30,FALSE)</f>
        <v>32</v>
      </c>
      <c r="N40" s="94"/>
    </row>
    <row r="41" spans="1:15" x14ac:dyDescent="0.2">
      <c r="A41" s="95">
        <v>30</v>
      </c>
      <c r="B41" s="96">
        <f>VLOOKUP($L$4,jan,31,FALSE)</f>
        <v>17</v>
      </c>
      <c r="C41" s="101"/>
      <c r="D41" s="96">
        <f>VLOOKUP($L$4,mar,31,FALSE)</f>
        <v>49</v>
      </c>
      <c r="E41" s="96">
        <f>VLOOKUP($L$4,apr,31,FALSE)</f>
        <v>15</v>
      </c>
      <c r="F41" s="96">
        <f>VLOOKUP($L$4,mei,31,FALSE)</f>
        <v>6</v>
      </c>
      <c r="G41" s="96">
        <f>VLOOKUP($L$4,jun,31,FALSE)</f>
        <v>0</v>
      </c>
      <c r="H41" s="96">
        <f>VLOOKUP($L$4,jul,31,FALSE)</f>
        <v>0</v>
      </c>
      <c r="I41" s="96">
        <f>VLOOKUP($L$4,ags,31,FALSE)</f>
        <v>0</v>
      </c>
      <c r="J41" s="96">
        <f>VLOOKUP($L$4,sep,31,FALSE)</f>
        <v>21</v>
      </c>
      <c r="K41" s="96">
        <f>VLOOKUP($L$4,okt,31,FALSE)</f>
        <v>0</v>
      </c>
      <c r="L41" s="96">
        <f>VLOOKUP($L$4,nop,31,FALSE)</f>
        <v>43</v>
      </c>
      <c r="M41" s="97">
        <f>VLOOKUP($L$4,des,31,FALSE)</f>
        <v>0</v>
      </c>
      <c r="N41" s="94"/>
    </row>
    <row r="42" spans="1:15" ht="13.5" thickBot="1" x14ac:dyDescent="0.25">
      <c r="A42" s="95">
        <v>31</v>
      </c>
      <c r="B42" s="102">
        <f>VLOOKUP($L$4,jan,32,FALSE)</f>
        <v>56</v>
      </c>
      <c r="C42" s="103"/>
      <c r="D42" s="102">
        <f>VLOOKUP($L$4,mar,32,FALSE)</f>
        <v>21</v>
      </c>
      <c r="E42" s="104"/>
      <c r="F42" s="102">
        <f>VLOOKUP($L$4,mei,32,FALSE)</f>
        <v>0</v>
      </c>
      <c r="G42" s="104"/>
      <c r="H42" s="102">
        <f>VLOOKUP($L$4,jul,32,FALSE)</f>
        <v>0</v>
      </c>
      <c r="I42" s="102">
        <f>VLOOKUP($L$4,ags,32,FALSE)</f>
        <v>0</v>
      </c>
      <c r="J42" s="104"/>
      <c r="K42" s="102">
        <f>VLOOKUP($L$4,okt,32,FALSE)</f>
        <v>0</v>
      </c>
      <c r="L42" s="104"/>
      <c r="M42" s="105">
        <f>VLOOKUP($L$4,des,32,FALSE)</f>
        <v>43</v>
      </c>
      <c r="N42" s="94"/>
    </row>
    <row r="43" spans="1:15" ht="13.5" thickBot="1" x14ac:dyDescent="0.25">
      <c r="A43" s="106" t="s">
        <v>3637</v>
      </c>
      <c r="B43" s="107">
        <f>SUM(B12:B42)</f>
        <v>445.2</v>
      </c>
      <c r="C43" s="107">
        <f t="shared" ref="C43:M43" si="0">SUM(C12:C42)</f>
        <v>324</v>
      </c>
      <c r="D43" s="107">
        <f t="shared" si="0"/>
        <v>584</v>
      </c>
      <c r="E43" s="107">
        <f t="shared" si="0"/>
        <v>477</v>
      </c>
      <c r="F43" s="107">
        <f t="shared" si="0"/>
        <v>337</v>
      </c>
      <c r="G43" s="107">
        <f t="shared" si="0"/>
        <v>273</v>
      </c>
      <c r="H43" s="107">
        <f t="shared" si="0"/>
        <v>103</v>
      </c>
      <c r="I43" s="107">
        <f t="shared" si="0"/>
        <v>34</v>
      </c>
      <c r="J43" s="107">
        <f t="shared" si="0"/>
        <v>44</v>
      </c>
      <c r="K43" s="107">
        <f t="shared" si="0"/>
        <v>477</v>
      </c>
      <c r="L43" s="107">
        <f t="shared" si="0"/>
        <v>590</v>
      </c>
      <c r="M43" s="108">
        <f t="shared" si="0"/>
        <v>509</v>
      </c>
    </row>
    <row r="44" spans="1:15" x14ac:dyDescent="0.2">
      <c r="A44" s="109" t="s">
        <v>3638</v>
      </c>
      <c r="B44" s="110">
        <f>SUM(B12:B21)</f>
        <v>57.2</v>
      </c>
      <c r="C44" s="111">
        <f t="shared" ref="C44:M44" si="1">SUM(C12:C21)</f>
        <v>189</v>
      </c>
      <c r="D44" s="111">
        <f t="shared" si="1"/>
        <v>172</v>
      </c>
      <c r="E44" s="111">
        <f t="shared" si="1"/>
        <v>226</v>
      </c>
      <c r="F44" s="111">
        <f t="shared" si="1"/>
        <v>85</v>
      </c>
      <c r="G44" s="111">
        <f t="shared" si="1"/>
        <v>65</v>
      </c>
      <c r="H44" s="111">
        <f t="shared" si="1"/>
        <v>77</v>
      </c>
      <c r="I44" s="111">
        <f t="shared" si="1"/>
        <v>0</v>
      </c>
      <c r="J44" s="111">
        <f t="shared" si="1"/>
        <v>18</v>
      </c>
      <c r="K44" s="111">
        <f t="shared" si="1"/>
        <v>215</v>
      </c>
      <c r="L44" s="111">
        <f t="shared" si="1"/>
        <v>210</v>
      </c>
      <c r="M44" s="112">
        <f t="shared" si="1"/>
        <v>143</v>
      </c>
      <c r="N44" s="113"/>
    </row>
    <row r="45" spans="1:15" x14ac:dyDescent="0.2">
      <c r="A45" s="114" t="s">
        <v>3639</v>
      </c>
      <c r="B45" s="115">
        <f>SUM(B22:B31)</f>
        <v>176</v>
      </c>
      <c r="C45" s="116">
        <f t="shared" ref="C45:M45" si="2">SUM(C22:C31)</f>
        <v>90</v>
      </c>
      <c r="D45" s="116">
        <f t="shared" si="2"/>
        <v>175</v>
      </c>
      <c r="E45" s="116">
        <f t="shared" si="2"/>
        <v>138</v>
      </c>
      <c r="F45" s="116">
        <f t="shared" si="2"/>
        <v>98</v>
      </c>
      <c r="G45" s="116">
        <f t="shared" si="2"/>
        <v>199</v>
      </c>
      <c r="H45" s="116">
        <f t="shared" si="2"/>
        <v>26</v>
      </c>
      <c r="I45" s="116">
        <f t="shared" si="2"/>
        <v>34</v>
      </c>
      <c r="J45" s="116">
        <f t="shared" si="2"/>
        <v>0</v>
      </c>
      <c r="K45" s="116">
        <f t="shared" si="2"/>
        <v>102</v>
      </c>
      <c r="L45" s="116">
        <f t="shared" si="2"/>
        <v>156</v>
      </c>
      <c r="M45" s="117">
        <f t="shared" si="2"/>
        <v>128</v>
      </c>
      <c r="N45" s="113"/>
    </row>
    <row r="46" spans="1:15" x14ac:dyDescent="0.2">
      <c r="A46" s="118" t="s">
        <v>3640</v>
      </c>
      <c r="B46" s="119">
        <f>SUM(B32:B42)</f>
        <v>212</v>
      </c>
      <c r="C46" s="120">
        <f t="shared" ref="C46:M46" si="3">SUM(C32:C42)</f>
        <v>45</v>
      </c>
      <c r="D46" s="120">
        <f t="shared" si="3"/>
        <v>237</v>
      </c>
      <c r="E46" s="120">
        <f t="shared" si="3"/>
        <v>113</v>
      </c>
      <c r="F46" s="120">
        <f t="shared" si="3"/>
        <v>154</v>
      </c>
      <c r="G46" s="120">
        <f t="shared" si="3"/>
        <v>9</v>
      </c>
      <c r="H46" s="120">
        <f t="shared" si="3"/>
        <v>0</v>
      </c>
      <c r="I46" s="120">
        <f t="shared" si="3"/>
        <v>0</v>
      </c>
      <c r="J46" s="120">
        <f t="shared" si="3"/>
        <v>26</v>
      </c>
      <c r="K46" s="120">
        <f t="shared" si="3"/>
        <v>160</v>
      </c>
      <c r="L46" s="120">
        <f t="shared" si="3"/>
        <v>224</v>
      </c>
      <c r="M46" s="121">
        <f t="shared" si="3"/>
        <v>238</v>
      </c>
      <c r="N46" s="113"/>
    </row>
    <row r="47" spans="1:15" x14ac:dyDescent="0.2">
      <c r="A47" s="114" t="s">
        <v>28</v>
      </c>
      <c r="B47" s="122">
        <f>MAX(B12:B42)</f>
        <v>68</v>
      </c>
      <c r="C47" s="122">
        <f t="shared" ref="C47:M47" si="4">MAX(C12:C42)</f>
        <v>59</v>
      </c>
      <c r="D47" s="122">
        <f t="shared" si="4"/>
        <v>67</v>
      </c>
      <c r="E47" s="122">
        <f t="shared" si="4"/>
        <v>76</v>
      </c>
      <c r="F47" s="122">
        <f t="shared" si="4"/>
        <v>51</v>
      </c>
      <c r="G47" s="122">
        <f t="shared" si="4"/>
        <v>68</v>
      </c>
      <c r="H47" s="122">
        <f t="shared" si="4"/>
        <v>37</v>
      </c>
      <c r="I47" s="122">
        <f t="shared" si="4"/>
        <v>26</v>
      </c>
      <c r="J47" s="122">
        <f t="shared" si="4"/>
        <v>21</v>
      </c>
      <c r="K47" s="122">
        <f t="shared" si="4"/>
        <v>57</v>
      </c>
      <c r="L47" s="122">
        <f t="shared" si="4"/>
        <v>73</v>
      </c>
      <c r="M47" s="123">
        <f t="shared" si="4"/>
        <v>59</v>
      </c>
    </row>
    <row r="48" spans="1:15" ht="13.5" thickBot="1" x14ac:dyDescent="0.25">
      <c r="A48" s="124" t="s">
        <v>3641</v>
      </c>
      <c r="B48" s="125">
        <f>COUNTIF(B12:B42,"&gt;0")</f>
        <v>24</v>
      </c>
      <c r="C48" s="126">
        <f t="shared" ref="C48:M48" si="5">COUNTIF(C12:C42,"&gt;0")</f>
        <v>16</v>
      </c>
      <c r="D48" s="126">
        <f t="shared" si="5"/>
        <v>20</v>
      </c>
      <c r="E48" s="126">
        <f t="shared" si="5"/>
        <v>18</v>
      </c>
      <c r="F48" s="126">
        <f t="shared" si="5"/>
        <v>16</v>
      </c>
      <c r="G48" s="126">
        <f t="shared" si="5"/>
        <v>11</v>
      </c>
      <c r="H48" s="126">
        <f t="shared" si="5"/>
        <v>6</v>
      </c>
      <c r="I48" s="126">
        <f t="shared" si="5"/>
        <v>3</v>
      </c>
      <c r="J48" s="126">
        <f t="shared" si="5"/>
        <v>5</v>
      </c>
      <c r="K48" s="126">
        <f t="shared" si="5"/>
        <v>21</v>
      </c>
      <c r="L48" s="126">
        <f t="shared" si="5"/>
        <v>21</v>
      </c>
      <c r="M48" s="127">
        <f t="shared" si="5"/>
        <v>18</v>
      </c>
    </row>
    <row r="49" spans="1:14" ht="13.5" thickBo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61"/>
    </row>
    <row r="50" spans="1:14" ht="13.5" thickBot="1" x14ac:dyDescent="0.25">
      <c r="A50" s="128" t="s">
        <v>2050</v>
      </c>
      <c r="B50" s="108">
        <f>SUM(B43:M43)</f>
        <v>4197.2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61"/>
    </row>
    <row r="51" spans="1:14" x14ac:dyDescent="0.2">
      <c r="A51" s="129" t="s">
        <v>3642</v>
      </c>
      <c r="B51" s="130">
        <f>MAX(B12:M42)</f>
        <v>76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61"/>
    </row>
    <row r="52" spans="1:14" ht="13.5" thickBot="1" x14ac:dyDescent="0.25">
      <c r="A52" s="131" t="s">
        <v>3641</v>
      </c>
      <c r="B52" s="132">
        <f>SUM(B48:M48)</f>
        <v>179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61"/>
    </row>
    <row r="53" spans="1:14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61"/>
    </row>
    <row r="54" spans="1:14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61"/>
    </row>
    <row r="55" spans="1:14" ht="12.75" customHeight="1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61"/>
    </row>
    <row r="56" spans="1:14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61"/>
    </row>
    <row r="57" spans="1:14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61"/>
    </row>
    <row r="58" spans="1:14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61"/>
    </row>
    <row r="59" spans="1:14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61"/>
    </row>
    <row r="60" spans="1:14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61"/>
    </row>
    <row r="61" spans="1:14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61"/>
    </row>
    <row r="62" spans="1:14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61"/>
    </row>
    <row r="63" spans="1:14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61"/>
    </row>
    <row r="64" spans="1:14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61"/>
    </row>
    <row r="65" spans="1:14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61"/>
    </row>
    <row r="66" spans="1:14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61"/>
    </row>
    <row r="67" spans="1:14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61"/>
    </row>
    <row r="68" spans="1:14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61"/>
    </row>
    <row r="69" spans="1:14" x14ac:dyDescent="0.2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</row>
  </sheetData>
  <mergeCells count="12">
    <mergeCell ref="F7:G7"/>
    <mergeCell ref="H7:I8"/>
    <mergeCell ref="J7:K7"/>
    <mergeCell ref="L7:M8"/>
    <mergeCell ref="A10:A11"/>
    <mergeCell ref="F6:G6"/>
    <mergeCell ref="J6:K6"/>
    <mergeCell ref="A1:M1"/>
    <mergeCell ref="F4:G4"/>
    <mergeCell ref="J4:K4"/>
    <mergeCell ref="F5:G5"/>
    <mergeCell ref="J5:K5"/>
  </mergeCells>
  <conditionalFormatting sqref="B12:M42">
    <cfRule type="cellIs" dxfId="0" priority="1" stopIfTrue="1" operator="equal">
      <formula>$B$51</formula>
    </cfRule>
  </conditionalFormatting>
  <pageMargins left="0.70866141732283472" right="0.19685039370078741" top="0.51181102362204722" bottom="0.51181102362204722" header="0.31496062992125984" footer="0.51181102362204722"/>
  <pageSetup paperSize="9" scale="85" orientation="portrait" r:id="rId1"/>
  <headerFooter alignWithMargins="0"/>
  <rowBreaks count="1" manualBreakCount="1">
    <brk id="68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15</xdr:col>
                    <xdr:colOff>161925</xdr:colOff>
                    <xdr:row>1</xdr:row>
                    <xdr:rowOff>9525</xdr:rowOff>
                  </from>
                  <to>
                    <xdr:col>15</xdr:col>
                    <xdr:colOff>485775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Line="0" autoPict="0">
                <anchor moveWithCells="1">
                  <from>
                    <xdr:col>16</xdr:col>
                    <xdr:colOff>9525</xdr:colOff>
                    <xdr:row>0</xdr:row>
                    <xdr:rowOff>190500</xdr:rowOff>
                  </from>
                  <to>
                    <xdr:col>19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Drop Down 3">
              <controlPr defaultSize="0" autoLine="0" autoPict="0">
                <anchor moveWithCells="1">
                  <from>
                    <xdr:col>16</xdr:col>
                    <xdr:colOff>28575</xdr:colOff>
                    <xdr:row>3</xdr:row>
                    <xdr:rowOff>161925</xdr:rowOff>
                  </from>
                  <to>
                    <xdr:col>19</xdr:col>
                    <xdr:colOff>28575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Drop Down 4">
              <controlPr defaultSize="0" autoLine="0" autoPict="0">
                <anchor moveWithCells="1">
                  <from>
                    <xdr:col>16</xdr:col>
                    <xdr:colOff>28575</xdr:colOff>
                    <xdr:row>6</xdr:row>
                    <xdr:rowOff>9525</xdr:rowOff>
                  </from>
                  <to>
                    <xdr:col>19</xdr:col>
                    <xdr:colOff>28575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Button 5">
              <controlPr defaultSize="0" print="0" autoFill="0" autoPict="0" macro="[0]!Button10_Click">
                <anchor moveWithCells="1" sizeWithCells="1">
                  <from>
                    <xdr:col>16</xdr:col>
                    <xdr:colOff>28575</xdr:colOff>
                    <xdr:row>8</xdr:row>
                    <xdr:rowOff>66675</xdr:rowOff>
                  </from>
                  <to>
                    <xdr:col>18</xdr:col>
                    <xdr:colOff>95250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Button 6">
              <controlPr defaultSize="0" print="0" autoFill="0" autoPict="0" macro="[0]!Button11_Click">
                <anchor moveWithCells="1" sizeWithCells="1">
                  <from>
                    <xdr:col>16</xdr:col>
                    <xdr:colOff>47625</xdr:colOff>
                    <xdr:row>12</xdr:row>
                    <xdr:rowOff>9525</xdr:rowOff>
                  </from>
                  <to>
                    <xdr:col>18</xdr:col>
                    <xdr:colOff>95250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C791-7162-49EE-B9F6-F50A0F89FF19}">
  <sheetPr codeName="Sheet8"/>
  <dimension ref="B3:J72"/>
  <sheetViews>
    <sheetView view="pageBreakPreview" zoomScale="85" zoomScaleNormal="100" zoomScaleSheetLayoutView="85" workbookViewId="0">
      <selection activeCell="P51" sqref="P51"/>
    </sheetView>
  </sheetViews>
  <sheetFormatPr defaultColWidth="9.140625" defaultRowHeight="13.5" x14ac:dyDescent="0.25"/>
  <cols>
    <col min="1" max="1" width="9.140625" style="29"/>
    <col min="2" max="2" width="2.85546875" style="29" bestFit="1" customWidth="1"/>
    <col min="3" max="3" width="14.5703125" style="29" customWidth="1"/>
    <col min="4" max="6" width="9.140625" style="29"/>
    <col min="7" max="7" width="13.42578125" style="29" bestFit="1" customWidth="1"/>
    <col min="8" max="8" width="11.140625" style="29" bestFit="1" customWidth="1"/>
    <col min="9" max="9" width="9.5703125" style="29" bestFit="1" customWidth="1"/>
    <col min="10" max="16384" width="9.140625" style="29"/>
  </cols>
  <sheetData>
    <row r="3" spans="2:10" x14ac:dyDescent="0.25">
      <c r="B3" s="28" t="s">
        <v>3588</v>
      </c>
    </row>
    <row r="4" spans="2:10" x14ac:dyDescent="0.25">
      <c r="B4" s="30" t="s">
        <v>3589</v>
      </c>
      <c r="C4" s="31" t="s">
        <v>31</v>
      </c>
      <c r="D4" s="31" t="s">
        <v>30</v>
      </c>
      <c r="E4" s="31" t="s">
        <v>32</v>
      </c>
      <c r="F4" s="32" t="s">
        <v>34</v>
      </c>
      <c r="G4" s="32" t="s">
        <v>12</v>
      </c>
      <c r="H4" s="32" t="s">
        <v>35</v>
      </c>
      <c r="I4" s="32" t="s">
        <v>36</v>
      </c>
      <c r="J4" s="32" t="s">
        <v>37</v>
      </c>
    </row>
    <row r="5" spans="2:10" x14ac:dyDescent="0.25">
      <c r="B5" s="33">
        <v>1</v>
      </c>
      <c r="C5" s="34" t="str">
        <f>VLOOKUP(D5,DBASE!$B$3:$P$923,2,FALSE)</f>
        <v>Balen</v>
      </c>
      <c r="D5" s="33">
        <f>DBASE!B4</f>
        <v>350122001</v>
      </c>
      <c r="E5" s="34" t="str">
        <f>VLOOKUP(D5,DBASE!$B$3:$P$923,3,FALSE)</f>
        <v>-</v>
      </c>
      <c r="F5" s="34" t="str">
        <f>VLOOKUP(D5,DBASE!$B$3:$P$923,5,FALSE)</f>
        <v>Margomulyo</v>
      </c>
      <c r="G5" s="34" t="str">
        <f>VLOOKUP(D5,DBASE!$B$3:$P$923,6,FALSE)</f>
        <v>Balen</v>
      </c>
      <c r="H5" s="34" t="str">
        <f>VLOOKUP(D5,DBASE!$B$3:$P$923,7,FALSE)</f>
        <v>Bojonegoro</v>
      </c>
      <c r="I5" s="35" t="str">
        <f>VLOOKUP(D5,DBASE!$B$3:$P$923,8,FALSE)</f>
        <v>'111.953597</v>
      </c>
      <c r="J5" s="35" t="str">
        <f>VLOOKUP(D5,DBASE!$B$3:$P$923,9,FALSE)</f>
        <v>' -7.194462</v>
      </c>
    </row>
    <row r="6" spans="2:10" x14ac:dyDescent="0.25">
      <c r="B6" s="33">
        <v>2</v>
      </c>
      <c r="C6" s="34" t="str">
        <f>VLOOKUP(D6,DBASE!$B$3:$P$923,2,FALSE)</f>
        <v>Bluncong</v>
      </c>
      <c r="D6" s="33">
        <f>DBASE!B701</f>
        <v>350711003</v>
      </c>
      <c r="E6" s="34" t="str">
        <f>VLOOKUP(D6,DBASE!$B$3:$P$923,3,FALSE)</f>
        <v>-</v>
      </c>
      <c r="F6" s="34" t="str">
        <f>VLOOKUP(D6,DBASE!$B$3:$P$923,5,FALSE)</f>
        <v>Pandak</v>
      </c>
      <c r="G6" s="34" t="str">
        <f>VLOOKUP(D6,DBASE!$B$3:$P$923,6,FALSE)</f>
        <v>Klabang</v>
      </c>
      <c r="H6" s="34" t="str">
        <f>VLOOKUP(D6,DBASE!$B$3:$P$923,7,FALSE)</f>
        <v>Bondowoso</v>
      </c>
      <c r="I6" s="35" t="str">
        <f>VLOOKUP(D6,DBASE!$B$3:$P$923,8,FALSE)</f>
        <v>'113.94608</v>
      </c>
      <c r="J6" s="35" t="str">
        <f>VLOOKUP(D6,DBASE!$B$3:$P$923,9,FALSE)</f>
        <v>'-7.81709</v>
      </c>
    </row>
    <row r="7" spans="2:10" x14ac:dyDescent="0.25">
      <c r="B7" s="33">
        <v>3</v>
      </c>
      <c r="C7" s="34" t="str">
        <f>VLOOKUP(D7,DBASE!$B$3:$P$923,2,FALSE)</f>
        <v>Cerme BDWS</v>
      </c>
      <c r="D7" s="33">
        <f>DBASE!B702</f>
        <v>350711004</v>
      </c>
      <c r="E7" s="34" t="str">
        <f>VLOOKUP(D7,DBASE!$B$3:$P$923,3,FALSE)</f>
        <v>-</v>
      </c>
      <c r="F7" s="34" t="str">
        <f>VLOOKUP(D7,DBASE!$B$3:$P$923,5,FALSE)</f>
        <v>Cermee</v>
      </c>
      <c r="G7" s="34" t="str">
        <f>VLOOKUP(D7,DBASE!$B$3:$P$923,6,FALSE)</f>
        <v>Cermee</v>
      </c>
      <c r="H7" s="34" t="str">
        <f>VLOOKUP(D7,DBASE!$B$3:$P$923,7,FALSE)</f>
        <v>Bondowoso</v>
      </c>
      <c r="I7" s="35" t="str">
        <f>VLOOKUP(D7,DBASE!$B$3:$P$923,8,FALSE)</f>
        <v>'114.05231</v>
      </c>
      <c r="J7" s="35" t="str">
        <f>VLOOKUP(D7,DBASE!$B$3:$P$923,9,FALSE)</f>
        <v>'-7.77721</v>
      </c>
    </row>
    <row r="8" spans="2:10" x14ac:dyDescent="0.25">
      <c r="B8" s="33">
        <v>4</v>
      </c>
      <c r="C8" s="34" t="str">
        <f>VLOOKUP(D8,DBASE!$B$3:$P$923,2,FALSE)</f>
        <v>Clangap</v>
      </c>
      <c r="D8" s="33">
        <f>DBASE!B703</f>
        <v>350711005</v>
      </c>
      <c r="E8" s="34" t="str">
        <f>VLOOKUP(D8,DBASE!$B$3:$P$923,3,FALSE)</f>
        <v>-</v>
      </c>
      <c r="F8" s="34" t="str">
        <f>VLOOKUP(D8,DBASE!$B$3:$P$923,5,FALSE)</f>
        <v>Alas Sumur</v>
      </c>
      <c r="G8" s="34" t="str">
        <f>VLOOKUP(D8,DBASE!$B$3:$P$923,6,FALSE)</f>
        <v>Pujer</v>
      </c>
      <c r="H8" s="34" t="str">
        <f>VLOOKUP(D8,DBASE!$B$3:$P$923,7,FALSE)</f>
        <v>Bondowoso</v>
      </c>
      <c r="I8" s="35" t="str">
        <f>VLOOKUP(D8,DBASE!$B$3:$P$923,8,FALSE)</f>
        <v>'113.87505</v>
      </c>
      <c r="J8" s="35" t="str">
        <f>VLOOKUP(D8,DBASE!$B$3:$P$923,9,FALSE)</f>
        <v>'-8.00583</v>
      </c>
    </row>
    <row r="9" spans="2:10" x14ac:dyDescent="0.25">
      <c r="B9" s="33">
        <v>5</v>
      </c>
      <c r="C9" s="34" t="str">
        <f>VLOOKUP(D9,DBASE!$B$3:$P$923,2,FALSE)</f>
        <v>Dam  Karanganom</v>
      </c>
      <c r="D9" s="33">
        <f>DBASE!B848</f>
        <v>350809010</v>
      </c>
      <c r="E9" s="34" t="str">
        <f>VLOOKUP(D9,DBASE!$B$3:$P$923,3,FALSE)</f>
        <v>-</v>
      </c>
      <c r="F9" s="34" t="str">
        <f>VLOOKUP(D9,DBASE!$B$3:$P$923,5,FALSE)</f>
        <v>Serut</v>
      </c>
      <c r="G9" s="34" t="str">
        <f>VLOOKUP(D9,DBASE!$B$3:$P$923,6,FALSE)</f>
        <v>Panti</v>
      </c>
      <c r="H9" s="34" t="str">
        <f>VLOOKUP(D9,DBASE!$B$3:$P$923,7,FALSE)</f>
        <v>Jember</v>
      </c>
      <c r="I9" s="35" t="str">
        <f>VLOOKUP(D9,DBASE!$B$3:$P$923,8,FALSE)</f>
        <v>'113.632267</v>
      </c>
      <c r="J9" s="35" t="str">
        <f>VLOOKUP(D9,DBASE!$B$3:$P$923,9,FALSE)</f>
        <v>'-8.140567</v>
      </c>
    </row>
    <row r="10" spans="2:10" x14ac:dyDescent="0.25">
      <c r="B10" s="33">
        <v>6</v>
      </c>
      <c r="C10" s="34" t="str">
        <f>VLOOKUP(D10,DBASE!$B$3:$P$923,2,FALSE)</f>
        <v>Dam  Klatakan</v>
      </c>
      <c r="D10" s="33">
        <f>DBASE!B849</f>
        <v>350809011</v>
      </c>
      <c r="E10" s="34" t="str">
        <f>VLOOKUP(D10,DBASE!$B$3:$P$923,3,FALSE)</f>
        <v>-</v>
      </c>
      <c r="F10" s="34" t="str">
        <f>VLOOKUP(D10,DBASE!$B$3:$P$923,5,FALSE)</f>
        <v>Pakis</v>
      </c>
      <c r="G10" s="34" t="str">
        <f>VLOOKUP(D10,DBASE!$B$3:$P$923,6,FALSE)</f>
        <v>Panti</v>
      </c>
      <c r="H10" s="34" t="str">
        <f>VLOOKUP(D10,DBASE!$B$3:$P$923,7,FALSE)</f>
        <v>Jember</v>
      </c>
      <c r="I10" s="35" t="str">
        <f>VLOOKUP(D10,DBASE!$B$3:$P$923,8,FALSE)</f>
        <v>'113.59385</v>
      </c>
      <c r="J10" s="35" t="str">
        <f>VLOOKUP(D10,DBASE!$B$3:$P$923,9,FALSE)</f>
        <v>'-8.121717</v>
      </c>
    </row>
    <row r="11" spans="2:10" x14ac:dyDescent="0.25">
      <c r="B11" s="33">
        <v>7</v>
      </c>
      <c r="C11" s="34" t="str">
        <f>VLOOKUP(D11,DBASE!$B$3:$P$923,2,FALSE)</f>
        <v>Dam  Makam</v>
      </c>
      <c r="D11" s="33">
        <f>DBASE!B850</f>
        <v>350809012</v>
      </c>
      <c r="E11" s="34" t="str">
        <f>VLOOKUP(D11,DBASE!$B$3:$P$923,3,FALSE)</f>
        <v>-</v>
      </c>
      <c r="F11" s="34" t="str">
        <f>VLOOKUP(D11,DBASE!$B$3:$P$923,5,FALSE)</f>
        <v>Rambigundam</v>
      </c>
      <c r="G11" s="34" t="str">
        <f>VLOOKUP(D11,DBASE!$B$3:$P$923,6,FALSE)</f>
        <v>Rambipuji</v>
      </c>
      <c r="H11" s="34" t="str">
        <f>VLOOKUP(D11,DBASE!$B$3:$P$923,7,FALSE)</f>
        <v>Jember</v>
      </c>
      <c r="I11" s="35" t="str">
        <f>VLOOKUP(D11,DBASE!$B$3:$P$923,8,FALSE)</f>
        <v>'113.619050</v>
      </c>
      <c r="J11" s="35" t="str">
        <f>VLOOKUP(D11,DBASE!$B$3:$P$923,9,FALSE)</f>
        <v>'-8.1943170</v>
      </c>
    </row>
    <row r="12" spans="2:10" x14ac:dyDescent="0.25">
      <c r="B12" s="33">
        <v>8</v>
      </c>
      <c r="C12" s="34" t="str">
        <f>VLOOKUP(D12,DBASE!$B$3:$P$923,2,FALSE)</f>
        <v>Dam Manggis</v>
      </c>
      <c r="D12" s="33">
        <f>DBASE!B851</f>
        <v>350809013</v>
      </c>
      <c r="E12" s="34" t="str">
        <f>VLOOKUP(D12,DBASE!$B$3:$P$923,3,FALSE)</f>
        <v>-</v>
      </c>
      <c r="F12" s="34" t="str">
        <f>VLOOKUP(D12,DBASE!$B$3:$P$923,5,FALSE)</f>
        <v>Sukorambi</v>
      </c>
      <c r="G12" s="34" t="str">
        <f>VLOOKUP(D12,DBASE!$B$3:$P$923,6,FALSE)</f>
        <v>Sukorambi</v>
      </c>
      <c r="H12" s="34" t="str">
        <f>VLOOKUP(D12,DBASE!$B$3:$P$923,7,FALSE)</f>
        <v>Jember</v>
      </c>
      <c r="I12" s="35" t="str">
        <f>VLOOKUP(D12,DBASE!$B$3:$P$923,8,FALSE)</f>
        <v>'113.650624</v>
      </c>
      <c r="J12" s="35" t="str">
        <f>VLOOKUP(D12,DBASE!$B$3:$P$923,9,FALSE)</f>
        <v>'-8.1299593</v>
      </c>
    </row>
    <row r="13" spans="2:10" x14ac:dyDescent="0.25">
      <c r="B13" s="33">
        <v>9</v>
      </c>
      <c r="C13" s="34" t="str">
        <f>VLOOKUP(D13,DBASE!$B$3:$P$923,2,FALSE)</f>
        <v>Dam Pono</v>
      </c>
      <c r="D13" s="33">
        <f>DBASE!B852</f>
        <v>350809014</v>
      </c>
      <c r="E13" s="34" t="str">
        <f>VLOOKUP(D13,DBASE!$B$3:$P$923,3,FALSE)</f>
        <v>-</v>
      </c>
      <c r="F13" s="34" t="str">
        <f>VLOOKUP(D13,DBASE!$B$3:$P$923,5,FALSE)</f>
        <v>Serut</v>
      </c>
      <c r="G13" s="34" t="str">
        <f>VLOOKUP(D13,DBASE!$B$3:$P$923,6,FALSE)</f>
        <v>Panti</v>
      </c>
      <c r="H13" s="34" t="str">
        <f>VLOOKUP(D13,DBASE!$B$3:$P$923,7,FALSE)</f>
        <v>Jember</v>
      </c>
      <c r="I13" s="35" t="str">
        <f>VLOOKUP(D13,DBASE!$B$3:$P$923,8,FALSE)</f>
        <v>'113.6392830</v>
      </c>
      <c r="J13" s="35" t="str">
        <f>VLOOKUP(D13,DBASE!$B$3:$P$923,9,FALSE)</f>
        <v>'-8.1519830</v>
      </c>
    </row>
    <row r="14" spans="2:10" x14ac:dyDescent="0.25">
      <c r="B14" s="33">
        <v>10</v>
      </c>
      <c r="C14" s="34" t="str">
        <f>VLOOKUP(D14,DBASE!$B$3:$P$923,2,FALSE)</f>
        <v>Dam  Pecoro</v>
      </c>
      <c r="D14" s="33">
        <f>DBASE!B853</f>
        <v>350809015</v>
      </c>
      <c r="E14" s="34" t="str">
        <f>VLOOKUP(D14,DBASE!$B$3:$P$923,3,FALSE)</f>
        <v>-</v>
      </c>
      <c r="F14" s="34" t="str">
        <f>VLOOKUP(D14,DBASE!$B$3:$P$923,5,FALSE)</f>
        <v>Pecoro</v>
      </c>
      <c r="G14" s="34" t="str">
        <f>VLOOKUP(D14,DBASE!$B$3:$P$923,6,FALSE)</f>
        <v>Rambipuji</v>
      </c>
      <c r="H14" s="34" t="str">
        <f>VLOOKUP(D14,DBASE!$B$3:$P$923,7,FALSE)</f>
        <v>Jember</v>
      </c>
      <c r="I14" s="35" t="str">
        <f>VLOOKUP(D14,DBASE!$B$3:$P$923,8,FALSE)</f>
        <v>'113.58595</v>
      </c>
      <c r="J14" s="35" t="str">
        <f>VLOOKUP(D14,DBASE!$B$3:$P$923,9,FALSE)</f>
        <v>'-8.214550</v>
      </c>
    </row>
    <row r="15" spans="2:10" x14ac:dyDescent="0.25">
      <c r="B15" s="33">
        <v>11</v>
      </c>
      <c r="C15" s="34" t="str">
        <f>VLOOKUP(D15,DBASE!$B$3:$P$923,2,FALSE)</f>
        <v>Dam  Semangir</v>
      </c>
      <c r="D15" s="33">
        <f>DBASE!B854</f>
        <v>350809016</v>
      </c>
      <c r="E15" s="34" t="str">
        <f>VLOOKUP(D15,DBASE!$B$3:$P$923,3,FALSE)</f>
        <v>-</v>
      </c>
      <c r="F15" s="34" t="str">
        <f>VLOOKUP(D15,DBASE!$B$3:$P$923,5,FALSE)</f>
        <v>Mangli</v>
      </c>
      <c r="G15" s="34" t="str">
        <f>VLOOKUP(D15,DBASE!$B$3:$P$923,6,FALSE)</f>
        <v>Kaliwates</v>
      </c>
      <c r="H15" s="34" t="str">
        <f>VLOOKUP(D15,DBASE!$B$3:$P$923,7,FALSE)</f>
        <v>Jember</v>
      </c>
      <c r="I15" s="35" t="str">
        <f>VLOOKUP(D15,DBASE!$B$3:$P$923,8,FALSE)</f>
        <v>'113.652950</v>
      </c>
      <c r="J15" s="35" t="str">
        <f>VLOOKUP(D15,DBASE!$B$3:$P$923,9,FALSE)</f>
        <v>'-8.1811670</v>
      </c>
    </row>
    <row r="16" spans="2:10" x14ac:dyDescent="0.25">
      <c r="B16" s="33">
        <v>12</v>
      </c>
      <c r="C16" s="34" t="str">
        <f>VLOOKUP(D16,DBASE!$B$3:$P$923,2,FALSE)</f>
        <v>Dam  Sembah</v>
      </c>
      <c r="D16" s="33">
        <f>DBASE!B855</f>
        <v>350809017</v>
      </c>
      <c r="E16" s="34" t="str">
        <f>VLOOKUP(D16,DBASE!$B$3:$P$923,3,FALSE)</f>
        <v>-</v>
      </c>
      <c r="F16" s="34" t="str">
        <f>VLOOKUP(D16,DBASE!$B$3:$P$923,5,FALSE)</f>
        <v>Gebang</v>
      </c>
      <c r="G16" s="34" t="str">
        <f>VLOOKUP(D16,DBASE!$B$3:$P$923,6,FALSE)</f>
        <v>Patrang</v>
      </c>
      <c r="H16" s="34" t="str">
        <f>VLOOKUP(D16,DBASE!$B$3:$P$923,7,FALSE)</f>
        <v>Jember</v>
      </c>
      <c r="I16" s="35" t="str">
        <f>VLOOKUP(D16,DBASE!$B$3:$P$923,8,FALSE)</f>
        <v>'113.69210</v>
      </c>
      <c r="J16" s="35" t="str">
        <f>VLOOKUP(D16,DBASE!$B$3:$P$923,9,FALSE)</f>
        <v>'-8.156550</v>
      </c>
    </row>
    <row r="17" spans="2:10" x14ac:dyDescent="0.25">
      <c r="B17" s="33">
        <v>13</v>
      </c>
      <c r="C17" s="34" t="str">
        <f>VLOOKUP(D17,DBASE!$B$3:$P$923,2,FALSE)</f>
        <v>Dam Talang</v>
      </c>
      <c r="D17" s="33">
        <f>DBASE!B856</f>
        <v>350809018</v>
      </c>
      <c r="E17" s="34" t="str">
        <f>VLOOKUP(D17,DBASE!$B$3:$P$923,3,FALSE)</f>
        <v>-</v>
      </c>
      <c r="F17" s="34" t="str">
        <f>VLOOKUP(D17,DBASE!$B$3:$P$923,5,FALSE)</f>
        <v>Jenggawah</v>
      </c>
      <c r="G17" s="34" t="str">
        <f>VLOOKUP(D17,DBASE!$B$3:$P$923,6,FALSE)</f>
        <v>Jenggawah</v>
      </c>
      <c r="H17" s="34" t="str">
        <f>VLOOKUP(D17,DBASE!$B$3:$P$923,7,FALSE)</f>
        <v>Jember</v>
      </c>
      <c r="I17" s="35" t="str">
        <f>VLOOKUP(D17,DBASE!$B$3:$P$923,8,FALSE)</f>
        <v>'113.6940</v>
      </c>
      <c r="J17" s="35" t="str">
        <f>VLOOKUP(D17,DBASE!$B$3:$P$923,9,FALSE)</f>
        <v>'-8.2630330</v>
      </c>
    </row>
    <row r="18" spans="2:10" x14ac:dyDescent="0.25">
      <c r="B18" s="33">
        <v>14</v>
      </c>
      <c r="C18" s="34" t="str">
        <f>VLOOKUP(D18,DBASE!$B$3:$P$923,2,FALSE)</f>
        <v>Dam  Tegal  Batu</v>
      </c>
      <c r="D18" s="33">
        <f>DBASE!B857</f>
        <v>350809019</v>
      </c>
      <c r="E18" s="34" t="str">
        <f>VLOOKUP(D18,DBASE!$B$3:$P$923,3,FALSE)</f>
        <v>-</v>
      </c>
      <c r="F18" s="34" t="str">
        <f>VLOOKUP(D18,DBASE!$B$3:$P$923,5,FALSE)</f>
        <v>Panduman</v>
      </c>
      <c r="G18" s="34" t="str">
        <f>VLOOKUP(D18,DBASE!$B$3:$P$923,6,FALSE)</f>
        <v>Jelbuk</v>
      </c>
      <c r="H18" s="34" t="str">
        <f>VLOOKUP(D18,DBASE!$B$3:$P$923,7,FALSE)</f>
        <v>Jember</v>
      </c>
      <c r="I18" s="35" t="str">
        <f>VLOOKUP(D18,DBASE!$B$3:$P$923,8,FALSE)</f>
        <v>'113.749683</v>
      </c>
      <c r="J18" s="35" t="str">
        <f>VLOOKUP(D18,DBASE!$B$3:$P$923,9,FALSE)</f>
        <v>'-8.07536700</v>
      </c>
    </row>
    <row r="19" spans="2:10" x14ac:dyDescent="0.25">
      <c r="B19" s="33">
        <v>15</v>
      </c>
      <c r="C19" s="34" t="str">
        <f>VLOOKUP(D19,DBASE!$B$3:$P$923,2,FALSE)</f>
        <v>Dam Tugusari</v>
      </c>
      <c r="D19" s="33">
        <f>DBASE!B858</f>
        <v>350809020</v>
      </c>
      <c r="E19" s="34" t="str">
        <f>VLOOKUP(D19,DBASE!$B$3:$P$923,3,FALSE)</f>
        <v>-</v>
      </c>
      <c r="F19" s="34" t="str">
        <f>VLOOKUP(D19,DBASE!$B$3:$P$923,5,FALSE)</f>
        <v>Tugusari</v>
      </c>
      <c r="G19" s="34" t="str">
        <f>VLOOKUP(D19,DBASE!$B$3:$P$923,6,FALSE)</f>
        <v>Bangsalsari</v>
      </c>
      <c r="H19" s="34" t="str">
        <f>VLOOKUP(D19,DBASE!$B$3:$P$923,7,FALSE)</f>
        <v>Jember</v>
      </c>
      <c r="I19" s="35" t="str">
        <f>VLOOKUP(D19,DBASE!$B$3:$P$923,8,FALSE)</f>
        <v>'113.54490</v>
      </c>
      <c r="J19" s="35" t="str">
        <f>VLOOKUP(D19,DBASE!$B$3:$P$923,9,FALSE)</f>
        <v>'-8.1678670</v>
      </c>
    </row>
    <row r="20" spans="2:10" x14ac:dyDescent="0.25">
      <c r="B20" s="33">
        <v>16</v>
      </c>
      <c r="C20" s="34" t="str">
        <f>VLOOKUP(D20,DBASE!$B$3:$P$923,2,FALSE)</f>
        <v>Dam Kijingan</v>
      </c>
      <c r="D20" s="33">
        <f>DBASE!B859</f>
        <v>350809021</v>
      </c>
      <c r="E20" s="34" t="str">
        <f>VLOOKUP(D20,DBASE!$B$3:$P$923,3,FALSE)</f>
        <v>-</v>
      </c>
      <c r="F20" s="34" t="str">
        <f>VLOOKUP(D20,DBASE!$B$3:$P$923,5,FALSE)</f>
        <v>Tisnogambar</v>
      </c>
      <c r="G20" s="34" t="str">
        <f>VLOOKUP(D20,DBASE!$B$3:$P$923,6,FALSE)</f>
        <v>Bangsalsari</v>
      </c>
      <c r="H20" s="34" t="str">
        <f>VLOOKUP(D20,DBASE!$B$3:$P$923,7,FALSE)</f>
        <v>Jember</v>
      </c>
      <c r="I20" s="35" t="str">
        <f>VLOOKUP(D20,DBASE!$B$3:$P$923,8,FALSE)</f>
        <v>'113.567750</v>
      </c>
      <c r="J20" s="35" t="str">
        <f>VLOOKUP(D20,DBASE!$B$3:$P$923,9,FALSE)</f>
        <v>'-8.195333</v>
      </c>
    </row>
    <row r="21" spans="2:10" x14ac:dyDescent="0.25">
      <c r="B21" s="33">
        <v>17</v>
      </c>
      <c r="C21" s="34" t="str">
        <f>VLOOKUP(D21,DBASE!$B$3:$P$923,2,FALSE)</f>
        <v>Dam Langkap</v>
      </c>
      <c r="D21" s="33">
        <f>DBASE!B860</f>
        <v>350809022</v>
      </c>
      <c r="E21" s="34" t="str">
        <f>VLOOKUP(D21,DBASE!$B$3:$P$923,3,FALSE)</f>
        <v>-</v>
      </c>
      <c r="F21" s="34" t="str">
        <f>VLOOKUP(D21,DBASE!$B$3:$P$923,5,FALSE)</f>
        <v>Langkap</v>
      </c>
      <c r="G21" s="34" t="str">
        <f>VLOOKUP(D21,DBASE!$B$3:$P$923,6,FALSE)</f>
        <v>Bangsalsari</v>
      </c>
      <c r="H21" s="34" t="str">
        <f>VLOOKUP(D21,DBASE!$B$3:$P$923,7,FALSE)</f>
        <v>Jember</v>
      </c>
      <c r="I21" s="35" t="str">
        <f>VLOOKUP(D21,DBASE!$B$3:$P$923,8,FALSE)</f>
        <v>'113.543150</v>
      </c>
      <c r="J21" s="35" t="str">
        <f>VLOOKUP(D21,DBASE!$B$3:$P$923,9,FALSE)</f>
        <v>'-8.201300</v>
      </c>
    </row>
    <row r="22" spans="2:10" x14ac:dyDescent="0.25">
      <c r="B22" s="33">
        <v>18</v>
      </c>
      <c r="C22" s="34" t="str">
        <f>VLOOKUP(D22,DBASE!$B$3:$P$923,2,FALSE)</f>
        <v>Darungan</v>
      </c>
      <c r="D22" s="33">
        <f>DBASE!B861</f>
        <v>350809023</v>
      </c>
      <c r="E22" s="34" t="str">
        <f>VLOOKUP(D22,DBASE!$B$3:$P$923,3,FALSE)</f>
        <v>-</v>
      </c>
      <c r="F22" s="34" t="str">
        <f>VLOOKUP(D22,DBASE!$B$3:$P$923,5,FALSE)</f>
        <v>Darungan</v>
      </c>
      <c r="G22" s="34" t="str">
        <f>VLOOKUP(D22,DBASE!$B$3:$P$923,6,FALSE)</f>
        <v>Tanggul</v>
      </c>
      <c r="H22" s="34" t="str">
        <f>VLOOKUP(D22,DBASE!$B$3:$P$923,7,FALSE)</f>
        <v>Jember</v>
      </c>
      <c r="I22" s="35" t="str">
        <f>VLOOKUP(D22,DBASE!$B$3:$P$923,8,FALSE)</f>
        <v>'113.4763888</v>
      </c>
      <c r="J22" s="35" t="str">
        <f>VLOOKUP(D22,DBASE!$B$3:$P$923,9,FALSE)</f>
        <v>'-8.1483333</v>
      </c>
    </row>
    <row r="23" spans="2:10" x14ac:dyDescent="0.25">
      <c r="B23" s="33">
        <v>19</v>
      </c>
      <c r="C23" s="34" t="str">
        <f>VLOOKUP(D23,DBASE!$B$3:$P$923,2,FALSE)</f>
        <v>Grenden</v>
      </c>
      <c r="D23" s="33">
        <f>DBASE!B862</f>
        <v>350809024</v>
      </c>
      <c r="E23" s="34" t="str">
        <f>VLOOKUP(D23,DBASE!$B$3:$P$923,3,FALSE)</f>
        <v>-</v>
      </c>
      <c r="F23" s="34" t="str">
        <f>VLOOKUP(D23,DBASE!$B$3:$P$923,5,FALSE)</f>
        <v>Grenden</v>
      </c>
      <c r="G23" s="34" t="str">
        <f>VLOOKUP(D23,DBASE!$B$3:$P$923,6,FALSE)</f>
        <v>Puger</v>
      </c>
      <c r="H23" s="34" t="str">
        <f>VLOOKUP(D23,DBASE!$B$3:$P$923,7,FALSE)</f>
        <v>Jember</v>
      </c>
      <c r="I23" s="35" t="str">
        <f>VLOOKUP(D23,DBASE!$B$3:$P$923,8,FALSE)</f>
        <v>'113.4709830</v>
      </c>
      <c r="J23" s="35" t="str">
        <f>VLOOKUP(D23,DBASE!$B$3:$P$923,9,FALSE)</f>
        <v>'-8.3450830</v>
      </c>
    </row>
    <row r="24" spans="2:10" x14ac:dyDescent="0.25">
      <c r="B24" s="33">
        <v>20</v>
      </c>
      <c r="C24" s="34" t="str">
        <f>VLOOKUP(D24,DBASE!$B$3:$P$923,2,FALSE)</f>
        <v>Glundengan</v>
      </c>
      <c r="D24" s="33">
        <f>DBASE!B863</f>
        <v>350809025</v>
      </c>
      <c r="E24" s="34" t="str">
        <f>VLOOKUP(D24,DBASE!$B$3:$P$923,3,FALSE)</f>
        <v>-</v>
      </c>
      <c r="F24" s="34" t="str">
        <f>VLOOKUP(D24,DBASE!$B$3:$P$923,5,FALSE)</f>
        <v>Glundengan</v>
      </c>
      <c r="G24" s="34" t="str">
        <f>VLOOKUP(D24,DBASE!$B$3:$P$923,6,FALSE)</f>
        <v>Wuluhan</v>
      </c>
      <c r="H24" s="34" t="str">
        <f>VLOOKUP(D24,DBASE!$B$3:$P$923,7,FALSE)</f>
        <v>Jember</v>
      </c>
      <c r="I24" s="35" t="str">
        <f>VLOOKUP(D24,DBASE!$B$3:$P$923,8,FALSE)</f>
        <v>'113.561083</v>
      </c>
      <c r="J24" s="35" t="str">
        <f>VLOOKUP(D24,DBASE!$B$3:$P$923,9,FALSE)</f>
        <v>'-8.299083</v>
      </c>
    </row>
    <row r="25" spans="2:10" x14ac:dyDescent="0.25">
      <c r="B25" s="33">
        <v>21</v>
      </c>
      <c r="C25" s="34" t="str">
        <f>VLOOKUP(D25,DBASE!$B$3:$P$923,2,FALSE)</f>
        <v>Gumelar  Timur</v>
      </c>
      <c r="D25" s="33">
        <f>DBASE!B864</f>
        <v>350809026</v>
      </c>
      <c r="E25" s="34" t="str">
        <f>VLOOKUP(D25,DBASE!$B$3:$P$923,3,FALSE)</f>
        <v>-</v>
      </c>
      <c r="F25" s="34" t="str">
        <f>VLOOKUP(D25,DBASE!$B$3:$P$923,5,FALSE)</f>
        <v>Gumelar</v>
      </c>
      <c r="G25" s="34" t="str">
        <f>VLOOKUP(D25,DBASE!$B$3:$P$923,6,FALSE)</f>
        <v>Balung</v>
      </c>
      <c r="H25" s="34" t="str">
        <f>VLOOKUP(D25,DBASE!$B$3:$P$923,7,FALSE)</f>
        <v>Jember</v>
      </c>
      <c r="I25" s="35" t="str">
        <f>VLOOKUP(D25,DBASE!$B$3:$P$923,8,FALSE)</f>
        <v>'113.5651330</v>
      </c>
      <c r="J25" s="35" t="str">
        <f>VLOOKUP(D25,DBASE!$B$3:$P$923,9,FALSE)</f>
        <v>'-8.248750</v>
      </c>
    </row>
    <row r="26" spans="2:10" x14ac:dyDescent="0.25">
      <c r="B26" s="33">
        <v>22</v>
      </c>
      <c r="C26" s="34" t="str">
        <f>VLOOKUP(D26,DBASE!$B$3:$P$923,2,FALSE)</f>
        <v>Gumukmas ( BT )</v>
      </c>
      <c r="D26" s="33">
        <f>DBASE!B865</f>
        <v>350809027</v>
      </c>
      <c r="E26" s="34" t="str">
        <f>VLOOKUP(D26,DBASE!$B$3:$P$923,3,FALSE)</f>
        <v>-</v>
      </c>
      <c r="F26" s="34" t="str">
        <f>VLOOKUP(D26,DBASE!$B$3:$P$923,5,FALSE)</f>
        <v>Gumukmas</v>
      </c>
      <c r="G26" s="34" t="str">
        <f>VLOOKUP(D26,DBASE!$B$3:$P$923,6,FALSE)</f>
        <v>Gumukmas</v>
      </c>
      <c r="H26" s="34" t="str">
        <f>VLOOKUP(D26,DBASE!$B$3:$P$923,7,FALSE)</f>
        <v>Jember</v>
      </c>
      <c r="I26" s="35" t="str">
        <f>VLOOKUP(D26,DBASE!$B$3:$P$923,8,FALSE)</f>
        <v>'113.40490</v>
      </c>
      <c r="J26" s="35" t="str">
        <f>VLOOKUP(D26,DBASE!$B$3:$P$923,9,FALSE)</f>
        <v>'-8.2834830</v>
      </c>
    </row>
    <row r="27" spans="2:10" x14ac:dyDescent="0.25">
      <c r="B27" s="33">
        <v>23</v>
      </c>
      <c r="C27" s="34" t="str">
        <f>VLOOKUP(D27,DBASE!$B$3:$P$923,2,FALSE)</f>
        <v>Gumukmas ( KT )</v>
      </c>
      <c r="D27" s="33">
        <f>DBASE!B866</f>
        <v>350809028</v>
      </c>
      <c r="E27" s="34" t="str">
        <f>VLOOKUP(D27,DBASE!$B$3:$P$923,3,FALSE)</f>
        <v>-</v>
      </c>
      <c r="F27" s="34" t="str">
        <f>VLOOKUP(D27,DBASE!$B$3:$P$923,5,FALSE)</f>
        <v>Gumukmas</v>
      </c>
      <c r="G27" s="34" t="str">
        <f>VLOOKUP(D27,DBASE!$B$3:$P$923,6,FALSE)</f>
        <v>Gumukmas</v>
      </c>
      <c r="H27" s="34" t="str">
        <f>VLOOKUP(D27,DBASE!$B$3:$P$923,7,FALSE)</f>
        <v>Jember</v>
      </c>
      <c r="I27" s="35" t="str">
        <f>VLOOKUP(D27,DBASE!$B$3:$P$923,8,FALSE)</f>
        <v>'113.398133</v>
      </c>
      <c r="J27" s="35" t="str">
        <f>VLOOKUP(D27,DBASE!$B$3:$P$923,9,FALSE)</f>
        <v>'-8.30205</v>
      </c>
    </row>
    <row r="28" spans="2:10" x14ac:dyDescent="0.25">
      <c r="B28" s="33">
        <v>24</v>
      </c>
      <c r="C28" s="34" t="str">
        <f>VLOOKUP(D28,DBASE!$B$3:$P$923,2,FALSE)</f>
        <v>Jatian</v>
      </c>
      <c r="D28" s="33">
        <f>DBASE!B867</f>
        <v>350809029</v>
      </c>
      <c r="E28" s="34" t="str">
        <f>VLOOKUP(D28,DBASE!$B$3:$P$923,3,FALSE)</f>
        <v>-</v>
      </c>
      <c r="F28" s="34" t="str">
        <f>VLOOKUP(D28,DBASE!$B$3:$P$923,5,FALSE)</f>
        <v>Jatian</v>
      </c>
      <c r="G28" s="34" t="str">
        <f>VLOOKUP(D28,DBASE!$B$3:$P$923,6,FALSE)</f>
        <v>Pakusari</v>
      </c>
      <c r="H28" s="34" t="str">
        <f>VLOOKUP(D28,DBASE!$B$3:$P$923,7,FALSE)</f>
        <v>Jember</v>
      </c>
      <c r="I28" s="35" t="str">
        <f>VLOOKUP(D28,DBASE!$B$3:$P$923,8,FALSE)</f>
        <v>'113.796233</v>
      </c>
      <c r="J28" s="35" t="str">
        <f>VLOOKUP(D28,DBASE!$B$3:$P$923,9,FALSE)</f>
        <v>'-8.1498170</v>
      </c>
    </row>
    <row r="29" spans="2:10" x14ac:dyDescent="0.25">
      <c r="B29" s="33">
        <v>25</v>
      </c>
      <c r="C29" s="34" t="str">
        <f>VLOOKUP(D29,DBASE!$B$3:$P$923,2,FALSE)</f>
        <v>Jatisari</v>
      </c>
      <c r="D29" s="33">
        <f>DBASE!B868</f>
        <v>350809030</v>
      </c>
      <c r="E29" s="34" t="str">
        <f>VLOOKUP(D29,DBASE!$B$3:$P$923,3,FALSE)</f>
        <v>-</v>
      </c>
      <c r="F29" s="34" t="str">
        <f>VLOOKUP(D29,DBASE!$B$3:$P$923,5,FALSE)</f>
        <v>Cangkring</v>
      </c>
      <c r="G29" s="34" t="str">
        <f>VLOOKUP(D29,DBASE!$B$3:$P$923,6,FALSE)</f>
        <v>Jenggawah</v>
      </c>
      <c r="H29" s="34" t="str">
        <f>VLOOKUP(D29,DBASE!$B$3:$P$923,7,FALSE)</f>
        <v>Jember</v>
      </c>
      <c r="I29" s="35" t="str">
        <f>VLOOKUP(D29,DBASE!$B$3:$P$923,8,FALSE)</f>
        <v>'113.674099</v>
      </c>
      <c r="J29" s="35" t="str">
        <f>VLOOKUP(D29,DBASE!$B$3:$P$923,9,FALSE)</f>
        <v>'-8.299449</v>
      </c>
    </row>
    <row r="30" spans="2:10" x14ac:dyDescent="0.25">
      <c r="B30" s="33">
        <v>26</v>
      </c>
      <c r="C30" s="34" t="str">
        <f>VLOOKUP(D30,DBASE!$B$3:$P$923,2,FALSE)</f>
        <v>Jember</v>
      </c>
      <c r="D30" s="33">
        <f>DBASE!B869</f>
        <v>350809031</v>
      </c>
      <c r="E30" s="34" t="str">
        <f>VLOOKUP(D30,DBASE!$B$3:$P$923,3,FALSE)</f>
        <v>-</v>
      </c>
      <c r="F30" s="34" t="str">
        <f>VLOOKUP(D30,DBASE!$B$3:$P$923,5,FALSE)</f>
        <v>Kebonsari</v>
      </c>
      <c r="G30" s="34" t="str">
        <f>VLOOKUP(D30,DBASE!$B$3:$P$923,6,FALSE)</f>
        <v>Sumbersari</v>
      </c>
      <c r="H30" s="34" t="str">
        <f>VLOOKUP(D30,DBASE!$B$3:$P$923,7,FALSE)</f>
        <v>Jember</v>
      </c>
      <c r="I30" s="35" t="str">
        <f>VLOOKUP(D30,DBASE!$B$3:$P$923,8,FALSE)</f>
        <v>'113.707633</v>
      </c>
      <c r="J30" s="35" t="str">
        <f>VLOOKUP(D30,DBASE!$B$3:$P$923,9,FALSE)</f>
        <v>'-8.195233</v>
      </c>
    </row>
    <row r="31" spans="2:10" x14ac:dyDescent="0.25">
      <c r="B31" s="33">
        <v>27</v>
      </c>
      <c r="C31" s="34" t="str">
        <f>VLOOKUP(D31,DBASE!$B$3:$P$923,2,FALSE)</f>
        <v>Jambearum</v>
      </c>
      <c r="D31" s="33">
        <f>DBASE!B870</f>
        <v>350809032</v>
      </c>
      <c r="E31" s="34" t="str">
        <f>VLOOKUP(D31,DBASE!$B$3:$P$923,3,FALSE)</f>
        <v>-</v>
      </c>
      <c r="F31" s="34" t="str">
        <f>VLOOKUP(D31,DBASE!$B$3:$P$923,5,FALSE)</f>
        <v>Jambearum</v>
      </c>
      <c r="G31" s="34" t="str">
        <f>VLOOKUP(D31,DBASE!$B$3:$P$923,6,FALSE)</f>
        <v>Puger</v>
      </c>
      <c r="H31" s="34" t="str">
        <f>VLOOKUP(D31,DBASE!$B$3:$P$923,7,FALSE)</f>
        <v>Jember</v>
      </c>
      <c r="I31" s="35" t="str">
        <f>VLOOKUP(D31,DBASE!$B$3:$P$923,8,FALSE)</f>
        <v>'113.5111330</v>
      </c>
      <c r="J31" s="35" t="str">
        <f>VLOOKUP(D31,DBASE!$B$3:$P$923,9,FALSE)</f>
        <v>'-8.2944670</v>
      </c>
    </row>
    <row r="32" spans="2:10" x14ac:dyDescent="0.25">
      <c r="B32" s="33">
        <v>28</v>
      </c>
      <c r="C32" s="34" t="str">
        <f>VLOOKUP(D32,DBASE!$B$3:$P$923,2,FALSE)</f>
        <v>Jenggawah</v>
      </c>
      <c r="D32" s="33">
        <f>DBASE!B871</f>
        <v>350809033</v>
      </c>
      <c r="E32" s="34" t="str">
        <f>VLOOKUP(D32,DBASE!$B$3:$P$923,3,FALSE)</f>
        <v>-</v>
      </c>
      <c r="F32" s="34" t="str">
        <f>VLOOKUP(D32,DBASE!$B$3:$P$923,5,FALSE)</f>
        <v>Jenggawah</v>
      </c>
      <c r="G32" s="34" t="str">
        <f>VLOOKUP(D32,DBASE!$B$3:$P$923,6,FALSE)</f>
        <v>Jenggawah</v>
      </c>
      <c r="H32" s="34" t="str">
        <f>VLOOKUP(D32,DBASE!$B$3:$P$923,7,FALSE)</f>
        <v>Jember</v>
      </c>
      <c r="I32" s="35" t="str">
        <f>VLOOKUP(D32,DBASE!$B$3:$P$923,8,FALSE)</f>
        <v>'113.650633</v>
      </c>
      <c r="J32" s="35" t="str">
        <f>VLOOKUP(D32,DBASE!$B$3:$P$923,9,FALSE)</f>
        <v>'-8.254100</v>
      </c>
    </row>
    <row r="33" spans="2:10" x14ac:dyDescent="0.25">
      <c r="B33" s="33">
        <v>29</v>
      </c>
      <c r="C33" s="34" t="str">
        <f>VLOOKUP(D33,DBASE!$B$3:$P$923,2,FALSE)</f>
        <v>Kesilir</v>
      </c>
      <c r="D33" s="33">
        <f>DBASE!B872</f>
        <v>350809034</v>
      </c>
      <c r="E33" s="34" t="str">
        <f>VLOOKUP(D33,DBASE!$B$3:$P$923,3,FALSE)</f>
        <v>-</v>
      </c>
      <c r="F33" s="34" t="str">
        <f>VLOOKUP(D33,DBASE!$B$3:$P$923,5,FALSE)</f>
        <v>Kesilir</v>
      </c>
      <c r="G33" s="34" t="str">
        <f>VLOOKUP(D33,DBASE!$B$3:$P$923,6,FALSE)</f>
        <v>Wuluhan</v>
      </c>
      <c r="H33" s="34" t="str">
        <f>VLOOKUP(D33,DBASE!$B$3:$P$923,7,FALSE)</f>
        <v>Jember</v>
      </c>
      <c r="I33" s="35" t="str">
        <f>VLOOKUP(D33,DBASE!$B$3:$P$923,8,FALSE)</f>
        <v>'113.5878</v>
      </c>
      <c r="J33" s="35" t="str">
        <f>VLOOKUP(D33,DBASE!$B$3:$P$923,9,FALSE)</f>
        <v>'-8.354199</v>
      </c>
    </row>
    <row r="34" spans="2:10" x14ac:dyDescent="0.25">
      <c r="B34" s="33">
        <v>30</v>
      </c>
      <c r="C34" s="34" t="str">
        <f>VLOOKUP(D34,DBASE!$B$3:$P$923,2,FALSE)</f>
        <v>Kopang</v>
      </c>
      <c r="D34" s="33">
        <f>DBASE!B873</f>
        <v>350809035</v>
      </c>
      <c r="E34" s="34" t="str">
        <f>VLOOKUP(D34,DBASE!$B$3:$P$923,3,FALSE)</f>
        <v>-</v>
      </c>
      <c r="F34" s="34" t="str">
        <f>VLOOKUP(D34,DBASE!$B$3:$P$923,5,FALSE)</f>
        <v>Darsono</v>
      </c>
      <c r="G34" s="34" t="str">
        <f>VLOOKUP(D34,DBASE!$B$3:$P$923,6,FALSE)</f>
        <v>Arjasa</v>
      </c>
      <c r="H34" s="34" t="str">
        <f>VLOOKUP(D34,DBASE!$B$3:$P$923,7,FALSE)</f>
        <v>Jember</v>
      </c>
      <c r="I34" s="35" t="str">
        <f>VLOOKUP(D34,DBASE!$B$3:$P$923,8,FALSE)</f>
        <v>'113.719233</v>
      </c>
      <c r="J34" s="35" t="str">
        <f>VLOOKUP(D34,DBASE!$B$3:$P$923,9,FALSE)</f>
        <v>'-8.1049170</v>
      </c>
    </row>
    <row r="35" spans="2:10" x14ac:dyDescent="0.25">
      <c r="B35" s="33">
        <v>31</v>
      </c>
      <c r="C35" s="34" t="str">
        <f>VLOOKUP(D35,DBASE!$B$3:$P$923,2,FALSE)</f>
        <v>Kottok</v>
      </c>
      <c r="D35" s="33">
        <f>DBASE!B874</f>
        <v>350809036</v>
      </c>
      <c r="E35" s="34" t="str">
        <f>VLOOKUP(D35,DBASE!$B$3:$P$923,3,FALSE)</f>
        <v>-</v>
      </c>
      <c r="F35" s="34" t="str">
        <f>VLOOKUP(D35,DBASE!$B$3:$P$923,5,FALSE)</f>
        <v>Bedadung</v>
      </c>
      <c r="G35" s="34" t="str">
        <f>VLOOKUP(D35,DBASE!$B$3:$P$923,6,FALSE)</f>
        <v>Pakusari</v>
      </c>
      <c r="H35" s="34" t="str">
        <f>VLOOKUP(D35,DBASE!$B$3:$P$923,7,FALSE)</f>
        <v>Jember</v>
      </c>
      <c r="I35" s="35" t="str">
        <f>VLOOKUP(D35,DBASE!$B$3:$P$923,8,FALSE)</f>
        <v>'113.771083</v>
      </c>
      <c r="J35" s="35" t="str">
        <f>VLOOKUP(D35,DBASE!$B$3:$P$923,9,FALSE)</f>
        <v>'-8.121600</v>
      </c>
    </row>
    <row r="36" spans="2:10" x14ac:dyDescent="0.25">
      <c r="B36" s="33">
        <v>32</v>
      </c>
      <c r="C36" s="34" t="str">
        <f>VLOOKUP(D36,DBASE!$B$3:$P$923,2,FALSE)</f>
        <v>Karang Anyar</v>
      </c>
      <c r="D36" s="33">
        <f>DBASE!B875</f>
        <v>350809037</v>
      </c>
      <c r="E36" s="34" t="str">
        <f>VLOOKUP(D36,DBASE!$B$3:$P$923,3,FALSE)</f>
        <v>-</v>
      </c>
      <c r="F36" s="34" t="str">
        <f>VLOOKUP(D36,DBASE!$B$3:$P$923,5,FALSE)</f>
        <v>Ambulu</v>
      </c>
      <c r="G36" s="34" t="str">
        <f>VLOOKUP(D36,DBASE!$B$3:$P$923,6,FALSE)</f>
        <v>Ambulu</v>
      </c>
      <c r="H36" s="34" t="str">
        <f>VLOOKUP(D36,DBASE!$B$3:$P$923,7,FALSE)</f>
        <v>Jember</v>
      </c>
      <c r="I36" s="35" t="str">
        <f>VLOOKUP(D36,DBASE!$B$3:$P$923,8,FALSE)</f>
        <v>'113.60835</v>
      </c>
      <c r="J36" s="35" t="str">
        <f>VLOOKUP(D36,DBASE!$B$3:$P$923,9,FALSE)</f>
        <v>'-8.3428833</v>
      </c>
    </row>
    <row r="37" spans="2:10" x14ac:dyDescent="0.25">
      <c r="B37" s="33">
        <v>33</v>
      </c>
      <c r="C37" s="34" t="str">
        <f>VLOOKUP(D37,DBASE!$B$3:$P$923,2,FALSE)</f>
        <v>Karangduren</v>
      </c>
      <c r="D37" s="33">
        <f>DBASE!B876</f>
        <v>350809038</v>
      </c>
      <c r="E37" s="34" t="str">
        <f>VLOOKUP(D37,DBASE!$B$3:$P$923,3,FALSE)</f>
        <v>-</v>
      </c>
      <c r="F37" s="34" t="str">
        <f>VLOOKUP(D37,DBASE!$B$3:$P$923,5,FALSE)</f>
        <v>Karangduren</v>
      </c>
      <c r="G37" s="34" t="str">
        <f>VLOOKUP(D37,DBASE!$B$3:$P$923,6,FALSE)</f>
        <v>Balung</v>
      </c>
      <c r="H37" s="34" t="str">
        <f>VLOOKUP(D37,DBASE!$B$3:$P$923,7,FALSE)</f>
        <v>Jember</v>
      </c>
      <c r="I37" s="35" t="str">
        <f>VLOOKUP(D37,DBASE!$B$3:$P$923,8,FALSE)</f>
        <v>'113.48980</v>
      </c>
      <c r="J37" s="35" t="str">
        <f>VLOOKUP(D37,DBASE!$B$3:$P$923,9,FALSE)</f>
        <v>'-8.2718170</v>
      </c>
    </row>
    <row r="38" spans="2:10" x14ac:dyDescent="0.25">
      <c r="B38" s="33">
        <v>34</v>
      </c>
      <c r="C38" s="34" t="str">
        <f>VLOOKUP(D38,DBASE!$B$3:$P$923,2,FALSE)</f>
        <v>Kemuningsari</v>
      </c>
      <c r="D38" s="33">
        <f>DBASE!B877</f>
        <v>350809039</v>
      </c>
      <c r="E38" s="34" t="str">
        <f>VLOOKUP(D38,DBASE!$B$3:$P$923,3,FALSE)</f>
        <v>-</v>
      </c>
      <c r="F38" s="34" t="str">
        <f>VLOOKUP(D38,DBASE!$B$3:$P$923,5,FALSE)</f>
        <v>Kemuningsarikidul</v>
      </c>
      <c r="G38" s="34" t="str">
        <f>VLOOKUP(D38,DBASE!$B$3:$P$923,6,FALSE)</f>
        <v>Jenggawah</v>
      </c>
      <c r="H38" s="34" t="str">
        <f>VLOOKUP(D38,DBASE!$B$3:$P$923,7,FALSE)</f>
        <v>Jember</v>
      </c>
      <c r="I38" s="35" t="str">
        <f>VLOOKUP(D38,DBASE!$B$3:$P$923,8,FALSE)</f>
        <v>'113.615266</v>
      </c>
      <c r="J38" s="35" t="str">
        <f>VLOOKUP(D38,DBASE!$B$3:$P$923,9,FALSE)</f>
        <v>'-8.287283</v>
      </c>
    </row>
    <row r="39" spans="2:10" x14ac:dyDescent="0.25">
      <c r="B39" s="33">
        <v>35</v>
      </c>
      <c r="C39" s="34" t="str">
        <f>VLOOKUP(D39,DBASE!$B$3:$P$923,2,FALSE)</f>
        <v>Kencong (28K)</v>
      </c>
      <c r="D39" s="33">
        <f>DBASE!B878</f>
        <v>350809040</v>
      </c>
      <c r="E39" s="34" t="str">
        <f>VLOOKUP(D39,DBASE!$B$3:$P$923,3,FALSE)</f>
        <v>-</v>
      </c>
      <c r="F39" s="34" t="str">
        <f>VLOOKUP(D39,DBASE!$B$3:$P$923,5,FALSE)</f>
        <v>Kencong</v>
      </c>
      <c r="G39" s="34" t="str">
        <f>VLOOKUP(D39,DBASE!$B$3:$P$923,6,FALSE)</f>
        <v>Kencong</v>
      </c>
      <c r="H39" s="34" t="str">
        <f>VLOOKUP(D39,DBASE!$B$3:$P$923,7,FALSE)</f>
        <v>Jember</v>
      </c>
      <c r="I39" s="35" t="str">
        <f>VLOOKUP(D39,DBASE!$B$3:$P$923,8,FALSE)</f>
        <v>'113.37196</v>
      </c>
      <c r="J39" s="35" t="str">
        <f>VLOOKUP(D39,DBASE!$B$3:$P$923,9,FALSE)</f>
        <v>'-8.270000</v>
      </c>
    </row>
    <row r="40" spans="2:10" x14ac:dyDescent="0.25">
      <c r="B40" s="33">
        <v>36</v>
      </c>
      <c r="C40" s="34" t="str">
        <f>VLOOKUP(D40,DBASE!$B$3:$P$923,2,FALSE)</f>
        <v>Kencong</v>
      </c>
      <c r="D40" s="33">
        <f>DBASE!B879</f>
        <v>350809041</v>
      </c>
      <c r="E40" s="34" t="str">
        <f>VLOOKUP(D40,DBASE!$B$3:$P$923,3,FALSE)</f>
        <v>-</v>
      </c>
      <c r="F40" s="34" t="str">
        <f>VLOOKUP(D40,DBASE!$B$3:$P$923,5,FALSE)</f>
        <v>Kencong</v>
      </c>
      <c r="G40" s="34" t="str">
        <f>VLOOKUP(D40,DBASE!$B$3:$P$923,6,FALSE)</f>
        <v>Kencong</v>
      </c>
      <c r="H40" s="34" t="str">
        <f>VLOOKUP(D40,DBASE!$B$3:$P$923,7,FALSE)</f>
        <v>Jember</v>
      </c>
      <c r="I40" s="35" t="str">
        <f>VLOOKUP(D40,DBASE!$B$3:$P$923,8,FALSE)</f>
        <v>'113.368383</v>
      </c>
      <c r="J40" s="35" t="str">
        <f>VLOOKUP(D40,DBASE!$B$3:$P$923,9,FALSE)</f>
        <v>'-8.273116</v>
      </c>
    </row>
    <row r="41" spans="2:10" x14ac:dyDescent="0.25">
      <c r="B41" s="33">
        <v>37</v>
      </c>
      <c r="C41" s="34" t="str">
        <f>VLOOKUP(D41,DBASE!$B$3:$P$923,2,FALSE)</f>
        <v>Karang Kedawung</v>
      </c>
      <c r="D41" s="33">
        <f>DBASE!B880</f>
        <v>350809042</v>
      </c>
      <c r="E41" s="34" t="str">
        <f>VLOOKUP(D41,DBASE!$B$3:$P$923,3,FALSE)</f>
        <v>-</v>
      </c>
      <c r="F41" s="34" t="str">
        <f>VLOOKUP(D41,DBASE!$B$3:$P$923,5,FALSE)</f>
        <v>Karang Kedawung</v>
      </c>
      <c r="G41" s="34" t="str">
        <f>VLOOKUP(D41,DBASE!$B$3:$P$923,6,FALSE)</f>
        <v>Mumbulsari</v>
      </c>
      <c r="H41" s="34" t="str">
        <f>VLOOKUP(D41,DBASE!$B$3:$P$923,7,FALSE)</f>
        <v>Jember</v>
      </c>
      <c r="I41" s="35" t="str">
        <f>VLOOKUP(D41,DBASE!$B$3:$P$923,8,FALSE)</f>
        <v>'113.755050</v>
      </c>
      <c r="J41" s="35" t="str">
        <f>VLOOKUP(D41,DBASE!$B$3:$P$923,9,FALSE)</f>
        <v>'-8.233917</v>
      </c>
    </row>
    <row r="42" spans="2:10" x14ac:dyDescent="0.25">
      <c r="B42" s="33">
        <v>38</v>
      </c>
      <c r="C42" s="34" t="str">
        <f>VLOOKUP(D42,DBASE!$B$3:$P$923,2,FALSE)</f>
        <v>Lojejer</v>
      </c>
      <c r="D42" s="33">
        <f>DBASE!B881</f>
        <v>350809043</v>
      </c>
      <c r="E42" s="34" t="str">
        <f>VLOOKUP(D42,DBASE!$B$3:$P$923,3,FALSE)</f>
        <v>-</v>
      </c>
      <c r="F42" s="34" t="str">
        <f>VLOOKUP(D42,DBASE!$B$3:$P$923,5,FALSE)</f>
        <v>Lojejer</v>
      </c>
      <c r="G42" s="34" t="str">
        <f>VLOOKUP(D42,DBASE!$B$3:$P$923,6,FALSE)</f>
        <v>Wuluhan</v>
      </c>
      <c r="H42" s="34" t="str">
        <f>VLOOKUP(D42,DBASE!$B$3:$P$923,7,FALSE)</f>
        <v>Jember</v>
      </c>
      <c r="I42" s="35" t="str">
        <f>VLOOKUP(D42,DBASE!$B$3:$P$923,8,FALSE)</f>
        <v>'113.5076830</v>
      </c>
      <c r="J42" s="35" t="str">
        <f>VLOOKUP(D42,DBASE!$B$3:$P$923,9,FALSE)</f>
        <v>'-8.3490000</v>
      </c>
    </row>
    <row r="43" spans="2:10" x14ac:dyDescent="0.25">
      <c r="B43" s="33">
        <v>39</v>
      </c>
      <c r="C43" s="34" t="str">
        <f>VLOOKUP(D43,DBASE!$B$3:$P$923,2,FALSE)</f>
        <v>Ledokombo</v>
      </c>
      <c r="D43" s="33">
        <f>DBASE!B882</f>
        <v>350809044</v>
      </c>
      <c r="E43" s="34" t="str">
        <f>VLOOKUP(D43,DBASE!$B$3:$P$923,3,FALSE)</f>
        <v>-</v>
      </c>
      <c r="F43" s="34" t="str">
        <f>VLOOKUP(D43,DBASE!$B$3:$P$923,5,FALSE)</f>
        <v>Ledokombo</v>
      </c>
      <c r="G43" s="34" t="str">
        <f>VLOOKUP(D43,DBASE!$B$3:$P$923,6,FALSE)</f>
        <v>Ledokombo</v>
      </c>
      <c r="H43" s="34" t="str">
        <f>VLOOKUP(D43,DBASE!$B$3:$P$923,7,FALSE)</f>
        <v>Jember</v>
      </c>
      <c r="I43" s="35" t="str">
        <f>VLOOKUP(D43,DBASE!$B$3:$P$923,8,FALSE)</f>
        <v>'113.870233</v>
      </c>
      <c r="J43" s="35" t="str">
        <f>VLOOKUP(D43,DBASE!$B$3:$P$923,9,FALSE)</f>
        <v>'-8.141189</v>
      </c>
    </row>
    <row r="44" spans="2:10" x14ac:dyDescent="0.25">
      <c r="B44" s="33">
        <v>40</v>
      </c>
      <c r="C44" s="34" t="str">
        <f>VLOOKUP(D44,DBASE!$B$3:$P$923,2,FALSE)</f>
        <v>Pakusari</v>
      </c>
      <c r="D44" s="33">
        <f>DBASE!B883</f>
        <v>350809045</v>
      </c>
      <c r="E44" s="34" t="str">
        <f>VLOOKUP(D44,DBASE!$B$3:$P$923,3,FALSE)</f>
        <v>-</v>
      </c>
      <c r="F44" s="34" t="str">
        <f>VLOOKUP(D44,DBASE!$B$3:$P$923,5,FALSE)</f>
        <v>Pakusari</v>
      </c>
      <c r="G44" s="34" t="str">
        <f>VLOOKUP(D44,DBASE!$B$3:$P$923,6,FALSE)</f>
        <v>Pakusari</v>
      </c>
      <c r="H44" s="34" t="str">
        <f>VLOOKUP(D44,DBASE!$B$3:$P$923,7,FALSE)</f>
        <v>Jember</v>
      </c>
      <c r="I44" s="35" t="str">
        <f>VLOOKUP(D44,DBASE!$B$3:$P$923,8,FALSE)</f>
        <v>'113.787250</v>
      </c>
      <c r="J44" s="35" t="str">
        <f>VLOOKUP(D44,DBASE!$B$3:$P$923,9,FALSE)</f>
        <v>'-8.1773500</v>
      </c>
    </row>
    <row r="45" spans="2:10" x14ac:dyDescent="0.25">
      <c r="B45" s="33">
        <v>41</v>
      </c>
      <c r="C45" s="34" t="str">
        <f>VLOOKUP(D45,DBASE!$B$3:$P$923,2,FALSE)</f>
        <v>Puger</v>
      </c>
      <c r="D45" s="33">
        <f>DBASE!B884</f>
        <v>350809046</v>
      </c>
      <c r="E45" s="34" t="str">
        <f>VLOOKUP(D45,DBASE!$B$3:$P$923,3,FALSE)</f>
        <v>-</v>
      </c>
      <c r="F45" s="34" t="str">
        <f>VLOOKUP(D45,DBASE!$B$3:$P$923,5,FALSE)</f>
        <v>Wonosari</v>
      </c>
      <c r="G45" s="34" t="str">
        <f>VLOOKUP(D45,DBASE!$B$3:$P$923,6,FALSE)</f>
        <v>Puger</v>
      </c>
      <c r="H45" s="34" t="str">
        <f>VLOOKUP(D45,DBASE!$B$3:$P$923,7,FALSE)</f>
        <v>Jember</v>
      </c>
      <c r="I45" s="35" t="str">
        <f>VLOOKUP(D45,DBASE!$B$3:$P$923,8,FALSE)</f>
        <v>'113.49960</v>
      </c>
      <c r="J45" s="35" t="str">
        <f>VLOOKUP(D45,DBASE!$B$3:$P$923,9,FALSE)</f>
        <v>'-8.3346330</v>
      </c>
    </row>
    <row r="46" spans="2:10" x14ac:dyDescent="0.25">
      <c r="B46" s="33">
        <v>42</v>
      </c>
      <c r="C46" s="34" t="str">
        <f>VLOOKUP(D46,DBASE!$B$3:$P$923,2,FALSE)</f>
        <v>Paleran</v>
      </c>
      <c r="D46" s="33">
        <f>DBASE!B885</f>
        <v>350809047</v>
      </c>
      <c r="E46" s="34" t="str">
        <f>VLOOKUP(D46,DBASE!$B$3:$P$923,3,FALSE)</f>
        <v>-</v>
      </c>
      <c r="F46" s="34" t="str">
        <f>VLOOKUP(D46,DBASE!$B$3:$P$923,5,FALSE)</f>
        <v>Paleran</v>
      </c>
      <c r="G46" s="34" t="str">
        <f>VLOOKUP(D46,DBASE!$B$3:$P$923,6,FALSE)</f>
        <v>Umbulsari</v>
      </c>
      <c r="H46" s="34" t="str">
        <f>VLOOKUP(D46,DBASE!$B$3:$P$923,7,FALSE)</f>
        <v>Jember</v>
      </c>
      <c r="I46" s="35" t="str">
        <f>VLOOKUP(D46,DBASE!$B$3:$P$923,8,FALSE)</f>
        <v>'113.477767</v>
      </c>
      <c r="J46" s="35" t="str">
        <f>VLOOKUP(D46,DBASE!$B$3:$P$923,9,FALSE)</f>
        <v>'-8.229917</v>
      </c>
    </row>
    <row r="47" spans="2:10" x14ac:dyDescent="0.25">
      <c r="B47" s="33">
        <v>43</v>
      </c>
      <c r="C47" s="34" t="str">
        <f>VLOOKUP(D47,DBASE!$B$3:$P$923,2,FALSE)</f>
        <v>Pladingan</v>
      </c>
      <c r="D47" s="33">
        <f>DBASE!B886</f>
        <v>350809048</v>
      </c>
      <c r="E47" s="34" t="str">
        <f>VLOOKUP(D47,DBASE!$B$3:$P$923,3,FALSE)</f>
        <v>-</v>
      </c>
      <c r="F47" s="34" t="str">
        <f>VLOOKUP(D47,DBASE!$B$3:$P$923,5,FALSE)</f>
        <v>Ngampelrejo</v>
      </c>
      <c r="G47" s="34" t="str">
        <f>VLOOKUP(D47,DBASE!$B$3:$P$923,6,FALSE)</f>
        <v>Jombang</v>
      </c>
      <c r="H47" s="34" t="str">
        <f>VLOOKUP(D47,DBASE!$B$3:$P$923,7,FALSE)</f>
        <v>Jember</v>
      </c>
      <c r="I47" s="35" t="str">
        <f>VLOOKUP(D47,DBASE!$B$3:$P$923,8,FALSE)</f>
        <v>'113.35175000000</v>
      </c>
      <c r="J47" s="35" t="str">
        <f>VLOOKUP(D47,DBASE!$B$3:$P$923,9,FALSE)</f>
        <v>'-8.22798300000</v>
      </c>
    </row>
    <row r="48" spans="2:10" x14ac:dyDescent="0.25">
      <c r="B48" s="33">
        <v>44</v>
      </c>
      <c r="C48" s="34" t="str">
        <f>VLOOKUP(D48,DBASE!$B$3:$P$923,2,FALSE)</f>
        <v>Pondokjoyo</v>
      </c>
      <c r="D48" s="33">
        <f>DBASE!B887</f>
        <v>350809049</v>
      </c>
      <c r="E48" s="34" t="str">
        <f>VLOOKUP(D48,DBASE!$B$3:$P$923,3,FALSE)</f>
        <v>-</v>
      </c>
      <c r="F48" s="34" t="str">
        <f>VLOOKUP(D48,DBASE!$B$3:$P$923,5,FALSE)</f>
        <v>Pondokjoyo</v>
      </c>
      <c r="G48" s="34" t="str">
        <f>VLOOKUP(D48,DBASE!$B$3:$P$923,6,FALSE)</f>
        <v>Semboro</v>
      </c>
      <c r="H48" s="34" t="str">
        <f>VLOOKUP(D48,DBASE!$B$3:$P$923,7,FALSE)</f>
        <v>Jember</v>
      </c>
      <c r="I48" s="35" t="str">
        <f>VLOOKUP(D48,DBASE!$B$3:$P$923,8,FALSE)</f>
        <v>'113.42885</v>
      </c>
      <c r="J48" s="35" t="str">
        <f>VLOOKUP(D48,DBASE!$B$3:$P$923,9,FALSE)</f>
        <v>'-8.1500166</v>
      </c>
    </row>
    <row r="49" spans="2:10" x14ac:dyDescent="0.25">
      <c r="B49" s="33">
        <v>45</v>
      </c>
      <c r="C49" s="34" t="str">
        <f>VLOOKUP(D49,DBASE!$B$3:$P$923,2,FALSE)</f>
        <v>Pondokwaluh</v>
      </c>
      <c r="D49" s="33">
        <f>DBASE!B888</f>
        <v>350809051</v>
      </c>
      <c r="E49" s="34" t="str">
        <f>VLOOKUP(D49,DBASE!$B$3:$P$923,3,FALSE)</f>
        <v>-</v>
      </c>
      <c r="F49" s="34" t="str">
        <f>VLOOKUP(D49,DBASE!$B$3:$P$923,5,FALSE)</f>
        <v>Wringinagung</v>
      </c>
      <c r="G49" s="34" t="str">
        <f>VLOOKUP(D49,DBASE!$B$3:$P$923,6,FALSE)</f>
        <v>Jombang</v>
      </c>
      <c r="H49" s="34" t="str">
        <f>VLOOKUP(D49,DBASE!$B$3:$P$923,7,FALSE)</f>
        <v>Jember</v>
      </c>
      <c r="I49" s="35" t="str">
        <f>VLOOKUP(D49,DBASE!$B$3:$P$923,8,FALSE)</f>
        <v>'113.3891999</v>
      </c>
      <c r="J49" s="35" t="str">
        <f>VLOOKUP(D49,DBASE!$B$3:$P$923,9,FALSE)</f>
        <v>'-8.221866</v>
      </c>
    </row>
    <row r="50" spans="2:10" x14ac:dyDescent="0.25">
      <c r="B50" s="33">
        <v>46</v>
      </c>
      <c r="C50" s="34" t="str">
        <f>VLOOKUP(D50,DBASE!$B$3:$P$923,2,FALSE)</f>
        <v>Rambipuji</v>
      </c>
      <c r="D50" s="33">
        <f>DBASE!B889</f>
        <v>350809052</v>
      </c>
      <c r="E50" s="34" t="str">
        <f>VLOOKUP(D50,DBASE!$B$3:$P$923,3,FALSE)</f>
        <v>-</v>
      </c>
      <c r="F50" s="34" t="str">
        <f>VLOOKUP(D50,DBASE!$B$3:$P$923,5,FALSE)</f>
        <v>Rambipuji</v>
      </c>
      <c r="G50" s="34" t="str">
        <f>VLOOKUP(D50,DBASE!$B$3:$P$923,6,FALSE)</f>
        <v>Rambipuji</v>
      </c>
      <c r="H50" s="34" t="str">
        <f>VLOOKUP(D50,DBASE!$B$3:$P$923,7,FALSE)</f>
        <v>Jember</v>
      </c>
      <c r="I50" s="35" t="str">
        <f>VLOOKUP(D50,DBASE!$B$3:$P$923,8,FALSE)</f>
        <v>'113.6110330</v>
      </c>
      <c r="J50" s="35" t="str">
        <f>VLOOKUP(D50,DBASE!$B$3:$P$923,9,FALSE)</f>
        <v>'-8.2070670</v>
      </c>
    </row>
    <row r="51" spans="2:10" x14ac:dyDescent="0.25">
      <c r="B51" s="33">
        <v>47</v>
      </c>
      <c r="C51" s="34" t="str">
        <f>VLOOKUP(D51,DBASE!$B$3:$P$923,2,FALSE)</f>
        <v>Rawatamtu</v>
      </c>
      <c r="D51" s="33">
        <f>DBASE!B890</f>
        <v>350809053</v>
      </c>
      <c r="E51" s="34" t="str">
        <f>VLOOKUP(D51,DBASE!$B$3:$P$923,3,FALSE)</f>
        <v>-</v>
      </c>
      <c r="F51" s="34" t="str">
        <f>VLOOKUP(D51,DBASE!$B$3:$P$923,5,FALSE)</f>
        <v>Rowotamtu</v>
      </c>
      <c r="G51" s="34" t="str">
        <f>VLOOKUP(D51,DBASE!$B$3:$P$923,6,FALSE)</f>
        <v>Rambipuji</v>
      </c>
      <c r="H51" s="34" t="str">
        <f>VLOOKUP(D51,DBASE!$B$3:$P$923,7,FALSE)</f>
        <v>Jember</v>
      </c>
      <c r="I51" s="35" t="str">
        <f>VLOOKUP(D51,DBASE!$B$3:$P$923,8,FALSE)</f>
        <v>'113.584233</v>
      </c>
      <c r="J51" s="35" t="str">
        <f>VLOOKUP(D51,DBASE!$B$3:$P$923,9,FALSE)</f>
        <v>'-8.229750</v>
      </c>
    </row>
    <row r="52" spans="2:10" x14ac:dyDescent="0.25">
      <c r="B52" s="33">
        <v>48</v>
      </c>
      <c r="C52" s="34" t="str">
        <f>VLOOKUP(D52,DBASE!$B$3:$P$923,2,FALSE)</f>
        <v>Renes (Ajung)</v>
      </c>
      <c r="D52" s="33">
        <f>DBASE!B891</f>
        <v>350809054</v>
      </c>
      <c r="E52" s="34" t="str">
        <f>VLOOKUP(D52,DBASE!$B$3:$P$923,3,FALSE)</f>
        <v>-</v>
      </c>
      <c r="F52" s="34" t="str">
        <f>VLOOKUP(D52,DBASE!$B$3:$P$923,5,FALSE)</f>
        <v>Ajung</v>
      </c>
      <c r="G52" s="34" t="str">
        <f>VLOOKUP(D52,DBASE!$B$3:$P$923,6,FALSE)</f>
        <v>Ajung</v>
      </c>
      <c r="H52" s="34" t="str">
        <f>VLOOKUP(D52,DBASE!$B$3:$P$923,7,FALSE)</f>
        <v>Jember</v>
      </c>
      <c r="I52" s="35" t="str">
        <f>VLOOKUP(D52,DBASE!$B$3:$P$923,8,FALSE)</f>
        <v>'113.66950</v>
      </c>
      <c r="J52" s="35" t="str">
        <f>VLOOKUP(D52,DBASE!$B$3:$P$923,9,FALSE)</f>
        <v>'-8.213733</v>
      </c>
    </row>
    <row r="53" spans="2:10" x14ac:dyDescent="0.25">
      <c r="B53" s="33">
        <v>49</v>
      </c>
      <c r="C53" s="34" t="str">
        <f>VLOOKUP(D53,DBASE!$B$3:$P$923,2,FALSE)</f>
        <v>Silo</v>
      </c>
      <c r="D53" s="33">
        <f>DBASE!B892</f>
        <v>350809055</v>
      </c>
      <c r="E53" s="34" t="str">
        <f>VLOOKUP(D53,DBASE!$B$3:$P$923,3,FALSE)</f>
        <v>-</v>
      </c>
      <c r="F53" s="34" t="str">
        <f>VLOOKUP(D53,DBASE!$B$3:$P$923,5,FALSE)</f>
        <v>Silo</v>
      </c>
      <c r="G53" s="34" t="str">
        <f>VLOOKUP(D53,DBASE!$B$3:$P$923,6,FALSE)</f>
        <v>Silo</v>
      </c>
      <c r="H53" s="34" t="str">
        <f>VLOOKUP(D53,DBASE!$B$3:$P$923,7,FALSE)</f>
        <v>Jember</v>
      </c>
      <c r="I53" s="35" t="str">
        <f>VLOOKUP(D53,DBASE!$B$3:$P$923,8,FALSE)</f>
        <v>'113.8669170</v>
      </c>
      <c r="J53" s="35" t="str">
        <f>VLOOKUP(D53,DBASE!$B$3:$P$923,9,FALSE)</f>
        <v>'-8.1953000</v>
      </c>
    </row>
    <row r="54" spans="2:10" x14ac:dyDescent="0.25">
      <c r="B54" s="33">
        <v>50</v>
      </c>
      <c r="C54" s="34" t="str">
        <f>VLOOKUP(D54,DBASE!$B$3:$P$923,2,FALSE)</f>
        <v>Suren</v>
      </c>
      <c r="D54" s="33">
        <f>DBASE!B893</f>
        <v>350809056</v>
      </c>
      <c r="E54" s="34" t="str">
        <f>VLOOKUP(D54,DBASE!$B$3:$P$923,3,FALSE)</f>
        <v>-</v>
      </c>
      <c r="F54" s="34" t="str">
        <f>VLOOKUP(D54,DBASE!$B$3:$P$923,5,FALSE)</f>
        <v>Suren</v>
      </c>
      <c r="G54" s="34" t="str">
        <f>VLOOKUP(D54,DBASE!$B$3:$P$923,6,FALSE)</f>
        <v>Ledokombo</v>
      </c>
      <c r="H54" s="34" t="str">
        <f>VLOOKUP(D54,DBASE!$B$3:$P$923,7,FALSE)</f>
        <v>Jember</v>
      </c>
      <c r="I54" s="35" t="str">
        <f>VLOOKUP(D54,DBASE!$B$3:$P$923,8,FALSE)</f>
        <v>'113.8490670</v>
      </c>
      <c r="J54" s="35" t="str">
        <f>VLOOKUP(D54,DBASE!$B$3:$P$923,9,FALSE)</f>
        <v>'-8.163900</v>
      </c>
    </row>
    <row r="55" spans="2:10" x14ac:dyDescent="0.25">
      <c r="B55" s="33">
        <v>51</v>
      </c>
      <c r="C55" s="34" t="str">
        <f>VLOOKUP(D55,DBASE!$B$3:$P$923,2,FALSE)</f>
        <v>Sabrang  DM. 4</v>
      </c>
      <c r="D55" s="33">
        <f>DBASE!B894</f>
        <v>350809057</v>
      </c>
      <c r="E55" s="34" t="str">
        <f>VLOOKUP(D55,DBASE!$B$3:$P$923,3,FALSE)</f>
        <v>-</v>
      </c>
      <c r="F55" s="34" t="str">
        <f>VLOOKUP(D55,DBASE!$B$3:$P$923,5,FALSE)</f>
        <v>Sabrang</v>
      </c>
      <c r="G55" s="34" t="str">
        <f>VLOOKUP(D55,DBASE!$B$3:$P$923,6,FALSE)</f>
        <v>Ambulu</v>
      </c>
      <c r="H55" s="34" t="str">
        <f>VLOOKUP(D55,DBASE!$B$3:$P$923,7,FALSE)</f>
        <v>Jember</v>
      </c>
      <c r="I55" s="35" t="str">
        <f>VLOOKUP(D55,DBASE!$B$3:$P$923,8,FALSE)</f>
        <v>'113.5424</v>
      </c>
      <c r="J55" s="35" t="str">
        <f>VLOOKUP(D55,DBASE!$B$3:$P$923,9,FALSE)</f>
        <v>'-8.3889670</v>
      </c>
    </row>
    <row r="56" spans="2:10" x14ac:dyDescent="0.25">
      <c r="B56" s="33">
        <v>52</v>
      </c>
      <c r="C56" s="34" t="str">
        <f>VLOOKUP(D56,DBASE!$B$3:$P$923,2,FALSE)</f>
        <v>Sabrang  SB. 1</v>
      </c>
      <c r="D56" s="33">
        <f>DBASE!B895</f>
        <v>350809058</v>
      </c>
      <c r="E56" s="34" t="str">
        <f>VLOOKUP(D56,DBASE!$B$3:$P$923,3,FALSE)</f>
        <v>-</v>
      </c>
      <c r="F56" s="34" t="str">
        <f>VLOOKUP(D56,DBASE!$B$3:$P$923,5,FALSE)</f>
        <v>Sabrang</v>
      </c>
      <c r="G56" s="34" t="str">
        <f>VLOOKUP(D56,DBASE!$B$3:$P$923,6,FALSE)</f>
        <v>Ambulu</v>
      </c>
      <c r="H56" s="34" t="str">
        <f>VLOOKUP(D56,DBASE!$B$3:$P$923,7,FALSE)</f>
        <v>Jember</v>
      </c>
      <c r="I56" s="35" t="str">
        <f>VLOOKUP(D56,DBASE!$B$3:$P$923,8,FALSE)</f>
        <v>'113.596916</v>
      </c>
      <c r="J56" s="35" t="str">
        <f>VLOOKUP(D56,DBASE!$B$3:$P$923,9,FALSE)</f>
        <v>'-8.3751999</v>
      </c>
    </row>
    <row r="57" spans="2:10" x14ac:dyDescent="0.25">
      <c r="B57" s="33">
        <v>53</v>
      </c>
      <c r="C57" s="34" t="str">
        <f>VLOOKUP(D57,DBASE!$B$3:$P$923,2,FALSE)</f>
        <v>Sanenrejo</v>
      </c>
      <c r="D57" s="33">
        <f>DBASE!B896</f>
        <v>350809059</v>
      </c>
      <c r="E57" s="34" t="str">
        <f>VLOOKUP(D57,DBASE!$B$3:$P$923,3,FALSE)</f>
        <v>-</v>
      </c>
      <c r="F57" s="34" t="str">
        <f>VLOOKUP(D57,DBASE!$B$3:$P$923,5,FALSE)</f>
        <v>Sanenrejo</v>
      </c>
      <c r="G57" s="34" t="str">
        <f>VLOOKUP(D57,DBASE!$B$3:$P$923,6,FALSE)</f>
        <v>Tempurejo</v>
      </c>
      <c r="H57" s="34" t="str">
        <f>VLOOKUP(D57,DBASE!$B$3:$P$923,7,FALSE)</f>
        <v>Jember</v>
      </c>
      <c r="I57" s="35" t="str">
        <f>VLOOKUP(D57,DBASE!$B$3:$P$923,8,FALSE)</f>
        <v>'113.7858166</v>
      </c>
      <c r="J57" s="35" t="str">
        <f>VLOOKUP(D57,DBASE!$B$3:$P$923,9,FALSE)</f>
        <v>'-8.36286</v>
      </c>
    </row>
    <row r="58" spans="2:10" x14ac:dyDescent="0.25">
      <c r="B58" s="33">
        <v>54</v>
      </c>
      <c r="C58" s="34" t="str">
        <f>VLOOKUP(D58,DBASE!$B$3:$P$923,2,FALSE)</f>
        <v>Sbr.  Jambe</v>
      </c>
      <c r="D58" s="33">
        <f>DBASE!B897</f>
        <v>350809060</v>
      </c>
      <c r="E58" s="34" t="str">
        <f>VLOOKUP(D58,DBASE!$B$3:$P$923,3,FALSE)</f>
        <v>-</v>
      </c>
      <c r="F58" s="34" t="str">
        <f>VLOOKUP(D58,DBASE!$B$3:$P$923,5,FALSE)</f>
        <v>Sumberjambe</v>
      </c>
      <c r="G58" s="34" t="str">
        <f>VLOOKUP(D58,DBASE!$B$3:$P$923,6,FALSE)</f>
        <v>Sumberjambe</v>
      </c>
      <c r="H58" s="34" t="str">
        <f>VLOOKUP(D58,DBASE!$B$3:$P$923,7,FALSE)</f>
        <v>Jember</v>
      </c>
      <c r="I58" s="35" t="str">
        <f>VLOOKUP(D58,DBASE!$B$3:$P$923,8,FALSE)</f>
        <v>'113.899433</v>
      </c>
      <c r="J58" s="35" t="str">
        <f>VLOOKUP(D58,DBASE!$B$3:$P$923,9,FALSE)</f>
        <v>'-8.065367</v>
      </c>
    </row>
    <row r="59" spans="2:10" x14ac:dyDescent="0.25">
      <c r="B59" s="33">
        <v>55</v>
      </c>
      <c r="C59" s="34" t="str">
        <f>VLOOKUP(D59,DBASE!$B$3:$P$923,2,FALSE)</f>
        <v>Sbr.  Kalong</v>
      </c>
      <c r="D59" s="33">
        <f>DBASE!B898</f>
        <v>350809061</v>
      </c>
      <c r="E59" s="34" t="str">
        <f>VLOOKUP(D59,DBASE!$B$3:$P$923,3,FALSE)</f>
        <v>-</v>
      </c>
      <c r="F59" s="34" t="str">
        <f>VLOOKUP(D59,DBASE!$B$3:$P$923,5,FALSE)</f>
        <v>Sumberkalong</v>
      </c>
      <c r="G59" s="34" t="str">
        <f>VLOOKUP(D59,DBASE!$B$3:$P$923,6,FALSE)</f>
        <v>Kalisat</v>
      </c>
      <c r="H59" s="34" t="str">
        <f>VLOOKUP(D59,DBASE!$B$3:$P$923,7,FALSE)</f>
        <v>Jember</v>
      </c>
      <c r="I59" s="35" t="str">
        <f>VLOOKUP(D59,DBASE!$B$3:$P$923,8,FALSE)</f>
        <v>'113.822033</v>
      </c>
      <c r="J59" s="35" t="str">
        <f>VLOOKUP(D59,DBASE!$B$3:$P$923,9,FALSE)</f>
        <v>'-8.083233</v>
      </c>
    </row>
    <row r="60" spans="2:10" x14ac:dyDescent="0.25">
      <c r="B60" s="33">
        <v>56</v>
      </c>
      <c r="C60" s="34" t="str">
        <f>VLOOKUP(D60,DBASE!$B$3:$P$923,2,FALSE)</f>
        <v>Semboro</v>
      </c>
      <c r="D60" s="33">
        <f>DBASE!B899</f>
        <v>350809062</v>
      </c>
      <c r="E60" s="34" t="str">
        <f>VLOOKUP(D60,DBASE!$B$3:$P$923,3,FALSE)</f>
        <v>-</v>
      </c>
      <c r="F60" s="34" t="str">
        <f>VLOOKUP(D60,DBASE!$B$3:$P$923,5,FALSE)</f>
        <v>Semboro</v>
      </c>
      <c r="G60" s="34" t="str">
        <f>VLOOKUP(D60,DBASE!$B$3:$P$923,6,FALSE)</f>
        <v>Semboro</v>
      </c>
      <c r="H60" s="34" t="str">
        <f>VLOOKUP(D60,DBASE!$B$3:$P$923,7,FALSE)</f>
        <v>Jember</v>
      </c>
      <c r="I60" s="35" t="str">
        <f>VLOOKUP(D60,DBASE!$B$3:$P$923,8,FALSE)</f>
        <v>'113.4477170</v>
      </c>
      <c r="J60" s="35" t="str">
        <f>VLOOKUP(D60,DBASE!$B$3:$P$923,9,FALSE)</f>
        <v>'-8.209500</v>
      </c>
    </row>
    <row r="61" spans="2:10" x14ac:dyDescent="0.25">
      <c r="B61" s="33">
        <v>57</v>
      </c>
      <c r="C61" s="34" t="str">
        <f>VLOOKUP(D61,DBASE!$B$3:$P$923,2,FALSE)</f>
        <v>Seputih</v>
      </c>
      <c r="D61" s="33">
        <f>DBASE!B900</f>
        <v>350809063</v>
      </c>
      <c r="E61" s="34" t="str">
        <f>VLOOKUP(D61,DBASE!$B$3:$P$923,3,FALSE)</f>
        <v>-</v>
      </c>
      <c r="F61" s="34" t="str">
        <f>VLOOKUP(D61,DBASE!$B$3:$P$923,5,FALSE)</f>
        <v>Seputih</v>
      </c>
      <c r="G61" s="34" t="str">
        <f>VLOOKUP(D61,DBASE!$B$3:$P$923,6,FALSE)</f>
        <v>Mayang</v>
      </c>
      <c r="H61" s="34" t="str">
        <f>VLOOKUP(D61,DBASE!$B$3:$P$923,7,FALSE)</f>
        <v>Jember</v>
      </c>
      <c r="I61" s="35" t="str">
        <f>VLOOKUP(D61,DBASE!$B$3:$P$923,8,FALSE)</f>
        <v>'113.791517</v>
      </c>
      <c r="J61" s="35" t="str">
        <f>VLOOKUP(D61,DBASE!$B$3:$P$923,9,FALSE)</f>
        <v>'-8.195300</v>
      </c>
    </row>
    <row r="62" spans="2:10" x14ac:dyDescent="0.25">
      <c r="B62" s="33">
        <v>58</v>
      </c>
      <c r="C62" s="34" t="str">
        <f>VLOOKUP(D62,DBASE!$B$3:$P$923,2,FALSE)</f>
        <v>Sukorejo</v>
      </c>
      <c r="D62" s="33">
        <f>DBASE!B901</f>
        <v>350809064</v>
      </c>
      <c r="E62" s="34" t="str">
        <f>VLOOKUP(D62,DBASE!$B$3:$P$923,3,FALSE)</f>
        <v>-</v>
      </c>
      <c r="F62" s="34" t="str">
        <f>VLOOKUP(D62,DBASE!$B$3:$P$923,5,FALSE)</f>
        <v>Sukorejo</v>
      </c>
      <c r="G62" s="34" t="str">
        <f>VLOOKUP(D62,DBASE!$B$3:$P$923,6,FALSE)</f>
        <v>Sukowono</v>
      </c>
      <c r="H62" s="34" t="str">
        <f>VLOOKUP(D62,DBASE!$B$3:$P$923,7,FALSE)</f>
        <v>Jember</v>
      </c>
      <c r="I62" s="35" t="str">
        <f>VLOOKUP(D62,DBASE!$B$3:$P$923,8,FALSE)</f>
        <v>'113.837516</v>
      </c>
      <c r="J62" s="35" t="str">
        <f>VLOOKUP(D62,DBASE!$B$3:$P$923,9,FALSE)</f>
        <v>'-8.087673</v>
      </c>
    </row>
    <row r="63" spans="2:10" x14ac:dyDescent="0.25">
      <c r="B63" s="33">
        <v>59</v>
      </c>
      <c r="C63" s="34" t="str">
        <f>VLOOKUP(D63,DBASE!$B$3:$P$923,2,FALSE)</f>
        <v>Sukorejo</v>
      </c>
      <c r="D63" s="33">
        <f>DBASE!B902</f>
        <v>350809065</v>
      </c>
      <c r="E63" s="34" t="str">
        <f>VLOOKUP(D63,DBASE!$B$3:$P$923,3,FALSE)</f>
        <v>-</v>
      </c>
      <c r="F63" s="34" t="str">
        <f>VLOOKUP(D63,DBASE!$B$3:$P$923,5,FALSE)</f>
        <v>Sukorejo</v>
      </c>
      <c r="G63" s="34" t="str">
        <f>VLOOKUP(D63,DBASE!$B$3:$P$923,6,FALSE)</f>
        <v>Bangsalsari</v>
      </c>
      <c r="H63" s="34" t="str">
        <f>VLOOKUP(D63,DBASE!$B$3:$P$923,7,FALSE)</f>
        <v>Jember</v>
      </c>
      <c r="I63" s="35" t="str">
        <f>VLOOKUP(D63,DBASE!$B$3:$P$923,8,FALSE)</f>
        <v>'113.530233</v>
      </c>
      <c r="J63" s="35" t="str">
        <f>VLOOKUP(D63,DBASE!$B$3:$P$923,9,FALSE)</f>
        <v>'-8.221750</v>
      </c>
    </row>
    <row r="64" spans="2:10" x14ac:dyDescent="0.25">
      <c r="B64" s="33">
        <v>60</v>
      </c>
      <c r="C64" s="34" t="str">
        <f>VLOOKUP(D64,DBASE!$B$3:$P$923,2,FALSE)</f>
        <v>Sukowono</v>
      </c>
      <c r="D64" s="33">
        <f>DBASE!B903</f>
        <v>350809066</v>
      </c>
      <c r="E64" s="34" t="str">
        <f>VLOOKUP(D64,DBASE!$B$3:$P$923,3,FALSE)</f>
        <v>-</v>
      </c>
      <c r="F64" s="34" t="str">
        <f>VLOOKUP(D64,DBASE!$B$3:$P$923,5,FALSE)</f>
        <v>Sukowono</v>
      </c>
      <c r="G64" s="34" t="str">
        <f>VLOOKUP(D64,DBASE!$B$3:$P$923,6,FALSE)</f>
        <v>Sukowono</v>
      </c>
      <c r="H64" s="34" t="str">
        <f>VLOOKUP(D64,DBASE!$B$3:$P$923,7,FALSE)</f>
        <v>Jember</v>
      </c>
      <c r="I64" s="35" t="str">
        <f>VLOOKUP(D64,DBASE!$B$3:$P$923,8,FALSE)</f>
        <v>'113.834817</v>
      </c>
      <c r="J64" s="35" t="str">
        <f>VLOOKUP(D64,DBASE!$B$3:$P$923,9,FALSE)</f>
        <v>'-8.051133</v>
      </c>
    </row>
    <row r="65" spans="2:10" x14ac:dyDescent="0.25">
      <c r="B65" s="33">
        <v>61</v>
      </c>
      <c r="C65" s="34" t="str">
        <f>VLOOKUP(D65,DBASE!$B$3:$P$923,2,FALSE)</f>
        <v>Sumber Jati</v>
      </c>
      <c r="D65" s="33">
        <f>DBASE!B904</f>
        <v>350809067</v>
      </c>
      <c r="E65" s="34" t="str">
        <f>VLOOKUP(D65,DBASE!$B$3:$P$923,3,FALSE)</f>
        <v>-</v>
      </c>
      <c r="F65" s="34" t="str">
        <f>VLOOKUP(D65,DBASE!$B$3:$P$923,5,FALSE)</f>
        <v>Sumberjati</v>
      </c>
      <c r="G65" s="34" t="str">
        <f>VLOOKUP(D65,DBASE!$B$3:$P$923,6,FALSE)</f>
        <v>Silo</v>
      </c>
      <c r="H65" s="34" t="str">
        <f>VLOOKUP(D65,DBASE!$B$3:$P$923,7,FALSE)</f>
        <v>Jember</v>
      </c>
      <c r="I65" s="35" t="str">
        <f>VLOOKUP(D65,DBASE!$B$3:$P$923,8,FALSE)</f>
        <v>'113.885083</v>
      </c>
      <c r="J65" s="35" t="str">
        <f>VLOOKUP(D65,DBASE!$B$3:$P$923,9,FALSE)</f>
        <v>'-8.191933</v>
      </c>
    </row>
    <row r="66" spans="2:10" x14ac:dyDescent="0.25">
      <c r="B66" s="33">
        <v>62</v>
      </c>
      <c r="C66" s="34" t="str">
        <f>VLOOKUP(D66,DBASE!$B$3:$P$923,2,FALSE)</f>
        <v>Sumberejo</v>
      </c>
      <c r="D66" s="33">
        <f>DBASE!B905</f>
        <v>350809068</v>
      </c>
      <c r="E66" s="34" t="str">
        <f>VLOOKUP(D66,DBASE!$B$3:$P$923,3,FALSE)</f>
        <v>-</v>
      </c>
      <c r="F66" s="34" t="str">
        <f>VLOOKUP(D66,DBASE!$B$3:$P$923,5,FALSE)</f>
        <v>Sumberejo</v>
      </c>
      <c r="G66" s="34" t="str">
        <f>VLOOKUP(D66,DBASE!$B$3:$P$923,6,FALSE)</f>
        <v>Ambulu</v>
      </c>
      <c r="H66" s="34" t="str">
        <f>VLOOKUP(D66,DBASE!$B$3:$P$923,7,FALSE)</f>
        <v>Jember</v>
      </c>
      <c r="I66" s="35" t="str">
        <f>VLOOKUP(D66,DBASE!$B$3:$P$923,8,FALSE)</f>
        <v>'113.59395</v>
      </c>
      <c r="J66" s="35" t="str">
        <f>VLOOKUP(D66,DBASE!$B$3:$P$923,9,FALSE)</f>
        <v>'-8.4009170</v>
      </c>
    </row>
    <row r="67" spans="2:10" x14ac:dyDescent="0.25">
      <c r="B67" s="33">
        <v>63</v>
      </c>
      <c r="C67" s="34" t="str">
        <f>VLOOKUP(D67,DBASE!$B$3:$P$923,2,FALSE)</f>
        <v>Tamansari</v>
      </c>
      <c r="D67" s="33">
        <f>DBASE!B906</f>
        <v>350809069</v>
      </c>
      <c r="E67" s="34" t="str">
        <f>VLOOKUP(D67,DBASE!$B$3:$P$923,3,FALSE)</f>
        <v>-</v>
      </c>
      <c r="F67" s="34" t="str">
        <f>VLOOKUP(D67,DBASE!$B$3:$P$923,5,FALSE)</f>
        <v>Tamansari</v>
      </c>
      <c r="G67" s="34" t="str">
        <f>VLOOKUP(D67,DBASE!$B$3:$P$923,6,FALSE)</f>
        <v>Wuluhan</v>
      </c>
      <c r="H67" s="34" t="str">
        <f>VLOOKUP(D67,DBASE!$B$3:$P$923,7,FALSE)</f>
        <v>Jember</v>
      </c>
      <c r="I67" s="35" t="str">
        <f>VLOOKUP(D67,DBASE!$B$3:$P$923,8,FALSE)</f>
        <v>'113.5470330</v>
      </c>
      <c r="J67" s="35" t="str">
        <f>VLOOKUP(D67,DBASE!$B$3:$P$923,9,FALSE)</f>
        <v>'-8.3012170</v>
      </c>
    </row>
    <row r="68" spans="2:10" x14ac:dyDescent="0.25">
      <c r="B68" s="33">
        <v>64</v>
      </c>
      <c r="C68" s="34" t="str">
        <f>VLOOKUP(D68,DBASE!$B$3:$P$923,2,FALSE)</f>
        <v>Tanggul JBR</v>
      </c>
      <c r="D68" s="33">
        <f>DBASE!B907</f>
        <v>350809070</v>
      </c>
      <c r="E68" s="34" t="str">
        <f>VLOOKUP(D68,DBASE!$B$3:$P$923,3,FALSE)</f>
        <v>-</v>
      </c>
      <c r="F68" s="34" t="str">
        <f>VLOOKUP(D68,DBASE!$B$3:$P$923,5,FALSE)</f>
        <v>Tanggulkulon</v>
      </c>
      <c r="G68" s="34" t="str">
        <f>VLOOKUP(D68,DBASE!$B$3:$P$923,6,FALSE)</f>
        <v>Tanggul</v>
      </c>
      <c r="H68" s="34" t="str">
        <f>VLOOKUP(D68,DBASE!$B$3:$P$923,7,FALSE)</f>
        <v>Jember</v>
      </c>
      <c r="I68" s="35" t="str">
        <f>VLOOKUP(D68,DBASE!$B$3:$P$923,8,FALSE)</f>
        <v>'113.44995</v>
      </c>
      <c r="J68" s="35" t="str">
        <f>VLOOKUP(D68,DBASE!$B$3:$P$923,9,FALSE)</f>
        <v>'-8.162966</v>
      </c>
    </row>
    <row r="69" spans="2:10" x14ac:dyDescent="0.25">
      <c r="B69" s="33">
        <v>65</v>
      </c>
      <c r="C69" s="34" t="str">
        <f>VLOOKUP(D69,DBASE!$B$3:$P$923,2,FALSE)</f>
        <v>Tanjungrejo</v>
      </c>
      <c r="D69" s="33">
        <f>DBASE!B908</f>
        <v>350809071</v>
      </c>
      <c r="E69" s="34" t="str">
        <f>VLOOKUP(D69,DBASE!$B$3:$P$923,3,FALSE)</f>
        <v>-</v>
      </c>
      <c r="F69" s="34" t="str">
        <f>VLOOKUP(D69,DBASE!$B$3:$P$923,5,FALSE)</f>
        <v>Tanjungrejo</v>
      </c>
      <c r="G69" s="34" t="str">
        <f>VLOOKUP(D69,DBASE!$B$3:$P$923,6,FALSE)</f>
        <v>Wuluhan</v>
      </c>
      <c r="H69" s="34" t="str">
        <f>VLOOKUP(D69,DBASE!$B$3:$P$923,7,FALSE)</f>
        <v>Jember</v>
      </c>
      <c r="I69" s="35" t="str">
        <f>VLOOKUP(D69,DBASE!$B$3:$P$923,8,FALSE)</f>
        <v>'113.567617</v>
      </c>
      <c r="J69" s="35" t="str">
        <f>VLOOKUP(D69,DBASE!$B$3:$P$923,9,FALSE)</f>
        <v>'-8.327350</v>
      </c>
    </row>
    <row r="70" spans="2:10" x14ac:dyDescent="0.25">
      <c r="B70" s="33">
        <v>66</v>
      </c>
      <c r="C70" s="34" t="str">
        <f>VLOOKUP(D70,DBASE!$B$3:$P$923,2,FALSE)</f>
        <v>Tempurejo</v>
      </c>
      <c r="D70" s="33">
        <f>DBASE!B909</f>
        <v>350809072</v>
      </c>
      <c r="E70" s="34" t="str">
        <f>VLOOKUP(D70,DBASE!$B$3:$P$923,3,FALSE)</f>
        <v>-</v>
      </c>
      <c r="F70" s="34" t="str">
        <f>VLOOKUP(D70,DBASE!$B$3:$P$923,5,FALSE)</f>
        <v>Tempurejo</v>
      </c>
      <c r="G70" s="34" t="str">
        <f>VLOOKUP(D70,DBASE!$B$3:$P$923,6,FALSE)</f>
        <v>Tempurejo</v>
      </c>
      <c r="H70" s="34" t="str">
        <f>VLOOKUP(D70,DBASE!$B$3:$P$923,7,FALSE)</f>
        <v>Jember</v>
      </c>
      <c r="I70" s="35" t="str">
        <f>VLOOKUP(D70,DBASE!$B$3:$P$923,8,FALSE)</f>
        <v>'113.691749</v>
      </c>
      <c r="J70" s="35" t="str">
        <f>VLOOKUP(D70,DBASE!$B$3:$P$923,9,FALSE)</f>
        <v>'-8.290350</v>
      </c>
    </row>
    <row r="71" spans="2:10" x14ac:dyDescent="0.25">
      <c r="B71" s="33">
        <v>67</v>
      </c>
      <c r="C71" s="34" t="str">
        <f>VLOOKUP(D71,DBASE!$B$3:$P$923,2,FALSE)</f>
        <v>Watuurip</v>
      </c>
      <c r="D71" s="33">
        <f>DBASE!B910</f>
        <v>350809073</v>
      </c>
      <c r="E71" s="34" t="str">
        <f>VLOOKUP(D71,DBASE!$B$3:$P$923,3,FALSE)</f>
        <v>-</v>
      </c>
      <c r="F71" s="34" t="str">
        <f>VLOOKUP(D71,DBASE!$B$3:$P$923,5,FALSE)</f>
        <v>Pringgowirawan</v>
      </c>
      <c r="G71" s="34" t="str">
        <f>VLOOKUP(D71,DBASE!$B$3:$P$923,6,FALSE)</f>
        <v>Sumberbaru</v>
      </c>
      <c r="H71" s="34" t="str">
        <f>VLOOKUP(D71,DBASE!$B$3:$P$923,7,FALSE)</f>
        <v>Jember</v>
      </c>
      <c r="I71" s="35" t="str">
        <f>VLOOKUP(D71,DBASE!$B$3:$P$923,8,FALSE)</f>
        <v>'113.416483</v>
      </c>
      <c r="J71" s="35" t="str">
        <f>VLOOKUP(D71,DBASE!$B$3:$P$923,9,FALSE)</f>
        <v>'-8.121950</v>
      </c>
    </row>
    <row r="72" spans="2:10" x14ac:dyDescent="0.25">
      <c r="B72" s="33">
        <v>68</v>
      </c>
      <c r="C72" s="34" t="str">
        <f>VLOOKUP(D72,DBASE!$B$3:$P$923,2,FALSE)</f>
        <v>Wirolegi</v>
      </c>
      <c r="D72" s="33">
        <f>DBASE!B911</f>
        <v>350809074</v>
      </c>
      <c r="E72" s="34" t="str">
        <f>VLOOKUP(D72,DBASE!$B$3:$P$923,3,FALSE)</f>
        <v>-</v>
      </c>
      <c r="F72" s="34" t="str">
        <f>VLOOKUP(D72,DBASE!$B$3:$P$923,5,FALSE)</f>
        <v>Wirolegi</v>
      </c>
      <c r="G72" s="34" t="str">
        <f>VLOOKUP(D72,DBASE!$B$3:$P$923,6,FALSE)</f>
        <v>Sumbersari</v>
      </c>
      <c r="H72" s="34" t="str">
        <f>VLOOKUP(D72,DBASE!$B$3:$P$923,7,FALSE)</f>
        <v>Jember</v>
      </c>
      <c r="I72" s="35" t="str">
        <f>VLOOKUP(D72,DBASE!$B$3:$P$923,8,FALSE)</f>
        <v>'113.7391670</v>
      </c>
      <c r="J72" s="35" t="str">
        <f>VLOOKUP(D72,DBASE!$B$3:$P$923,9,FALSE)</f>
        <v>'-8.194417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93F6-77DC-4BD1-BE13-B5D1014BD0BB}">
  <dimension ref="A1:M48"/>
  <sheetViews>
    <sheetView tabSelected="1" workbookViewId="0">
      <selection activeCell="A2" sqref="A2:M2"/>
    </sheetView>
  </sheetViews>
  <sheetFormatPr defaultColWidth="8.7109375" defaultRowHeight="15" x14ac:dyDescent="0.25"/>
  <cols>
    <col min="1" max="16384" width="8.7109375" style="133"/>
  </cols>
  <sheetData>
    <row r="1" spans="1:13" x14ac:dyDescent="0.25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2" spans="1:13" x14ac:dyDescent="0.25">
      <c r="A2" s="149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</row>
    <row r="3" spans="1:13" x14ac:dyDescent="0.25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</row>
    <row r="4" spans="1:13" x14ac:dyDescent="0.25">
      <c r="A4" s="148" t="s">
        <v>2</v>
      </c>
      <c r="B4" s="148"/>
      <c r="C4" s="151" t="s">
        <v>3643</v>
      </c>
      <c r="D4" s="151"/>
      <c r="E4" s="148"/>
      <c r="F4" s="148"/>
      <c r="G4" s="148"/>
      <c r="H4" s="148"/>
      <c r="I4" s="148"/>
      <c r="J4" s="148"/>
      <c r="K4" s="148"/>
      <c r="L4" s="148"/>
      <c r="M4" s="148"/>
    </row>
    <row r="5" spans="1:13" x14ac:dyDescent="0.25">
      <c r="A5" s="148" t="s">
        <v>3</v>
      </c>
      <c r="B5" s="148"/>
      <c r="C5" s="148"/>
      <c r="D5" s="148"/>
      <c r="E5" s="135"/>
      <c r="F5" s="148" t="s">
        <v>4</v>
      </c>
      <c r="G5" s="148"/>
      <c r="H5" s="148" t="s">
        <v>2892</v>
      </c>
      <c r="I5" s="148"/>
      <c r="J5" s="148" t="s">
        <v>6</v>
      </c>
      <c r="K5" s="148"/>
      <c r="L5" s="148">
        <v>350807002</v>
      </c>
      <c r="M5" s="148"/>
    </row>
    <row r="6" spans="1:13" x14ac:dyDescent="0.25">
      <c r="A6" s="148" t="s">
        <v>7</v>
      </c>
      <c r="B6" s="148"/>
      <c r="C6" s="148">
        <v>-8.1985980000000005</v>
      </c>
      <c r="D6" s="148"/>
      <c r="E6" s="135"/>
      <c r="F6" s="148" t="s">
        <v>8</v>
      </c>
      <c r="G6" s="148"/>
      <c r="H6" s="148" t="s">
        <v>2893</v>
      </c>
      <c r="I6" s="148"/>
      <c r="J6" s="148" t="s">
        <v>10</v>
      </c>
      <c r="K6" s="148"/>
      <c r="L6" s="148">
        <v>2021</v>
      </c>
      <c r="M6" s="148"/>
    </row>
    <row r="7" spans="1:13" x14ac:dyDescent="0.25">
      <c r="A7" s="148" t="s">
        <v>11</v>
      </c>
      <c r="B7" s="148"/>
      <c r="C7" s="148">
        <v>112.890134</v>
      </c>
      <c r="D7" s="148"/>
      <c r="E7" s="135"/>
      <c r="F7" s="148" t="s">
        <v>12</v>
      </c>
      <c r="G7" s="148"/>
      <c r="H7" s="148" t="s">
        <v>2889</v>
      </c>
      <c r="I7" s="148"/>
      <c r="J7" s="148" t="s">
        <v>14</v>
      </c>
      <c r="K7" s="148"/>
      <c r="L7" s="148" t="s">
        <v>15</v>
      </c>
      <c r="M7" s="148"/>
    </row>
    <row r="8" spans="1:13" x14ac:dyDescent="0.25">
      <c r="A8" s="148" t="s">
        <v>16</v>
      </c>
      <c r="B8" s="148"/>
      <c r="C8" s="148">
        <v>747</v>
      </c>
      <c r="D8" s="148"/>
      <c r="E8" s="135"/>
      <c r="F8" s="148" t="s">
        <v>18</v>
      </c>
      <c r="G8" s="148"/>
      <c r="H8" s="148" t="s">
        <v>729</v>
      </c>
      <c r="I8" s="148"/>
      <c r="J8" s="148" t="s">
        <v>20</v>
      </c>
      <c r="K8" s="148"/>
      <c r="L8" s="148" t="s">
        <v>21</v>
      </c>
      <c r="M8" s="148"/>
    </row>
    <row r="9" spans="1:13" x14ac:dyDescent="0.25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</row>
    <row r="10" spans="1:13" x14ac:dyDescent="0.25">
      <c r="A10" s="150" t="s">
        <v>22</v>
      </c>
      <c r="B10" s="150" t="s">
        <v>23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</row>
    <row r="11" spans="1:13" x14ac:dyDescent="0.25">
      <c r="A11" s="150"/>
      <c r="B11" s="134">
        <v>1</v>
      </c>
      <c r="C11" s="134">
        <v>2</v>
      </c>
      <c r="D11" s="134">
        <v>3</v>
      </c>
      <c r="E11" s="134">
        <v>4</v>
      </c>
      <c r="F11" s="134">
        <v>5</v>
      </c>
      <c r="G11" s="134">
        <v>6</v>
      </c>
      <c r="H11" s="134">
        <v>7</v>
      </c>
      <c r="I11" s="134">
        <v>8</v>
      </c>
      <c r="J11" s="134">
        <v>9</v>
      </c>
      <c r="K11" s="134">
        <v>10</v>
      </c>
      <c r="L11" s="134">
        <v>11</v>
      </c>
      <c r="M11" s="134">
        <v>12</v>
      </c>
    </row>
    <row r="12" spans="1:13" x14ac:dyDescent="0.25">
      <c r="A12" s="134">
        <v>1</v>
      </c>
      <c r="B12" s="136">
        <v>0</v>
      </c>
      <c r="C12" s="136">
        <v>3</v>
      </c>
      <c r="D12" s="136">
        <v>4.2</v>
      </c>
      <c r="E12" s="136">
        <v>10.6</v>
      </c>
      <c r="F12" s="136">
        <v>0</v>
      </c>
      <c r="G12" s="136">
        <v>3</v>
      </c>
      <c r="H12" s="136">
        <v>0</v>
      </c>
      <c r="I12" s="136">
        <v>0</v>
      </c>
      <c r="J12" s="136">
        <v>10.6</v>
      </c>
      <c r="K12" s="136">
        <v>0</v>
      </c>
      <c r="L12" s="136">
        <v>0</v>
      </c>
      <c r="M12" s="136">
        <v>4.2</v>
      </c>
    </row>
    <row r="13" spans="1:13" x14ac:dyDescent="0.25">
      <c r="A13" s="134">
        <v>2</v>
      </c>
      <c r="B13" s="136">
        <v>3.2</v>
      </c>
      <c r="C13" s="136">
        <v>37</v>
      </c>
      <c r="D13" s="136">
        <v>75.400000000000006</v>
      </c>
      <c r="E13" s="136">
        <v>1.4</v>
      </c>
      <c r="F13" s="136">
        <v>8.6</v>
      </c>
      <c r="G13" s="136">
        <v>2.8</v>
      </c>
      <c r="H13" s="136">
        <v>3.2</v>
      </c>
      <c r="I13" s="136">
        <v>8.6</v>
      </c>
      <c r="J13" s="136">
        <v>1.4</v>
      </c>
      <c r="K13" s="136">
        <v>3.2</v>
      </c>
      <c r="L13" s="136">
        <v>3.2</v>
      </c>
      <c r="M13" s="136">
        <v>75.400000000000006</v>
      </c>
    </row>
    <row r="14" spans="1:13" x14ac:dyDescent="0.25">
      <c r="A14" s="134">
        <v>3</v>
      </c>
      <c r="B14" s="136">
        <v>0</v>
      </c>
      <c r="C14" s="136">
        <v>49</v>
      </c>
      <c r="D14" s="136">
        <v>3.2</v>
      </c>
      <c r="E14" s="136">
        <v>1.6</v>
      </c>
      <c r="F14" s="136">
        <v>0</v>
      </c>
      <c r="G14" s="136">
        <v>0</v>
      </c>
      <c r="H14" s="136">
        <v>0</v>
      </c>
      <c r="I14" s="136">
        <v>0</v>
      </c>
      <c r="J14" s="136">
        <v>1.6</v>
      </c>
      <c r="K14" s="136">
        <v>0</v>
      </c>
      <c r="L14" s="136">
        <v>0</v>
      </c>
      <c r="M14" s="136">
        <v>3.2</v>
      </c>
    </row>
    <row r="15" spans="1:13" x14ac:dyDescent="0.25">
      <c r="A15" s="134">
        <v>4</v>
      </c>
      <c r="B15" s="136">
        <v>66</v>
      </c>
      <c r="C15" s="136">
        <v>14</v>
      </c>
      <c r="D15" s="136">
        <v>60.4</v>
      </c>
      <c r="E15" s="136">
        <v>0</v>
      </c>
      <c r="F15" s="136">
        <v>0</v>
      </c>
      <c r="G15" s="136">
        <v>1.4</v>
      </c>
      <c r="H15" s="136">
        <v>2.4</v>
      </c>
      <c r="I15" s="136">
        <v>0</v>
      </c>
      <c r="J15" s="136">
        <v>0</v>
      </c>
      <c r="K15" s="136">
        <v>66</v>
      </c>
      <c r="L15" s="136">
        <v>66</v>
      </c>
      <c r="M15" s="136">
        <v>60.4</v>
      </c>
    </row>
    <row r="16" spans="1:13" x14ac:dyDescent="0.25">
      <c r="A16" s="134">
        <v>5</v>
      </c>
      <c r="B16" s="136">
        <v>1.4</v>
      </c>
      <c r="C16" s="136">
        <v>0</v>
      </c>
      <c r="D16" s="136">
        <v>26</v>
      </c>
      <c r="E16" s="136">
        <v>0</v>
      </c>
      <c r="F16" s="136">
        <v>0</v>
      </c>
      <c r="G16" s="136">
        <v>5.2</v>
      </c>
      <c r="H16" s="136">
        <v>2.6</v>
      </c>
      <c r="I16" s="136">
        <v>0</v>
      </c>
      <c r="J16" s="136">
        <v>0</v>
      </c>
      <c r="K16" s="136">
        <v>1.4</v>
      </c>
      <c r="L16" s="136">
        <v>1.4</v>
      </c>
      <c r="M16" s="136">
        <v>26</v>
      </c>
    </row>
    <row r="17" spans="1:13" x14ac:dyDescent="0.25">
      <c r="A17" s="134">
        <v>6</v>
      </c>
      <c r="B17" s="136">
        <v>0</v>
      </c>
      <c r="C17" s="136">
        <v>0</v>
      </c>
      <c r="D17" s="136">
        <v>85.8</v>
      </c>
      <c r="E17" s="136">
        <v>0</v>
      </c>
      <c r="F17" s="136">
        <v>0</v>
      </c>
      <c r="G17" s="136">
        <v>0</v>
      </c>
      <c r="H17" s="136">
        <v>0</v>
      </c>
      <c r="I17" s="136">
        <v>0</v>
      </c>
      <c r="J17" s="136">
        <v>0</v>
      </c>
      <c r="K17" s="136">
        <v>0</v>
      </c>
      <c r="L17" s="136">
        <v>0</v>
      </c>
      <c r="M17" s="136">
        <v>85.8</v>
      </c>
    </row>
    <row r="18" spans="1:13" x14ac:dyDescent="0.25">
      <c r="A18" s="134">
        <v>7</v>
      </c>
      <c r="B18" s="136">
        <v>119</v>
      </c>
      <c r="C18" s="136">
        <v>0</v>
      </c>
      <c r="D18" s="136">
        <v>19</v>
      </c>
      <c r="E18" s="136">
        <v>0</v>
      </c>
      <c r="F18" s="136">
        <v>0</v>
      </c>
      <c r="G18" s="136">
        <v>2.6</v>
      </c>
      <c r="H18" s="136">
        <v>1.2</v>
      </c>
      <c r="I18" s="136">
        <v>0</v>
      </c>
      <c r="J18" s="136">
        <v>0</v>
      </c>
      <c r="K18" s="136">
        <v>119</v>
      </c>
      <c r="L18" s="136">
        <v>119</v>
      </c>
      <c r="M18" s="136">
        <v>19</v>
      </c>
    </row>
    <row r="19" spans="1:13" x14ac:dyDescent="0.25">
      <c r="A19" s="134">
        <v>8</v>
      </c>
      <c r="B19" s="136">
        <v>42</v>
      </c>
      <c r="C19" s="136">
        <v>12.4</v>
      </c>
      <c r="D19" s="136">
        <v>42</v>
      </c>
      <c r="E19" s="136">
        <v>2.6</v>
      </c>
      <c r="F19" s="136">
        <v>0</v>
      </c>
      <c r="G19" s="136">
        <v>32.4</v>
      </c>
      <c r="H19" s="136">
        <v>0</v>
      </c>
      <c r="I19" s="136">
        <v>0</v>
      </c>
      <c r="J19" s="136">
        <v>2.6</v>
      </c>
      <c r="K19" s="136">
        <v>42</v>
      </c>
      <c r="L19" s="136">
        <v>42</v>
      </c>
      <c r="M19" s="136">
        <v>42</v>
      </c>
    </row>
    <row r="20" spans="1:13" x14ac:dyDescent="0.25">
      <c r="A20" s="134">
        <v>9</v>
      </c>
      <c r="B20" s="136">
        <v>3.4</v>
      </c>
      <c r="C20" s="136">
        <v>6.2</v>
      </c>
      <c r="D20" s="136">
        <v>45.6</v>
      </c>
      <c r="E20" s="136">
        <v>12</v>
      </c>
      <c r="F20" s="136">
        <v>0</v>
      </c>
      <c r="G20" s="136">
        <v>0</v>
      </c>
      <c r="H20" s="136">
        <v>0</v>
      </c>
      <c r="I20" s="136">
        <v>0</v>
      </c>
      <c r="J20" s="136">
        <v>12</v>
      </c>
      <c r="K20" s="136">
        <v>3.4</v>
      </c>
      <c r="L20" s="136">
        <v>3.4</v>
      </c>
      <c r="M20" s="136">
        <v>45.6</v>
      </c>
    </row>
    <row r="21" spans="1:13" x14ac:dyDescent="0.25">
      <c r="A21" s="134">
        <v>10</v>
      </c>
      <c r="B21" s="136">
        <v>0</v>
      </c>
      <c r="C21" s="136">
        <v>21</v>
      </c>
      <c r="D21" s="136">
        <v>14.2</v>
      </c>
      <c r="E21" s="136">
        <v>0</v>
      </c>
      <c r="F21" s="136">
        <v>0</v>
      </c>
      <c r="G21" s="136">
        <v>0</v>
      </c>
      <c r="H21" s="136">
        <v>0</v>
      </c>
      <c r="I21" s="136">
        <v>0</v>
      </c>
      <c r="J21" s="136">
        <v>0</v>
      </c>
      <c r="K21" s="136">
        <v>0</v>
      </c>
      <c r="L21" s="136">
        <v>0</v>
      </c>
      <c r="M21" s="136">
        <v>14.2</v>
      </c>
    </row>
    <row r="22" spans="1:13" x14ac:dyDescent="0.25">
      <c r="A22" s="134">
        <v>11</v>
      </c>
      <c r="B22" s="136">
        <v>32.200000000000003</v>
      </c>
      <c r="C22" s="136">
        <v>12.4</v>
      </c>
      <c r="D22" s="136">
        <v>2.2000000000000002</v>
      </c>
      <c r="E22" s="136">
        <v>0</v>
      </c>
      <c r="F22" s="136">
        <v>0</v>
      </c>
      <c r="G22" s="136">
        <v>0</v>
      </c>
      <c r="H22" s="136">
        <v>0</v>
      </c>
      <c r="I22" s="136">
        <v>0</v>
      </c>
      <c r="J22" s="136">
        <v>0</v>
      </c>
      <c r="K22" s="136">
        <v>32.200000000000003</v>
      </c>
      <c r="L22" s="136">
        <v>32.200000000000003</v>
      </c>
      <c r="M22" s="136">
        <v>2.2000000000000002</v>
      </c>
    </row>
    <row r="23" spans="1:13" x14ac:dyDescent="0.25">
      <c r="A23" s="134">
        <v>12</v>
      </c>
      <c r="B23" s="136">
        <v>0</v>
      </c>
      <c r="C23" s="136">
        <v>3.4</v>
      </c>
      <c r="D23" s="136">
        <v>0</v>
      </c>
      <c r="E23" s="136">
        <v>40.4</v>
      </c>
      <c r="F23" s="136">
        <v>0</v>
      </c>
      <c r="G23" s="136">
        <v>0</v>
      </c>
      <c r="H23" s="136">
        <v>0</v>
      </c>
      <c r="I23" s="136">
        <v>0</v>
      </c>
      <c r="J23" s="136">
        <v>40.4</v>
      </c>
      <c r="K23" s="136">
        <v>0</v>
      </c>
      <c r="L23" s="136">
        <v>0</v>
      </c>
      <c r="M23" s="136">
        <v>0</v>
      </c>
    </row>
    <row r="24" spans="1:13" x14ac:dyDescent="0.25">
      <c r="A24" s="134">
        <v>13</v>
      </c>
      <c r="B24" s="136">
        <v>0</v>
      </c>
      <c r="C24" s="136">
        <v>22</v>
      </c>
      <c r="D24" s="136">
        <v>0</v>
      </c>
      <c r="E24" s="136">
        <v>3.6</v>
      </c>
      <c r="F24" s="136">
        <v>0</v>
      </c>
      <c r="G24" s="136">
        <v>2.6</v>
      </c>
      <c r="H24" s="136">
        <v>3.2</v>
      </c>
      <c r="I24" s="136">
        <v>0</v>
      </c>
      <c r="J24" s="136">
        <v>3.6</v>
      </c>
      <c r="K24" s="136">
        <v>0</v>
      </c>
      <c r="L24" s="136">
        <v>0</v>
      </c>
      <c r="M24" s="136">
        <v>0</v>
      </c>
    </row>
    <row r="25" spans="1:13" x14ac:dyDescent="0.25">
      <c r="A25" s="134">
        <v>14</v>
      </c>
      <c r="B25" s="136">
        <v>0</v>
      </c>
      <c r="C25" s="136">
        <v>0</v>
      </c>
      <c r="D25" s="136">
        <v>0</v>
      </c>
      <c r="E25" s="136">
        <v>77.599999999999994</v>
      </c>
      <c r="F25" s="136">
        <v>0</v>
      </c>
      <c r="G25" s="136">
        <v>0</v>
      </c>
      <c r="H25" s="136">
        <v>0</v>
      </c>
      <c r="I25" s="136">
        <v>0</v>
      </c>
      <c r="J25" s="136">
        <v>77.599999999999994</v>
      </c>
      <c r="K25" s="136">
        <v>0</v>
      </c>
      <c r="L25" s="136">
        <v>0</v>
      </c>
      <c r="M25" s="136">
        <v>0</v>
      </c>
    </row>
    <row r="26" spans="1:13" x14ac:dyDescent="0.25">
      <c r="A26" s="134">
        <v>15</v>
      </c>
      <c r="B26" s="136">
        <v>0</v>
      </c>
      <c r="C26" s="136">
        <v>0</v>
      </c>
      <c r="D26" s="136">
        <v>18.399999999999999</v>
      </c>
      <c r="E26" s="136">
        <v>0</v>
      </c>
      <c r="F26" s="136">
        <v>0</v>
      </c>
      <c r="G26" s="136">
        <v>1.4</v>
      </c>
      <c r="H26" s="136">
        <v>2.4</v>
      </c>
      <c r="I26" s="136">
        <v>0</v>
      </c>
      <c r="J26" s="136">
        <v>0</v>
      </c>
      <c r="K26" s="136">
        <v>0</v>
      </c>
      <c r="L26" s="136">
        <v>1.4</v>
      </c>
      <c r="M26" s="136">
        <v>18.399999999999999</v>
      </c>
    </row>
    <row r="27" spans="1:13" x14ac:dyDescent="0.25">
      <c r="A27" s="134">
        <v>16</v>
      </c>
      <c r="B27" s="136">
        <v>0</v>
      </c>
      <c r="C27" s="136">
        <v>0</v>
      </c>
      <c r="D27" s="136">
        <v>11.4</v>
      </c>
      <c r="E27" s="136">
        <v>0</v>
      </c>
      <c r="F27" s="136">
        <v>0</v>
      </c>
      <c r="G27" s="136">
        <v>0</v>
      </c>
      <c r="H27" s="136">
        <v>2.6</v>
      </c>
      <c r="I27" s="136">
        <v>0</v>
      </c>
      <c r="J27" s="136">
        <v>0</v>
      </c>
      <c r="K27" s="136">
        <v>0</v>
      </c>
      <c r="L27" s="136">
        <v>0</v>
      </c>
      <c r="M27" s="136">
        <v>0</v>
      </c>
    </row>
    <row r="28" spans="1:13" x14ac:dyDescent="0.25">
      <c r="A28" s="134">
        <v>17</v>
      </c>
      <c r="B28" s="136">
        <v>0</v>
      </c>
      <c r="C28" s="136">
        <v>0</v>
      </c>
      <c r="D28" s="136">
        <v>0</v>
      </c>
      <c r="E28" s="136">
        <v>2.2000000000000002</v>
      </c>
      <c r="F28" s="136">
        <v>2.4</v>
      </c>
      <c r="G28" s="136">
        <v>0</v>
      </c>
      <c r="H28" s="136">
        <v>0</v>
      </c>
      <c r="I28" s="136">
        <v>2.2000000000000002</v>
      </c>
      <c r="J28" s="136">
        <v>2.2000000000000002</v>
      </c>
      <c r="K28" s="136">
        <v>0</v>
      </c>
      <c r="L28" s="136">
        <v>0</v>
      </c>
      <c r="M28" s="136">
        <v>2.2000000000000002</v>
      </c>
    </row>
    <row r="29" spans="1:13" x14ac:dyDescent="0.25">
      <c r="A29" s="134">
        <v>18</v>
      </c>
      <c r="B29" s="136">
        <v>97.2</v>
      </c>
      <c r="C29" s="136">
        <v>0</v>
      </c>
      <c r="D29" s="136">
        <v>0</v>
      </c>
      <c r="E29" s="136">
        <v>45</v>
      </c>
      <c r="F29" s="136">
        <v>2.2000000000000002</v>
      </c>
      <c r="G29" s="136">
        <v>0</v>
      </c>
      <c r="H29" s="136">
        <v>1.2</v>
      </c>
      <c r="I29" s="136">
        <v>45</v>
      </c>
      <c r="J29" s="136">
        <v>45</v>
      </c>
      <c r="K29" s="136">
        <v>97.2</v>
      </c>
      <c r="L29" s="136">
        <v>0</v>
      </c>
      <c r="M29" s="136">
        <v>45</v>
      </c>
    </row>
    <row r="30" spans="1:13" x14ac:dyDescent="0.25">
      <c r="A30" s="134">
        <v>19</v>
      </c>
      <c r="B30" s="136">
        <v>16.2</v>
      </c>
      <c r="C30" s="136">
        <v>1.4</v>
      </c>
      <c r="D30" s="136">
        <v>0</v>
      </c>
      <c r="E30" s="136">
        <v>150.80000000000001</v>
      </c>
      <c r="F30" s="136">
        <v>0</v>
      </c>
      <c r="G30" s="136">
        <v>0</v>
      </c>
      <c r="H30" s="136">
        <v>0</v>
      </c>
      <c r="I30" s="136">
        <v>150.80000000000001</v>
      </c>
      <c r="J30" s="136">
        <v>150.80000000000001</v>
      </c>
      <c r="K30" s="136">
        <v>16.2</v>
      </c>
      <c r="L30" s="136">
        <v>0</v>
      </c>
      <c r="M30" s="136">
        <v>150.80000000000001</v>
      </c>
    </row>
    <row r="31" spans="1:13" x14ac:dyDescent="0.25">
      <c r="A31" s="134">
        <v>20</v>
      </c>
      <c r="B31" s="136">
        <v>31.4</v>
      </c>
      <c r="C31" s="136">
        <v>5.8</v>
      </c>
      <c r="D31" s="136">
        <v>0</v>
      </c>
      <c r="E31" s="136">
        <v>73</v>
      </c>
      <c r="F31" s="136">
        <v>0</v>
      </c>
      <c r="G31" s="136">
        <v>0</v>
      </c>
      <c r="H31" s="136">
        <v>0</v>
      </c>
      <c r="I31" s="136">
        <v>73</v>
      </c>
      <c r="J31" s="136">
        <v>73</v>
      </c>
      <c r="K31" s="136">
        <v>31.4</v>
      </c>
      <c r="L31" s="136">
        <v>0</v>
      </c>
      <c r="M31" s="136">
        <v>73</v>
      </c>
    </row>
    <row r="32" spans="1:13" x14ac:dyDescent="0.25">
      <c r="A32" s="134">
        <v>21</v>
      </c>
      <c r="B32" s="136">
        <v>5.4</v>
      </c>
      <c r="C32" s="136">
        <v>0</v>
      </c>
      <c r="D32" s="136">
        <v>0</v>
      </c>
      <c r="E32" s="136">
        <v>0</v>
      </c>
      <c r="F32" s="136">
        <v>1.8</v>
      </c>
      <c r="G32" s="136">
        <v>0</v>
      </c>
      <c r="H32" s="136">
        <v>0</v>
      </c>
      <c r="I32" s="136">
        <v>0</v>
      </c>
      <c r="J32" s="136">
        <v>0</v>
      </c>
      <c r="K32" s="136">
        <v>0</v>
      </c>
      <c r="L32" s="136">
        <v>0</v>
      </c>
      <c r="M32" s="136">
        <v>0</v>
      </c>
    </row>
    <row r="33" spans="1:13" x14ac:dyDescent="0.25">
      <c r="A33" s="134">
        <v>22</v>
      </c>
      <c r="B33" s="136">
        <v>0</v>
      </c>
      <c r="C33" s="136">
        <v>2.4</v>
      </c>
      <c r="D33" s="136">
        <v>6.4</v>
      </c>
      <c r="E33" s="136">
        <v>0</v>
      </c>
      <c r="F33" s="136">
        <v>0</v>
      </c>
      <c r="G33" s="136">
        <v>0</v>
      </c>
      <c r="H33" s="136">
        <v>0</v>
      </c>
      <c r="I33" s="136">
        <v>0</v>
      </c>
      <c r="J33" s="136">
        <v>0</v>
      </c>
      <c r="K33" s="136">
        <v>0</v>
      </c>
      <c r="L33" s="136">
        <v>0</v>
      </c>
      <c r="M33" s="136">
        <v>0</v>
      </c>
    </row>
    <row r="34" spans="1:13" x14ac:dyDescent="0.25">
      <c r="A34" s="134">
        <v>23</v>
      </c>
      <c r="B34" s="136">
        <v>13</v>
      </c>
      <c r="C34" s="136">
        <v>15</v>
      </c>
      <c r="D34" s="136">
        <v>50.4</v>
      </c>
      <c r="E34" s="136">
        <v>29</v>
      </c>
      <c r="F34" s="136">
        <v>0</v>
      </c>
      <c r="G34" s="136">
        <v>0</v>
      </c>
      <c r="H34" s="136">
        <v>22.2</v>
      </c>
      <c r="I34" s="136">
        <v>29</v>
      </c>
      <c r="J34" s="136">
        <v>29</v>
      </c>
      <c r="K34" s="136">
        <v>29</v>
      </c>
      <c r="L34" s="136">
        <v>0</v>
      </c>
      <c r="M34" s="136">
        <v>29</v>
      </c>
    </row>
    <row r="35" spans="1:13" x14ac:dyDescent="0.25">
      <c r="A35" s="134">
        <v>24</v>
      </c>
      <c r="B35" s="136">
        <v>0</v>
      </c>
      <c r="C35" s="136">
        <v>0</v>
      </c>
      <c r="D35" s="136">
        <v>0</v>
      </c>
      <c r="E35" s="136">
        <v>22.2</v>
      </c>
      <c r="F35" s="136">
        <v>0</v>
      </c>
      <c r="G35" s="136">
        <v>3.2</v>
      </c>
      <c r="H35" s="136">
        <v>22.4</v>
      </c>
      <c r="I35" s="136">
        <v>22.2</v>
      </c>
      <c r="J35" s="136">
        <v>22.2</v>
      </c>
      <c r="K35" s="136">
        <v>22.2</v>
      </c>
      <c r="L35" s="136">
        <v>3.2</v>
      </c>
      <c r="M35" s="136">
        <v>22.2</v>
      </c>
    </row>
    <row r="36" spans="1:13" x14ac:dyDescent="0.25">
      <c r="A36" s="134">
        <v>25</v>
      </c>
      <c r="B36" s="136">
        <v>0</v>
      </c>
      <c r="C36" s="136">
        <v>10.6</v>
      </c>
      <c r="D36" s="136">
        <v>0</v>
      </c>
      <c r="E36" s="136">
        <v>22.4</v>
      </c>
      <c r="F36" s="136">
        <v>132</v>
      </c>
      <c r="G36" s="136">
        <v>14</v>
      </c>
      <c r="H36" s="136">
        <v>90.4</v>
      </c>
      <c r="I36" s="136">
        <v>22.4</v>
      </c>
      <c r="J36" s="136">
        <v>22.4</v>
      </c>
      <c r="K36" s="136">
        <v>22.4</v>
      </c>
      <c r="L36" s="136">
        <v>14</v>
      </c>
      <c r="M36" s="136">
        <v>22.4</v>
      </c>
    </row>
    <row r="37" spans="1:13" x14ac:dyDescent="0.25">
      <c r="A37" s="134">
        <v>26</v>
      </c>
      <c r="B37" s="136">
        <v>18.600000000000001</v>
      </c>
      <c r="C37" s="136">
        <v>18.600000000000001</v>
      </c>
      <c r="D37" s="136">
        <v>12.6</v>
      </c>
      <c r="E37" s="136">
        <v>90.4</v>
      </c>
      <c r="F37" s="136">
        <v>0</v>
      </c>
      <c r="G37" s="136">
        <v>0</v>
      </c>
      <c r="H37" s="136">
        <v>40.6</v>
      </c>
      <c r="I37" s="136">
        <v>90.4</v>
      </c>
      <c r="J37" s="136">
        <v>90.4</v>
      </c>
      <c r="K37" s="136">
        <v>90.4</v>
      </c>
      <c r="L37" s="136">
        <v>0</v>
      </c>
      <c r="M37" s="136">
        <v>90.4</v>
      </c>
    </row>
    <row r="38" spans="1:13" x14ac:dyDescent="0.25">
      <c r="A38" s="134">
        <v>27</v>
      </c>
      <c r="B38" s="136">
        <v>5</v>
      </c>
      <c r="C38" s="136">
        <v>2.4</v>
      </c>
      <c r="D38" s="136">
        <v>2.4</v>
      </c>
      <c r="E38" s="136">
        <v>40.6</v>
      </c>
      <c r="F38" s="136">
        <v>0</v>
      </c>
      <c r="G38" s="136">
        <v>0</v>
      </c>
      <c r="H38" s="136">
        <v>0</v>
      </c>
      <c r="I38" s="136">
        <v>40.6</v>
      </c>
      <c r="J38" s="136">
        <v>40.6</v>
      </c>
      <c r="K38" s="136">
        <v>40.6</v>
      </c>
      <c r="L38" s="136">
        <v>0</v>
      </c>
      <c r="M38" s="136">
        <v>40.6</v>
      </c>
    </row>
    <row r="39" spans="1:13" x14ac:dyDescent="0.25">
      <c r="A39" s="134">
        <v>28</v>
      </c>
      <c r="B39" s="136">
        <v>59.8</v>
      </c>
      <c r="C39" s="136">
        <v>0</v>
      </c>
      <c r="D39" s="136">
        <v>0</v>
      </c>
      <c r="E39" s="136">
        <v>1.4</v>
      </c>
      <c r="F39" s="136">
        <v>0</v>
      </c>
      <c r="G39" s="136">
        <v>2.2000000000000002</v>
      </c>
      <c r="H39" s="136">
        <v>0</v>
      </c>
      <c r="I39" s="136">
        <v>1.4</v>
      </c>
      <c r="J39" s="136">
        <v>1.4</v>
      </c>
      <c r="K39" s="136">
        <v>1.4</v>
      </c>
      <c r="L39" s="136">
        <v>2.2000000000000002</v>
      </c>
      <c r="M39" s="136">
        <v>1.4</v>
      </c>
    </row>
    <row r="40" spans="1:13" x14ac:dyDescent="0.25">
      <c r="A40" s="134">
        <v>29</v>
      </c>
      <c r="B40" s="136">
        <v>33.799999999999997</v>
      </c>
      <c r="C40" s="136">
        <v>8.8000000000000007</v>
      </c>
      <c r="D40" s="136">
        <v>5.4</v>
      </c>
      <c r="E40" s="136">
        <v>0</v>
      </c>
      <c r="F40" s="136">
        <v>0</v>
      </c>
      <c r="G40" s="136">
        <v>10.6</v>
      </c>
      <c r="H40" s="136">
        <v>2.2000000000000002</v>
      </c>
      <c r="I40" s="136">
        <v>0</v>
      </c>
      <c r="J40" s="136">
        <v>0</v>
      </c>
      <c r="K40" s="136">
        <v>0</v>
      </c>
      <c r="L40" s="136">
        <v>10.6</v>
      </c>
      <c r="M40" s="136">
        <v>0</v>
      </c>
    </row>
    <row r="41" spans="1:13" x14ac:dyDescent="0.25">
      <c r="A41" s="134">
        <v>30</v>
      </c>
      <c r="B41" s="136">
        <v>1.8</v>
      </c>
      <c r="C41" s="134"/>
      <c r="D41" s="136">
        <v>0</v>
      </c>
      <c r="E41" s="136">
        <v>0</v>
      </c>
      <c r="F41" s="136">
        <v>0</v>
      </c>
      <c r="G41" s="136">
        <v>0</v>
      </c>
      <c r="H41" s="136">
        <v>10.6</v>
      </c>
      <c r="I41" s="136">
        <v>0</v>
      </c>
      <c r="J41" s="136">
        <v>0</v>
      </c>
      <c r="K41" s="136">
        <v>0</v>
      </c>
      <c r="L41" s="136">
        <v>0</v>
      </c>
      <c r="M41" s="136">
        <v>0</v>
      </c>
    </row>
    <row r="42" spans="1:13" x14ac:dyDescent="0.25">
      <c r="A42" s="134">
        <v>31</v>
      </c>
      <c r="B42" s="136">
        <v>46.8</v>
      </c>
      <c r="C42" s="134"/>
      <c r="D42" s="136">
        <v>0</v>
      </c>
      <c r="E42" s="134"/>
      <c r="F42" s="136">
        <v>2.4</v>
      </c>
      <c r="G42" s="134"/>
      <c r="H42" s="136">
        <v>2.2000000000000002</v>
      </c>
      <c r="I42" s="136">
        <v>1.8</v>
      </c>
      <c r="J42" s="134"/>
      <c r="K42" s="136">
        <v>2.2000000000000002</v>
      </c>
      <c r="L42" s="134"/>
      <c r="M42" s="136">
        <v>40.6</v>
      </c>
    </row>
    <row r="43" spans="1:13" x14ac:dyDescent="0.25">
      <c r="A43" s="135" t="s">
        <v>24</v>
      </c>
      <c r="B43" s="134">
        <v>596.20000000000005</v>
      </c>
      <c r="C43" s="134">
        <v>247.4</v>
      </c>
      <c r="D43" s="134">
        <v>485</v>
      </c>
      <c r="E43" s="134">
        <v>626.79999999999995</v>
      </c>
      <c r="F43" s="134">
        <v>149.4</v>
      </c>
      <c r="G43" s="134">
        <v>81.400000000000006</v>
      </c>
      <c r="H43" s="134">
        <v>9.4</v>
      </c>
      <c r="I43" s="134">
        <v>0</v>
      </c>
      <c r="J43" s="134">
        <v>0</v>
      </c>
      <c r="K43" s="134">
        <v>0</v>
      </c>
      <c r="L43" s="134">
        <v>0</v>
      </c>
      <c r="M43" s="134">
        <v>0</v>
      </c>
    </row>
    <row r="44" spans="1:13" x14ac:dyDescent="0.25">
      <c r="A44" s="135" t="s">
        <v>25</v>
      </c>
      <c r="B44" s="134">
        <v>235</v>
      </c>
      <c r="C44" s="134">
        <v>142.6</v>
      </c>
      <c r="D44" s="134">
        <v>375.8</v>
      </c>
      <c r="E44" s="134">
        <v>28.2</v>
      </c>
      <c r="F44" s="134">
        <v>8.6</v>
      </c>
      <c r="G44" s="134">
        <v>47.4</v>
      </c>
      <c r="H44" s="134">
        <v>9.4</v>
      </c>
      <c r="I44" s="134">
        <v>0</v>
      </c>
      <c r="J44" s="134">
        <v>0</v>
      </c>
      <c r="K44" s="134">
        <v>0</v>
      </c>
      <c r="L44" s="134">
        <v>0</v>
      </c>
      <c r="M44" s="134">
        <v>0</v>
      </c>
    </row>
    <row r="45" spans="1:13" x14ac:dyDescent="0.25">
      <c r="A45" s="135" t="s">
        <v>26</v>
      </c>
      <c r="B45" s="134">
        <v>177</v>
      </c>
      <c r="C45" s="134">
        <v>45</v>
      </c>
      <c r="D45" s="134">
        <v>32</v>
      </c>
      <c r="E45" s="134">
        <v>392.6</v>
      </c>
      <c r="F45" s="134">
        <v>4.5999999999999996</v>
      </c>
      <c r="G45" s="134">
        <v>4</v>
      </c>
      <c r="H45" s="134">
        <v>0</v>
      </c>
      <c r="I45" s="134">
        <v>0</v>
      </c>
      <c r="J45" s="134">
        <v>0</v>
      </c>
      <c r="K45" s="134">
        <v>0</v>
      </c>
      <c r="L45" s="134">
        <v>0</v>
      </c>
      <c r="M45" s="134">
        <v>0</v>
      </c>
    </row>
    <row r="46" spans="1:13" x14ac:dyDescent="0.25">
      <c r="A46" s="135" t="s">
        <v>27</v>
      </c>
      <c r="B46" s="134">
        <v>137.4</v>
      </c>
      <c r="C46" s="134">
        <v>57.8</v>
      </c>
      <c r="D46" s="134">
        <v>77.2</v>
      </c>
      <c r="E46" s="134">
        <v>206</v>
      </c>
      <c r="F46" s="134">
        <v>133.80000000000001</v>
      </c>
      <c r="G46" s="134">
        <v>30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</row>
    <row r="47" spans="1:13" x14ac:dyDescent="0.25">
      <c r="A47" s="135" t="s">
        <v>28</v>
      </c>
      <c r="B47" s="134">
        <v>119</v>
      </c>
      <c r="C47" s="134">
        <v>49</v>
      </c>
      <c r="D47" s="134">
        <v>85.8</v>
      </c>
      <c r="E47" s="134">
        <v>150.80000000000001</v>
      </c>
      <c r="F47" s="134">
        <v>132</v>
      </c>
      <c r="G47" s="134">
        <v>32.4</v>
      </c>
      <c r="H47" s="134">
        <v>3.2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</row>
    <row r="48" spans="1:13" x14ac:dyDescent="0.25">
      <c r="A48" s="135" t="s">
        <v>29</v>
      </c>
      <c r="B48" s="134">
        <v>18</v>
      </c>
      <c r="C48" s="134">
        <v>19</v>
      </c>
      <c r="D48" s="134">
        <v>18</v>
      </c>
      <c r="E48" s="134">
        <v>18</v>
      </c>
      <c r="F48" s="134">
        <v>6</v>
      </c>
      <c r="G48" s="134">
        <v>12</v>
      </c>
      <c r="H48" s="134">
        <v>4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</row>
  </sheetData>
  <mergeCells count="33">
    <mergeCell ref="A9:M9"/>
    <mergeCell ref="A10:A11"/>
    <mergeCell ref="B10:M10"/>
    <mergeCell ref="A8:B8"/>
    <mergeCell ref="C8:D8"/>
    <mergeCell ref="F8:G8"/>
    <mergeCell ref="H8:I8"/>
    <mergeCell ref="J8:K8"/>
    <mergeCell ref="L8:M8"/>
    <mergeCell ref="L7:M7"/>
    <mergeCell ref="A6:B6"/>
    <mergeCell ref="C6:D6"/>
    <mergeCell ref="F6:G6"/>
    <mergeCell ref="H6:I6"/>
    <mergeCell ref="J6:K6"/>
    <mergeCell ref="L6:M6"/>
    <mergeCell ref="A7:B7"/>
    <mergeCell ref="C7:D7"/>
    <mergeCell ref="F7:G7"/>
    <mergeCell ref="H7:I7"/>
    <mergeCell ref="J7:K7"/>
    <mergeCell ref="L5:M5"/>
    <mergeCell ref="A1:M1"/>
    <mergeCell ref="A2:M2"/>
    <mergeCell ref="A3:M3"/>
    <mergeCell ref="A4:B4"/>
    <mergeCell ref="C4:D4"/>
    <mergeCell ref="E4:M4"/>
    <mergeCell ref="A5:B5"/>
    <mergeCell ref="C5:D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DBASE</vt:lpstr>
      <vt:lpstr>Rekap Bulanan</vt:lpstr>
      <vt:lpstr>Rekap Max</vt:lpstr>
      <vt:lpstr>Rekap</vt:lpstr>
      <vt:lpstr>Print</vt:lpstr>
      <vt:lpstr>Daftar Pos </vt:lpstr>
      <vt:lpstr>Argoyuwono</vt:lpstr>
      <vt:lpstr>DBASE!dbase</vt:lpstr>
      <vt:lpstr>POSHUJAN</vt:lpstr>
      <vt:lpstr>'Daftar Pos '!Print_Area</vt:lpstr>
      <vt:lpstr>Print!Print_Area</vt:lpstr>
      <vt:lpstr>Rekap!Print_Area</vt:lpstr>
      <vt:lpstr>'Rekap Bulanan'!Print_Area</vt:lpstr>
      <vt:lpstr>'Rekap Max'!Print_Area</vt:lpstr>
      <vt:lpstr>'Daftar Pos '!Print_Titles</vt:lpstr>
      <vt:lpstr>Rekap!Print_Titles</vt:lpstr>
      <vt:lpstr>'Rekap Bulanan'!Print_Titles</vt:lpstr>
      <vt:lpstr>'Rekap Max'!Print_Titles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Qings326</cp:lastModifiedBy>
  <dcterms:created xsi:type="dcterms:W3CDTF">2024-07-11T01:20:23Z</dcterms:created>
  <dcterms:modified xsi:type="dcterms:W3CDTF">2024-08-26T01:48:42Z</dcterms:modified>
  <cp:category/>
</cp:coreProperties>
</file>